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Tables/pivotTable1.xml" ContentType="application/vnd.openxmlformats-officedocument.spreadsheetml.pivotTabl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ve\Documents\SDU\Excel\"/>
    </mc:Choice>
  </mc:AlternateContent>
  <xr:revisionPtr revIDLastSave="0" documentId="13_ncr:1_{4B74DB15-94D9-4674-8DE4-0D664E73F4DB}" xr6:coauthVersionLast="47" xr6:coauthVersionMax="47" xr10:uidLastSave="{00000000-0000-0000-0000-000000000000}"/>
  <bookViews>
    <workbookView xWindow="2736" yWindow="2652" windowWidth="20448" windowHeight="11028" tabRatio="322" firstSheet="1" activeTab="2" xr2:uid="{00000000-000D-0000-FFFF-FFFF00000000}"/>
  </bookViews>
  <sheets>
    <sheet name="Instructions" sheetId="21" r:id="rId1"/>
    <sheet name="Goals" sheetId="20" r:id="rId2"/>
    <sheet name="Launch Date" sheetId="22" r:id="rId3"/>
    <sheet name="Kickstarter" sheetId="4" r:id="rId4"/>
  </sheets>
  <definedNames>
    <definedName name="_xlnm._FilterDatabase" localSheetId="3" hidden="1">Kickstarter!$A$1:$T$4115</definedName>
    <definedName name="_xlchart.v1.0" hidden="1">Kickstarter!$AA$22:$AA$27</definedName>
    <definedName name="_xlchart.v1.1" hidden="1">Kickstarter!$AA$22:$AA$27</definedName>
    <definedName name="_xlchart.v1.10" hidden="1">Kickstarter!$AB$20:$AB$29</definedName>
    <definedName name="_xlchart.v1.11" hidden="1">Kickstarter!$Y$22:$Y$27</definedName>
    <definedName name="_xlchart.v1.12" hidden="1">Kickstarter!$Y$22:$Y$27</definedName>
    <definedName name="_xlchart.v1.13" hidden="1">Kickstarter!$Y$22:$Y$27</definedName>
    <definedName name="_xlchart.v1.14" hidden="1">Kickstarter!$Y$22:$Y$33</definedName>
    <definedName name="_xlchart.v1.15" hidden="1">Kickstarter!$Y$22:$Y$34</definedName>
    <definedName name="_xlchart.v1.16" hidden="1">Kickstarter!$Y$22:$Y$34</definedName>
    <definedName name="_xlchart.v1.17" hidden="1">Kickstarter!$Y$22:$Y$34</definedName>
    <definedName name="_xlchart.v1.18" hidden="1">Kickstarter!$Y$22:$Y$34</definedName>
    <definedName name="_xlchart.v1.19" hidden="1">Kickstarter!$Y$23:$Y$34</definedName>
    <definedName name="_xlchart.v1.2" hidden="1">Kickstarter!$AA$22:$AA$27</definedName>
    <definedName name="_xlchart.v1.20" hidden="1">Kickstarter!$Z$22:$Z$34</definedName>
    <definedName name="_xlchart.v1.21" hidden="1">Kickstarter!$Z$22:$Z$34</definedName>
    <definedName name="_xlchart.v1.22" hidden="1">Kickstarter!$Y$20:$Y$27</definedName>
    <definedName name="_xlchart.v1.23" hidden="1">Kickstarter!$Z$20:$Z$27</definedName>
    <definedName name="_xlchart.v1.3" hidden="1">Kickstarter!$AA$22:$AA$33</definedName>
    <definedName name="_xlchart.v1.4" hidden="1">Kickstarter!$AA$22:$AA$34</definedName>
    <definedName name="_xlchart.v1.5" hidden="1">Kickstarter!$AA$22:$AA$34</definedName>
    <definedName name="_xlchart.v1.6" hidden="1">Kickstarter!$AA$22:$AA$34</definedName>
    <definedName name="_xlchart.v1.7" hidden="1">Kickstarter!$AA$22:$AA$34</definedName>
    <definedName name="_xlchart.v1.8" hidden="1">Kickstarter!$AA$23:$AA$34</definedName>
    <definedName name="_xlchart.v1.9" hidden="1">Kickstarter!$AB$20:$AB$26</definedName>
    <definedName name="_xlcn.WorksheetConnection_Module1challenge.xlsxTable11" hidden="1">Table1[]</definedName>
  </definedNames>
  <calcPr calcId="191029"/>
  <pivotCaches>
    <pivotCache cacheId="69" r:id="rId5"/>
    <pivotCache cacheId="62" r:id="rId6"/>
    <pivotCache cacheId="63" r:id="rId7"/>
    <pivotCache cacheId="64" r:id="rId8"/>
    <pivotCache cacheId="65" r:id="rId9"/>
    <pivotCache cacheId="67" r:id="rId10"/>
  </pivotCaches>
  <extLst>
    <ext xmlns:x15="http://schemas.microsoft.com/office/spreadsheetml/2010/11/main" uri="{841E416B-1EF1-43b6-AB56-02D37102CBD5}">
      <x15:pivotCaches>
        <pivotCache cacheId="66" r:id="rId11"/>
      </x15:pivotCaches>
    </ext>
    <ext xmlns:x15="http://schemas.microsoft.com/office/spreadsheetml/2010/11/main" uri="{983426D0-5260-488c-9760-48F4B6AC55F4}">
      <x15:pivotTableReferences>
        <x15:pivotTableReference r:id="rId12"/>
      </x15:pivotTableReferenc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1" name="Table1" connection="WorksheetConnection_Module 1 challenge.xlsx!Table1"/>
        </x15:modelTables>
        <x15:extLst>
          <ext xmlns:x16="http://schemas.microsoft.com/office/spreadsheetml/2014/11/main" uri="{9835A34E-60A6-4A7C-AAB8-D5F71C897F49}">
            <x16:modelTimeGroupings>
              <x16:modelTimeGrouping tableName="Table1" columnName="Launched" columnId="Launched">
                <x16:calculatedTimeColumn columnName="Launched (Year)" columnId="Launched (Year)" contentType="years" isSelected="1"/>
                <x16:calculatedTimeColumn columnName="Launched (Quarter)" columnId="Launched (Quarter)" contentType="quarters" isSelected="1"/>
                <x16:calculatedTimeColumn columnName="Launched (Month Index)" columnId="Launched (Month Index)" contentType="monthsindex" isSelected="1"/>
                <x16:calculatedTimeColumn columnName="Launched (Month)" columnId="Launched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A52" i="4" l="1"/>
  <c r="AA41" i="4"/>
  <c r="AA42" i="4"/>
  <c r="AA43" i="4"/>
  <c r="AA44" i="4"/>
  <c r="AA45" i="4"/>
  <c r="AA46" i="4"/>
  <c r="AA47" i="4"/>
  <c r="AA48" i="4"/>
  <c r="AA49" i="4"/>
  <c r="AA50" i="4"/>
  <c r="AA51" i="4"/>
  <c r="AA40" i="4"/>
  <c r="AA23" i="4"/>
  <c r="AA24" i="4"/>
  <c r="AA30" i="4"/>
  <c r="AA27" i="4"/>
  <c r="AA25" i="4"/>
  <c r="AA32" i="4"/>
  <c r="AA33" i="4"/>
  <c r="AA34" i="4"/>
  <c r="AA35" i="4"/>
  <c r="AA22" i="4"/>
  <c r="Z26" i="4"/>
  <c r="AA26" i="4" s="1"/>
  <c r="Z25" i="4"/>
  <c r="AA4" i="4" l="1"/>
  <c r="Z4" i="4"/>
  <c r="AA8" i="4"/>
  <c r="Z8" i="4"/>
  <c r="Z5" i="4"/>
  <c r="AA5" i="4"/>
  <c r="M81" i="22"/>
  <c r="L4116" i="4"/>
  <c r="T3" i="4"/>
  <c r="T4" i="4"/>
  <c r="T5" i="4"/>
  <c r="T6" i="4"/>
  <c r="T7" i="4"/>
  <c r="T8" i="4"/>
  <c r="T9" i="4"/>
  <c r="T10" i="4"/>
  <c r="T11" i="4"/>
  <c r="T12" i="4"/>
  <c r="T13" i="4"/>
  <c r="T14" i="4"/>
  <c r="T15" i="4"/>
  <c r="T16" i="4"/>
  <c r="T17" i="4"/>
  <c r="T18" i="4"/>
  <c r="T19" i="4"/>
  <c r="T20" i="4"/>
  <c r="T21" i="4"/>
  <c r="T22" i="4"/>
  <c r="T23" i="4"/>
  <c r="T24" i="4"/>
  <c r="T25" i="4"/>
  <c r="T26" i="4"/>
  <c r="T27" i="4"/>
  <c r="T28" i="4"/>
  <c r="T29" i="4"/>
  <c r="T30" i="4"/>
  <c r="T31" i="4"/>
  <c r="T32" i="4"/>
  <c r="T33" i="4"/>
  <c r="T34" i="4"/>
  <c r="T35" i="4"/>
  <c r="T36" i="4"/>
  <c r="T37" i="4"/>
  <c r="T38" i="4"/>
  <c r="T39" i="4"/>
  <c r="T40" i="4"/>
  <c r="T41" i="4"/>
  <c r="T42" i="4"/>
  <c r="T43" i="4"/>
  <c r="T44" i="4"/>
  <c r="T45" i="4"/>
  <c r="T46" i="4"/>
  <c r="T47" i="4"/>
  <c r="T48" i="4"/>
  <c r="T49" i="4"/>
  <c r="T50" i="4"/>
  <c r="T51" i="4"/>
  <c r="T52" i="4"/>
  <c r="T53" i="4"/>
  <c r="T54" i="4"/>
  <c r="T55" i="4"/>
  <c r="T56" i="4"/>
  <c r="T57" i="4"/>
  <c r="T58" i="4"/>
  <c r="T59" i="4"/>
  <c r="T60" i="4"/>
  <c r="T61" i="4"/>
  <c r="T62" i="4"/>
  <c r="T63" i="4"/>
  <c r="T64" i="4"/>
  <c r="T65" i="4"/>
  <c r="T66" i="4"/>
  <c r="T67" i="4"/>
  <c r="T68" i="4"/>
  <c r="T69" i="4"/>
  <c r="T70" i="4"/>
  <c r="T71" i="4"/>
  <c r="T72" i="4"/>
  <c r="T73" i="4"/>
  <c r="T74" i="4"/>
  <c r="T75" i="4"/>
  <c r="T76" i="4"/>
  <c r="T77" i="4"/>
  <c r="T78" i="4"/>
  <c r="T79" i="4"/>
  <c r="T80" i="4"/>
  <c r="T81" i="4"/>
  <c r="T82" i="4"/>
  <c r="T83" i="4"/>
  <c r="T84" i="4"/>
  <c r="T85" i="4"/>
  <c r="T86" i="4"/>
  <c r="T87" i="4"/>
  <c r="T88" i="4"/>
  <c r="T89" i="4"/>
  <c r="T90" i="4"/>
  <c r="T91" i="4"/>
  <c r="T92" i="4"/>
  <c r="T93" i="4"/>
  <c r="T94" i="4"/>
  <c r="T95" i="4"/>
  <c r="T96" i="4"/>
  <c r="T97" i="4"/>
  <c r="T98" i="4"/>
  <c r="T99" i="4"/>
  <c r="T100" i="4"/>
  <c r="T101" i="4"/>
  <c r="T102" i="4"/>
  <c r="T103" i="4"/>
  <c r="T104" i="4"/>
  <c r="T105" i="4"/>
  <c r="T106" i="4"/>
  <c r="T107" i="4"/>
  <c r="T108" i="4"/>
  <c r="T109" i="4"/>
  <c r="T110" i="4"/>
  <c r="T111" i="4"/>
  <c r="T112" i="4"/>
  <c r="T113" i="4"/>
  <c r="T114" i="4"/>
  <c r="T115" i="4"/>
  <c r="T116" i="4"/>
  <c r="T117" i="4"/>
  <c r="T118" i="4"/>
  <c r="T119" i="4"/>
  <c r="T120" i="4"/>
  <c r="T121" i="4"/>
  <c r="T122" i="4"/>
  <c r="T123" i="4"/>
  <c r="T124" i="4"/>
  <c r="T125" i="4"/>
  <c r="T126" i="4"/>
  <c r="T127" i="4"/>
  <c r="T128" i="4"/>
  <c r="T129" i="4"/>
  <c r="T130" i="4"/>
  <c r="T131" i="4"/>
  <c r="T132" i="4"/>
  <c r="T133" i="4"/>
  <c r="T134" i="4"/>
  <c r="T135" i="4"/>
  <c r="T136" i="4"/>
  <c r="T137" i="4"/>
  <c r="T138" i="4"/>
  <c r="T139" i="4"/>
  <c r="T140" i="4"/>
  <c r="T141" i="4"/>
  <c r="T142" i="4"/>
  <c r="T143" i="4"/>
  <c r="T144" i="4"/>
  <c r="T145" i="4"/>
  <c r="T146" i="4"/>
  <c r="T147" i="4"/>
  <c r="T148" i="4"/>
  <c r="T149" i="4"/>
  <c r="T150" i="4"/>
  <c r="T151" i="4"/>
  <c r="T152" i="4"/>
  <c r="T153" i="4"/>
  <c r="T154" i="4"/>
  <c r="T155" i="4"/>
  <c r="T156" i="4"/>
  <c r="T157" i="4"/>
  <c r="T158" i="4"/>
  <c r="T159" i="4"/>
  <c r="T160" i="4"/>
  <c r="T161" i="4"/>
  <c r="T162" i="4"/>
  <c r="T163" i="4"/>
  <c r="T164" i="4"/>
  <c r="T165" i="4"/>
  <c r="T166" i="4"/>
  <c r="T167" i="4"/>
  <c r="T168" i="4"/>
  <c r="T169" i="4"/>
  <c r="T170" i="4"/>
  <c r="T171" i="4"/>
  <c r="T172" i="4"/>
  <c r="T173" i="4"/>
  <c r="T174" i="4"/>
  <c r="T175" i="4"/>
  <c r="T176" i="4"/>
  <c r="T177" i="4"/>
  <c r="T178" i="4"/>
  <c r="T179" i="4"/>
  <c r="T180" i="4"/>
  <c r="T181" i="4"/>
  <c r="T182" i="4"/>
  <c r="T183" i="4"/>
  <c r="T184" i="4"/>
  <c r="T185" i="4"/>
  <c r="T186" i="4"/>
  <c r="T187" i="4"/>
  <c r="T188" i="4"/>
  <c r="T189" i="4"/>
  <c r="T190" i="4"/>
  <c r="T191" i="4"/>
  <c r="T192" i="4"/>
  <c r="T193" i="4"/>
  <c r="T194" i="4"/>
  <c r="T195" i="4"/>
  <c r="T196" i="4"/>
  <c r="T197" i="4"/>
  <c r="T198" i="4"/>
  <c r="T199" i="4"/>
  <c r="T200" i="4"/>
  <c r="T201" i="4"/>
  <c r="T202" i="4"/>
  <c r="T203" i="4"/>
  <c r="T204" i="4"/>
  <c r="T205" i="4"/>
  <c r="T206" i="4"/>
  <c r="T207" i="4"/>
  <c r="T208" i="4"/>
  <c r="T209" i="4"/>
  <c r="T210" i="4"/>
  <c r="T211" i="4"/>
  <c r="T212" i="4"/>
  <c r="T213" i="4"/>
  <c r="T214" i="4"/>
  <c r="T215" i="4"/>
  <c r="T216" i="4"/>
  <c r="T217" i="4"/>
  <c r="T218" i="4"/>
  <c r="T219" i="4"/>
  <c r="T220" i="4"/>
  <c r="T221" i="4"/>
  <c r="T222" i="4"/>
  <c r="T223" i="4"/>
  <c r="T224" i="4"/>
  <c r="T225" i="4"/>
  <c r="T226" i="4"/>
  <c r="T227" i="4"/>
  <c r="T228" i="4"/>
  <c r="T229" i="4"/>
  <c r="T230" i="4"/>
  <c r="T231" i="4"/>
  <c r="T232" i="4"/>
  <c r="T233" i="4"/>
  <c r="T234" i="4"/>
  <c r="T235" i="4"/>
  <c r="T236" i="4"/>
  <c r="T237" i="4"/>
  <c r="T238" i="4"/>
  <c r="T239" i="4"/>
  <c r="T240" i="4"/>
  <c r="T241" i="4"/>
  <c r="T242" i="4"/>
  <c r="T243" i="4"/>
  <c r="T244" i="4"/>
  <c r="T245" i="4"/>
  <c r="T246" i="4"/>
  <c r="T247" i="4"/>
  <c r="T248" i="4"/>
  <c r="T249" i="4"/>
  <c r="T250" i="4"/>
  <c r="T251" i="4"/>
  <c r="T252" i="4"/>
  <c r="T253" i="4"/>
  <c r="T254" i="4"/>
  <c r="T255" i="4"/>
  <c r="T256" i="4"/>
  <c r="T257" i="4"/>
  <c r="T258" i="4"/>
  <c r="T259" i="4"/>
  <c r="T260" i="4"/>
  <c r="T261" i="4"/>
  <c r="T262" i="4"/>
  <c r="T263" i="4"/>
  <c r="T264" i="4"/>
  <c r="T265" i="4"/>
  <c r="T266" i="4"/>
  <c r="T267" i="4"/>
  <c r="T268" i="4"/>
  <c r="T269" i="4"/>
  <c r="T270" i="4"/>
  <c r="T271" i="4"/>
  <c r="T272" i="4"/>
  <c r="T273" i="4"/>
  <c r="T274" i="4"/>
  <c r="T275" i="4"/>
  <c r="T276" i="4"/>
  <c r="T277" i="4"/>
  <c r="T278" i="4"/>
  <c r="T279" i="4"/>
  <c r="T280" i="4"/>
  <c r="T281" i="4"/>
  <c r="T282" i="4"/>
  <c r="T283" i="4"/>
  <c r="T284" i="4"/>
  <c r="T285" i="4"/>
  <c r="T286" i="4"/>
  <c r="T287" i="4"/>
  <c r="T288" i="4"/>
  <c r="T289" i="4"/>
  <c r="T290" i="4"/>
  <c r="T291" i="4"/>
  <c r="T292" i="4"/>
  <c r="T293" i="4"/>
  <c r="T294" i="4"/>
  <c r="T295" i="4"/>
  <c r="T296" i="4"/>
  <c r="T297" i="4"/>
  <c r="T298" i="4"/>
  <c r="T299" i="4"/>
  <c r="T300" i="4"/>
  <c r="T301" i="4"/>
  <c r="T302" i="4"/>
  <c r="T303" i="4"/>
  <c r="T304" i="4"/>
  <c r="T305" i="4"/>
  <c r="T306" i="4"/>
  <c r="T307" i="4"/>
  <c r="T308" i="4"/>
  <c r="T309" i="4"/>
  <c r="T310" i="4"/>
  <c r="T311" i="4"/>
  <c r="T312" i="4"/>
  <c r="T313" i="4"/>
  <c r="T314" i="4"/>
  <c r="T315" i="4"/>
  <c r="T316" i="4"/>
  <c r="T317" i="4"/>
  <c r="T318" i="4"/>
  <c r="T319" i="4"/>
  <c r="T320" i="4"/>
  <c r="T321" i="4"/>
  <c r="T322" i="4"/>
  <c r="T323" i="4"/>
  <c r="T324" i="4"/>
  <c r="T325" i="4"/>
  <c r="T326" i="4"/>
  <c r="T327" i="4"/>
  <c r="T328" i="4"/>
  <c r="T329" i="4"/>
  <c r="T330" i="4"/>
  <c r="T331" i="4"/>
  <c r="T332" i="4"/>
  <c r="T333" i="4"/>
  <c r="T334" i="4"/>
  <c r="T335" i="4"/>
  <c r="T336" i="4"/>
  <c r="T337" i="4"/>
  <c r="T338" i="4"/>
  <c r="T339" i="4"/>
  <c r="T340" i="4"/>
  <c r="T341" i="4"/>
  <c r="T342" i="4"/>
  <c r="T343" i="4"/>
  <c r="T344" i="4"/>
  <c r="T345" i="4"/>
  <c r="T346" i="4"/>
  <c r="T347" i="4"/>
  <c r="T348" i="4"/>
  <c r="T349" i="4"/>
  <c r="T350" i="4"/>
  <c r="T351" i="4"/>
  <c r="T352" i="4"/>
  <c r="T353" i="4"/>
  <c r="T354" i="4"/>
  <c r="T355" i="4"/>
  <c r="T356" i="4"/>
  <c r="T357" i="4"/>
  <c r="T358" i="4"/>
  <c r="T359" i="4"/>
  <c r="T360" i="4"/>
  <c r="T361" i="4"/>
  <c r="T362" i="4"/>
  <c r="T363" i="4"/>
  <c r="T364" i="4"/>
  <c r="T365" i="4"/>
  <c r="T366" i="4"/>
  <c r="T367" i="4"/>
  <c r="T368" i="4"/>
  <c r="T369" i="4"/>
  <c r="T370" i="4"/>
  <c r="T371" i="4"/>
  <c r="T372" i="4"/>
  <c r="T373" i="4"/>
  <c r="T374" i="4"/>
  <c r="T375" i="4"/>
  <c r="T376" i="4"/>
  <c r="T377" i="4"/>
  <c r="T378" i="4"/>
  <c r="T379" i="4"/>
  <c r="T380" i="4"/>
  <c r="T381" i="4"/>
  <c r="T382" i="4"/>
  <c r="T383" i="4"/>
  <c r="T384" i="4"/>
  <c r="T385" i="4"/>
  <c r="T386" i="4"/>
  <c r="T387" i="4"/>
  <c r="T388" i="4"/>
  <c r="T389" i="4"/>
  <c r="T390" i="4"/>
  <c r="T391" i="4"/>
  <c r="T392" i="4"/>
  <c r="T393" i="4"/>
  <c r="T394" i="4"/>
  <c r="T395" i="4"/>
  <c r="T396" i="4"/>
  <c r="T397" i="4"/>
  <c r="T398" i="4"/>
  <c r="T399" i="4"/>
  <c r="T400" i="4"/>
  <c r="T401" i="4"/>
  <c r="T402" i="4"/>
  <c r="T403" i="4"/>
  <c r="T404" i="4"/>
  <c r="T405" i="4"/>
  <c r="T406" i="4"/>
  <c r="T407" i="4"/>
  <c r="T408" i="4"/>
  <c r="T409" i="4"/>
  <c r="T410" i="4"/>
  <c r="T411" i="4"/>
  <c r="T412" i="4"/>
  <c r="T413" i="4"/>
  <c r="T414" i="4"/>
  <c r="T415" i="4"/>
  <c r="T416" i="4"/>
  <c r="T417" i="4"/>
  <c r="T418" i="4"/>
  <c r="T419" i="4"/>
  <c r="T420" i="4"/>
  <c r="T421" i="4"/>
  <c r="T422" i="4"/>
  <c r="T423" i="4"/>
  <c r="T424" i="4"/>
  <c r="T425" i="4"/>
  <c r="T426" i="4"/>
  <c r="T427" i="4"/>
  <c r="T428" i="4"/>
  <c r="T429" i="4"/>
  <c r="T430" i="4"/>
  <c r="T431" i="4"/>
  <c r="T432" i="4"/>
  <c r="T433" i="4"/>
  <c r="T434" i="4"/>
  <c r="T435" i="4"/>
  <c r="T436" i="4"/>
  <c r="T437" i="4"/>
  <c r="T438" i="4"/>
  <c r="T439" i="4"/>
  <c r="T440" i="4"/>
  <c r="T441" i="4"/>
  <c r="T442" i="4"/>
  <c r="T443" i="4"/>
  <c r="T444" i="4"/>
  <c r="T445" i="4"/>
  <c r="T446" i="4"/>
  <c r="T447" i="4"/>
  <c r="T448" i="4"/>
  <c r="T449" i="4"/>
  <c r="T450" i="4"/>
  <c r="T451" i="4"/>
  <c r="T452" i="4"/>
  <c r="T453" i="4"/>
  <c r="T454" i="4"/>
  <c r="T455" i="4"/>
  <c r="T456" i="4"/>
  <c r="T457" i="4"/>
  <c r="T458" i="4"/>
  <c r="T459" i="4"/>
  <c r="T460" i="4"/>
  <c r="T461" i="4"/>
  <c r="T462" i="4"/>
  <c r="T463" i="4"/>
  <c r="T464" i="4"/>
  <c r="T465" i="4"/>
  <c r="T466" i="4"/>
  <c r="T467" i="4"/>
  <c r="T468" i="4"/>
  <c r="T469" i="4"/>
  <c r="T470" i="4"/>
  <c r="T471" i="4"/>
  <c r="T472" i="4"/>
  <c r="T473" i="4"/>
  <c r="T474" i="4"/>
  <c r="T475" i="4"/>
  <c r="T476" i="4"/>
  <c r="T477" i="4"/>
  <c r="T478" i="4"/>
  <c r="T479" i="4"/>
  <c r="T480" i="4"/>
  <c r="T481" i="4"/>
  <c r="T482" i="4"/>
  <c r="T483" i="4"/>
  <c r="T484" i="4"/>
  <c r="T485" i="4"/>
  <c r="T486" i="4"/>
  <c r="T487" i="4"/>
  <c r="T488" i="4"/>
  <c r="T489" i="4"/>
  <c r="T490" i="4"/>
  <c r="T491" i="4"/>
  <c r="T492" i="4"/>
  <c r="T493" i="4"/>
  <c r="T494" i="4"/>
  <c r="T495" i="4"/>
  <c r="T496" i="4"/>
  <c r="T497" i="4"/>
  <c r="T498" i="4"/>
  <c r="T499" i="4"/>
  <c r="T500" i="4"/>
  <c r="T501" i="4"/>
  <c r="T502" i="4"/>
  <c r="T503" i="4"/>
  <c r="T504" i="4"/>
  <c r="T505" i="4"/>
  <c r="T506" i="4"/>
  <c r="T507" i="4"/>
  <c r="T508" i="4"/>
  <c r="T509" i="4"/>
  <c r="T510" i="4"/>
  <c r="T511" i="4"/>
  <c r="T512" i="4"/>
  <c r="T513" i="4"/>
  <c r="T514" i="4"/>
  <c r="T515" i="4"/>
  <c r="T516" i="4"/>
  <c r="T517" i="4"/>
  <c r="T518" i="4"/>
  <c r="T519" i="4"/>
  <c r="T520" i="4"/>
  <c r="T521" i="4"/>
  <c r="T522" i="4"/>
  <c r="T523" i="4"/>
  <c r="T524" i="4"/>
  <c r="T525" i="4"/>
  <c r="T526" i="4"/>
  <c r="T527" i="4"/>
  <c r="T528" i="4"/>
  <c r="T529" i="4"/>
  <c r="T530" i="4"/>
  <c r="T531" i="4"/>
  <c r="T532" i="4"/>
  <c r="T533" i="4"/>
  <c r="T534" i="4"/>
  <c r="T535" i="4"/>
  <c r="T536" i="4"/>
  <c r="T537" i="4"/>
  <c r="T538" i="4"/>
  <c r="T539" i="4"/>
  <c r="T540" i="4"/>
  <c r="T541" i="4"/>
  <c r="T542" i="4"/>
  <c r="T543" i="4"/>
  <c r="T544" i="4"/>
  <c r="T545" i="4"/>
  <c r="T546" i="4"/>
  <c r="T547" i="4"/>
  <c r="T548" i="4"/>
  <c r="T549" i="4"/>
  <c r="T550" i="4"/>
  <c r="T551" i="4"/>
  <c r="T552" i="4"/>
  <c r="T553" i="4"/>
  <c r="T554" i="4"/>
  <c r="T555" i="4"/>
  <c r="T556" i="4"/>
  <c r="T557" i="4"/>
  <c r="T558" i="4"/>
  <c r="T559" i="4"/>
  <c r="T560" i="4"/>
  <c r="T561" i="4"/>
  <c r="T562" i="4"/>
  <c r="T563" i="4"/>
  <c r="T564" i="4"/>
  <c r="T565" i="4"/>
  <c r="T566" i="4"/>
  <c r="T567" i="4"/>
  <c r="T568" i="4"/>
  <c r="T569" i="4"/>
  <c r="T570" i="4"/>
  <c r="T571" i="4"/>
  <c r="T572" i="4"/>
  <c r="T573" i="4"/>
  <c r="T574" i="4"/>
  <c r="T575" i="4"/>
  <c r="T576" i="4"/>
  <c r="T577" i="4"/>
  <c r="T578" i="4"/>
  <c r="T579" i="4"/>
  <c r="T580" i="4"/>
  <c r="T581" i="4"/>
  <c r="T582" i="4"/>
  <c r="T583" i="4"/>
  <c r="T584" i="4"/>
  <c r="T585" i="4"/>
  <c r="T586" i="4"/>
  <c r="T587" i="4"/>
  <c r="T588" i="4"/>
  <c r="T589" i="4"/>
  <c r="T590" i="4"/>
  <c r="T591" i="4"/>
  <c r="T592" i="4"/>
  <c r="T593" i="4"/>
  <c r="T594" i="4"/>
  <c r="T595" i="4"/>
  <c r="T596" i="4"/>
  <c r="T597" i="4"/>
  <c r="T598" i="4"/>
  <c r="T599" i="4"/>
  <c r="T600" i="4"/>
  <c r="T601" i="4"/>
  <c r="T602" i="4"/>
  <c r="T603" i="4"/>
  <c r="T604" i="4"/>
  <c r="T605" i="4"/>
  <c r="T606" i="4"/>
  <c r="T607" i="4"/>
  <c r="T608" i="4"/>
  <c r="T609" i="4"/>
  <c r="T610" i="4"/>
  <c r="T611" i="4"/>
  <c r="T612" i="4"/>
  <c r="T613" i="4"/>
  <c r="T614" i="4"/>
  <c r="T615" i="4"/>
  <c r="T616" i="4"/>
  <c r="T617" i="4"/>
  <c r="T618" i="4"/>
  <c r="T619" i="4"/>
  <c r="T620" i="4"/>
  <c r="T621" i="4"/>
  <c r="T622" i="4"/>
  <c r="T623" i="4"/>
  <c r="T624" i="4"/>
  <c r="T625" i="4"/>
  <c r="T626" i="4"/>
  <c r="T627" i="4"/>
  <c r="T628" i="4"/>
  <c r="T629" i="4"/>
  <c r="T630" i="4"/>
  <c r="T631" i="4"/>
  <c r="T632" i="4"/>
  <c r="T633" i="4"/>
  <c r="T634" i="4"/>
  <c r="T635" i="4"/>
  <c r="T636" i="4"/>
  <c r="T637" i="4"/>
  <c r="T638" i="4"/>
  <c r="T639" i="4"/>
  <c r="T640" i="4"/>
  <c r="T641" i="4"/>
  <c r="T642" i="4"/>
  <c r="T643" i="4"/>
  <c r="T644" i="4"/>
  <c r="T645" i="4"/>
  <c r="T646" i="4"/>
  <c r="T647" i="4"/>
  <c r="T648" i="4"/>
  <c r="T649" i="4"/>
  <c r="T650" i="4"/>
  <c r="T651" i="4"/>
  <c r="T652" i="4"/>
  <c r="T653" i="4"/>
  <c r="T654" i="4"/>
  <c r="T655" i="4"/>
  <c r="T656" i="4"/>
  <c r="T657" i="4"/>
  <c r="T658" i="4"/>
  <c r="T659" i="4"/>
  <c r="T660" i="4"/>
  <c r="T661" i="4"/>
  <c r="T662" i="4"/>
  <c r="T663" i="4"/>
  <c r="T664" i="4"/>
  <c r="T665" i="4"/>
  <c r="T666" i="4"/>
  <c r="T667" i="4"/>
  <c r="T668" i="4"/>
  <c r="T669" i="4"/>
  <c r="T670" i="4"/>
  <c r="T671" i="4"/>
  <c r="T672" i="4"/>
  <c r="T673" i="4"/>
  <c r="T674" i="4"/>
  <c r="T675" i="4"/>
  <c r="T676" i="4"/>
  <c r="T677" i="4"/>
  <c r="T678" i="4"/>
  <c r="T679" i="4"/>
  <c r="T680" i="4"/>
  <c r="T681" i="4"/>
  <c r="T682" i="4"/>
  <c r="T683" i="4"/>
  <c r="T684" i="4"/>
  <c r="T685" i="4"/>
  <c r="T686" i="4"/>
  <c r="T687" i="4"/>
  <c r="T688" i="4"/>
  <c r="T689" i="4"/>
  <c r="T690" i="4"/>
  <c r="T691" i="4"/>
  <c r="T692" i="4"/>
  <c r="T693" i="4"/>
  <c r="T694" i="4"/>
  <c r="T695" i="4"/>
  <c r="T696" i="4"/>
  <c r="T697" i="4"/>
  <c r="T698" i="4"/>
  <c r="T699" i="4"/>
  <c r="T700" i="4"/>
  <c r="T701" i="4"/>
  <c r="T702" i="4"/>
  <c r="T703" i="4"/>
  <c r="T704" i="4"/>
  <c r="T705" i="4"/>
  <c r="T706" i="4"/>
  <c r="T707" i="4"/>
  <c r="T708" i="4"/>
  <c r="T709" i="4"/>
  <c r="T710" i="4"/>
  <c r="T711" i="4"/>
  <c r="T712" i="4"/>
  <c r="T713" i="4"/>
  <c r="T714" i="4"/>
  <c r="T715" i="4"/>
  <c r="T716" i="4"/>
  <c r="T717" i="4"/>
  <c r="T718" i="4"/>
  <c r="T719" i="4"/>
  <c r="T720" i="4"/>
  <c r="T721" i="4"/>
  <c r="T722" i="4"/>
  <c r="T723" i="4"/>
  <c r="T724" i="4"/>
  <c r="T725" i="4"/>
  <c r="T726" i="4"/>
  <c r="T727" i="4"/>
  <c r="T728" i="4"/>
  <c r="T729" i="4"/>
  <c r="T730" i="4"/>
  <c r="T731" i="4"/>
  <c r="T732" i="4"/>
  <c r="T733" i="4"/>
  <c r="T734" i="4"/>
  <c r="T735" i="4"/>
  <c r="T736" i="4"/>
  <c r="T737" i="4"/>
  <c r="T738" i="4"/>
  <c r="T739" i="4"/>
  <c r="T740" i="4"/>
  <c r="T741" i="4"/>
  <c r="T742" i="4"/>
  <c r="T743" i="4"/>
  <c r="T744" i="4"/>
  <c r="T745" i="4"/>
  <c r="T746" i="4"/>
  <c r="T747" i="4"/>
  <c r="T748" i="4"/>
  <c r="T749" i="4"/>
  <c r="T750" i="4"/>
  <c r="T751" i="4"/>
  <c r="T752" i="4"/>
  <c r="T753" i="4"/>
  <c r="T754" i="4"/>
  <c r="T755" i="4"/>
  <c r="T756" i="4"/>
  <c r="T757" i="4"/>
  <c r="T758" i="4"/>
  <c r="T759" i="4"/>
  <c r="T760" i="4"/>
  <c r="T761" i="4"/>
  <c r="T762" i="4"/>
  <c r="T763" i="4"/>
  <c r="T764" i="4"/>
  <c r="T765" i="4"/>
  <c r="T766" i="4"/>
  <c r="T767" i="4"/>
  <c r="T768" i="4"/>
  <c r="T769" i="4"/>
  <c r="T770" i="4"/>
  <c r="T771" i="4"/>
  <c r="T772" i="4"/>
  <c r="T773" i="4"/>
  <c r="T774" i="4"/>
  <c r="T775" i="4"/>
  <c r="T776" i="4"/>
  <c r="T777" i="4"/>
  <c r="T778" i="4"/>
  <c r="T779" i="4"/>
  <c r="T780" i="4"/>
  <c r="T781" i="4"/>
  <c r="T782" i="4"/>
  <c r="T783" i="4"/>
  <c r="T784" i="4"/>
  <c r="T785" i="4"/>
  <c r="T786" i="4"/>
  <c r="T787" i="4"/>
  <c r="T788" i="4"/>
  <c r="T789" i="4"/>
  <c r="T790" i="4"/>
  <c r="T791" i="4"/>
  <c r="T792" i="4"/>
  <c r="T793" i="4"/>
  <c r="T794" i="4"/>
  <c r="T795" i="4"/>
  <c r="T796" i="4"/>
  <c r="T797" i="4"/>
  <c r="T798" i="4"/>
  <c r="T799" i="4"/>
  <c r="T800" i="4"/>
  <c r="T801" i="4"/>
  <c r="T802" i="4"/>
  <c r="T803" i="4"/>
  <c r="T804" i="4"/>
  <c r="T805" i="4"/>
  <c r="T806" i="4"/>
  <c r="T807" i="4"/>
  <c r="T808" i="4"/>
  <c r="T809" i="4"/>
  <c r="T810" i="4"/>
  <c r="T811" i="4"/>
  <c r="T812" i="4"/>
  <c r="T813" i="4"/>
  <c r="T814" i="4"/>
  <c r="T815" i="4"/>
  <c r="T816" i="4"/>
  <c r="T817" i="4"/>
  <c r="T818" i="4"/>
  <c r="T819" i="4"/>
  <c r="T820" i="4"/>
  <c r="T821" i="4"/>
  <c r="T822" i="4"/>
  <c r="T823" i="4"/>
  <c r="T824" i="4"/>
  <c r="T825" i="4"/>
  <c r="T826" i="4"/>
  <c r="T827" i="4"/>
  <c r="T828" i="4"/>
  <c r="T829" i="4"/>
  <c r="T830" i="4"/>
  <c r="T831" i="4"/>
  <c r="T832" i="4"/>
  <c r="T833" i="4"/>
  <c r="T834" i="4"/>
  <c r="T835" i="4"/>
  <c r="T836" i="4"/>
  <c r="T837" i="4"/>
  <c r="T838" i="4"/>
  <c r="T839" i="4"/>
  <c r="T840" i="4"/>
  <c r="T841" i="4"/>
  <c r="T842" i="4"/>
  <c r="T843" i="4"/>
  <c r="T844" i="4"/>
  <c r="T845" i="4"/>
  <c r="T846" i="4"/>
  <c r="T847" i="4"/>
  <c r="T848" i="4"/>
  <c r="T849" i="4"/>
  <c r="T850" i="4"/>
  <c r="T851" i="4"/>
  <c r="T852" i="4"/>
  <c r="T853" i="4"/>
  <c r="T854" i="4"/>
  <c r="T855" i="4"/>
  <c r="T856" i="4"/>
  <c r="T857" i="4"/>
  <c r="T858" i="4"/>
  <c r="T859" i="4"/>
  <c r="T860" i="4"/>
  <c r="T861" i="4"/>
  <c r="T862" i="4"/>
  <c r="T863" i="4"/>
  <c r="T864" i="4"/>
  <c r="T865" i="4"/>
  <c r="T866" i="4"/>
  <c r="T867" i="4"/>
  <c r="T868" i="4"/>
  <c r="T869" i="4"/>
  <c r="T870" i="4"/>
  <c r="T871" i="4"/>
  <c r="T872" i="4"/>
  <c r="T873" i="4"/>
  <c r="T874" i="4"/>
  <c r="T875" i="4"/>
  <c r="T876" i="4"/>
  <c r="T877" i="4"/>
  <c r="T878" i="4"/>
  <c r="T879" i="4"/>
  <c r="T880" i="4"/>
  <c r="T881" i="4"/>
  <c r="T882" i="4"/>
  <c r="T883" i="4"/>
  <c r="T884" i="4"/>
  <c r="T885" i="4"/>
  <c r="T886" i="4"/>
  <c r="T887" i="4"/>
  <c r="T888" i="4"/>
  <c r="T889" i="4"/>
  <c r="T890" i="4"/>
  <c r="T891" i="4"/>
  <c r="T892" i="4"/>
  <c r="T893" i="4"/>
  <c r="T894" i="4"/>
  <c r="T895" i="4"/>
  <c r="T896" i="4"/>
  <c r="T897" i="4"/>
  <c r="T898" i="4"/>
  <c r="T899" i="4"/>
  <c r="T900" i="4"/>
  <c r="T901" i="4"/>
  <c r="T902" i="4"/>
  <c r="T903" i="4"/>
  <c r="T904" i="4"/>
  <c r="T905" i="4"/>
  <c r="T906" i="4"/>
  <c r="T907" i="4"/>
  <c r="T908" i="4"/>
  <c r="T909" i="4"/>
  <c r="T910" i="4"/>
  <c r="T911" i="4"/>
  <c r="T912" i="4"/>
  <c r="T913" i="4"/>
  <c r="T914" i="4"/>
  <c r="T915" i="4"/>
  <c r="T916" i="4"/>
  <c r="T917" i="4"/>
  <c r="T918" i="4"/>
  <c r="T919" i="4"/>
  <c r="T920" i="4"/>
  <c r="T921" i="4"/>
  <c r="T922" i="4"/>
  <c r="T923" i="4"/>
  <c r="T924" i="4"/>
  <c r="T925" i="4"/>
  <c r="T926" i="4"/>
  <c r="T927" i="4"/>
  <c r="T928" i="4"/>
  <c r="T929" i="4"/>
  <c r="T930" i="4"/>
  <c r="T931" i="4"/>
  <c r="T932" i="4"/>
  <c r="T933" i="4"/>
  <c r="T934" i="4"/>
  <c r="T935" i="4"/>
  <c r="T936" i="4"/>
  <c r="T937" i="4"/>
  <c r="T938" i="4"/>
  <c r="T939" i="4"/>
  <c r="T940" i="4"/>
  <c r="T941" i="4"/>
  <c r="T942" i="4"/>
  <c r="T943" i="4"/>
  <c r="T944" i="4"/>
  <c r="T945" i="4"/>
  <c r="T946" i="4"/>
  <c r="T947" i="4"/>
  <c r="T948" i="4"/>
  <c r="T949" i="4"/>
  <c r="T950" i="4"/>
  <c r="T951" i="4"/>
  <c r="T952" i="4"/>
  <c r="T953" i="4"/>
  <c r="T954" i="4"/>
  <c r="T955" i="4"/>
  <c r="T956" i="4"/>
  <c r="T957" i="4"/>
  <c r="T958" i="4"/>
  <c r="T959" i="4"/>
  <c r="T960" i="4"/>
  <c r="T961" i="4"/>
  <c r="T962" i="4"/>
  <c r="T963" i="4"/>
  <c r="T964" i="4"/>
  <c r="T965" i="4"/>
  <c r="T966" i="4"/>
  <c r="T967" i="4"/>
  <c r="T968" i="4"/>
  <c r="T969" i="4"/>
  <c r="T970" i="4"/>
  <c r="T971" i="4"/>
  <c r="T972" i="4"/>
  <c r="T973" i="4"/>
  <c r="T974" i="4"/>
  <c r="T975" i="4"/>
  <c r="T976" i="4"/>
  <c r="T977" i="4"/>
  <c r="T978" i="4"/>
  <c r="T979" i="4"/>
  <c r="T980" i="4"/>
  <c r="T981" i="4"/>
  <c r="T982" i="4"/>
  <c r="T983" i="4"/>
  <c r="T984" i="4"/>
  <c r="T985" i="4"/>
  <c r="T986" i="4"/>
  <c r="T987" i="4"/>
  <c r="T988" i="4"/>
  <c r="T989" i="4"/>
  <c r="T990" i="4"/>
  <c r="T991" i="4"/>
  <c r="T992" i="4"/>
  <c r="T993" i="4"/>
  <c r="T994" i="4"/>
  <c r="T995" i="4"/>
  <c r="T996" i="4"/>
  <c r="T997" i="4"/>
  <c r="T998" i="4"/>
  <c r="T999" i="4"/>
  <c r="T1000" i="4"/>
  <c r="T1001" i="4"/>
  <c r="T1002" i="4"/>
  <c r="T1003" i="4"/>
  <c r="T1004" i="4"/>
  <c r="T1005" i="4"/>
  <c r="T1006" i="4"/>
  <c r="T1007" i="4"/>
  <c r="T1008" i="4"/>
  <c r="T1009" i="4"/>
  <c r="T1010" i="4"/>
  <c r="T1011" i="4"/>
  <c r="T1012" i="4"/>
  <c r="T1013" i="4"/>
  <c r="T1014" i="4"/>
  <c r="T1015" i="4"/>
  <c r="T1016" i="4"/>
  <c r="T1017" i="4"/>
  <c r="T1018" i="4"/>
  <c r="T1019" i="4"/>
  <c r="T1020" i="4"/>
  <c r="T1021" i="4"/>
  <c r="T1022" i="4"/>
  <c r="T1023" i="4"/>
  <c r="T1024" i="4"/>
  <c r="T1025" i="4"/>
  <c r="T1026" i="4"/>
  <c r="T1027" i="4"/>
  <c r="T1028" i="4"/>
  <c r="T1029" i="4"/>
  <c r="T1030" i="4"/>
  <c r="T1031" i="4"/>
  <c r="T1032" i="4"/>
  <c r="T1033" i="4"/>
  <c r="T1034" i="4"/>
  <c r="T1035" i="4"/>
  <c r="T1036" i="4"/>
  <c r="T1037" i="4"/>
  <c r="T1038" i="4"/>
  <c r="T1039" i="4"/>
  <c r="T1040" i="4"/>
  <c r="T1041" i="4"/>
  <c r="T1042" i="4"/>
  <c r="T1043" i="4"/>
  <c r="T1044" i="4"/>
  <c r="T1045" i="4"/>
  <c r="T1046" i="4"/>
  <c r="T1047" i="4"/>
  <c r="T1048" i="4"/>
  <c r="T1049" i="4"/>
  <c r="T1050" i="4"/>
  <c r="T1051" i="4"/>
  <c r="T1052" i="4"/>
  <c r="T1053" i="4"/>
  <c r="T1054" i="4"/>
  <c r="T1055" i="4"/>
  <c r="T1056" i="4"/>
  <c r="T1057" i="4"/>
  <c r="T1058" i="4"/>
  <c r="T1059" i="4"/>
  <c r="T1060" i="4"/>
  <c r="T1061" i="4"/>
  <c r="T1062" i="4"/>
  <c r="T1063" i="4"/>
  <c r="T1064" i="4"/>
  <c r="T1065" i="4"/>
  <c r="T1066" i="4"/>
  <c r="T1067" i="4"/>
  <c r="T1068" i="4"/>
  <c r="T1069" i="4"/>
  <c r="T1070" i="4"/>
  <c r="T1071" i="4"/>
  <c r="T1072" i="4"/>
  <c r="T1073" i="4"/>
  <c r="T1074" i="4"/>
  <c r="T1075" i="4"/>
  <c r="T1076" i="4"/>
  <c r="T1077" i="4"/>
  <c r="T1078" i="4"/>
  <c r="T1079" i="4"/>
  <c r="T1080" i="4"/>
  <c r="T1081" i="4"/>
  <c r="T1082" i="4"/>
  <c r="T1083" i="4"/>
  <c r="T1084" i="4"/>
  <c r="T1085" i="4"/>
  <c r="T1086" i="4"/>
  <c r="T1087" i="4"/>
  <c r="T1088" i="4"/>
  <c r="T1089" i="4"/>
  <c r="T1090" i="4"/>
  <c r="T1091" i="4"/>
  <c r="T1092" i="4"/>
  <c r="T1093" i="4"/>
  <c r="T1094" i="4"/>
  <c r="T1095" i="4"/>
  <c r="T1096" i="4"/>
  <c r="T1097" i="4"/>
  <c r="T1098" i="4"/>
  <c r="T1099" i="4"/>
  <c r="T1100" i="4"/>
  <c r="T1101" i="4"/>
  <c r="T1102" i="4"/>
  <c r="T1103" i="4"/>
  <c r="T1104" i="4"/>
  <c r="T1105" i="4"/>
  <c r="T1106" i="4"/>
  <c r="T1107" i="4"/>
  <c r="T1108" i="4"/>
  <c r="T1109" i="4"/>
  <c r="T1110" i="4"/>
  <c r="T1111" i="4"/>
  <c r="T1112" i="4"/>
  <c r="T1113" i="4"/>
  <c r="T1114" i="4"/>
  <c r="T1115" i="4"/>
  <c r="T1116" i="4"/>
  <c r="T1117" i="4"/>
  <c r="T1118" i="4"/>
  <c r="T1119" i="4"/>
  <c r="T1120" i="4"/>
  <c r="T1121" i="4"/>
  <c r="T1122" i="4"/>
  <c r="T1123" i="4"/>
  <c r="T1124" i="4"/>
  <c r="T1125" i="4"/>
  <c r="T1126" i="4"/>
  <c r="T1127" i="4"/>
  <c r="T1128" i="4"/>
  <c r="T1129" i="4"/>
  <c r="T1130" i="4"/>
  <c r="T1131" i="4"/>
  <c r="T1132" i="4"/>
  <c r="T1133" i="4"/>
  <c r="T1134" i="4"/>
  <c r="T1135" i="4"/>
  <c r="T1136" i="4"/>
  <c r="T1137" i="4"/>
  <c r="T1138" i="4"/>
  <c r="T1139" i="4"/>
  <c r="T1140" i="4"/>
  <c r="T1141" i="4"/>
  <c r="T1142" i="4"/>
  <c r="T1143" i="4"/>
  <c r="T1144" i="4"/>
  <c r="T1145" i="4"/>
  <c r="T1146" i="4"/>
  <c r="T1147" i="4"/>
  <c r="T1148" i="4"/>
  <c r="T1149" i="4"/>
  <c r="T1150" i="4"/>
  <c r="T1151" i="4"/>
  <c r="T1152" i="4"/>
  <c r="T1153" i="4"/>
  <c r="T1154" i="4"/>
  <c r="T1155" i="4"/>
  <c r="T1156" i="4"/>
  <c r="T1157" i="4"/>
  <c r="T1158" i="4"/>
  <c r="T1159" i="4"/>
  <c r="T1160" i="4"/>
  <c r="T1161" i="4"/>
  <c r="T1162" i="4"/>
  <c r="T1163" i="4"/>
  <c r="T1164" i="4"/>
  <c r="T1165" i="4"/>
  <c r="T1166" i="4"/>
  <c r="T1167" i="4"/>
  <c r="T1168" i="4"/>
  <c r="T1169" i="4"/>
  <c r="T1170" i="4"/>
  <c r="T1171" i="4"/>
  <c r="T1172" i="4"/>
  <c r="T1173" i="4"/>
  <c r="T1174" i="4"/>
  <c r="T1175" i="4"/>
  <c r="T1176" i="4"/>
  <c r="T1177" i="4"/>
  <c r="T1178" i="4"/>
  <c r="T1179" i="4"/>
  <c r="T1180" i="4"/>
  <c r="T1181" i="4"/>
  <c r="T1182" i="4"/>
  <c r="T1183" i="4"/>
  <c r="T1184" i="4"/>
  <c r="T1185" i="4"/>
  <c r="T1186" i="4"/>
  <c r="T1187" i="4"/>
  <c r="T1188" i="4"/>
  <c r="T1189" i="4"/>
  <c r="T1190" i="4"/>
  <c r="T1191" i="4"/>
  <c r="T1192" i="4"/>
  <c r="T1193" i="4"/>
  <c r="T1194" i="4"/>
  <c r="T1195" i="4"/>
  <c r="T1196" i="4"/>
  <c r="T1197" i="4"/>
  <c r="T1198" i="4"/>
  <c r="T1199" i="4"/>
  <c r="T1200" i="4"/>
  <c r="T1201" i="4"/>
  <c r="T1202" i="4"/>
  <c r="T1203" i="4"/>
  <c r="T1204" i="4"/>
  <c r="T1205" i="4"/>
  <c r="T1206" i="4"/>
  <c r="T1207" i="4"/>
  <c r="T1208" i="4"/>
  <c r="T1209" i="4"/>
  <c r="T1210" i="4"/>
  <c r="T1211" i="4"/>
  <c r="T1212" i="4"/>
  <c r="T1213" i="4"/>
  <c r="T1214" i="4"/>
  <c r="T1215" i="4"/>
  <c r="T1216" i="4"/>
  <c r="T1217" i="4"/>
  <c r="T1218" i="4"/>
  <c r="T1219" i="4"/>
  <c r="T1220" i="4"/>
  <c r="T1221" i="4"/>
  <c r="T1222" i="4"/>
  <c r="T1223" i="4"/>
  <c r="T1224" i="4"/>
  <c r="T1225" i="4"/>
  <c r="T1226" i="4"/>
  <c r="T1227" i="4"/>
  <c r="T1228" i="4"/>
  <c r="T1229" i="4"/>
  <c r="T1230" i="4"/>
  <c r="T1231" i="4"/>
  <c r="T1232" i="4"/>
  <c r="T1233" i="4"/>
  <c r="T1234" i="4"/>
  <c r="T1235" i="4"/>
  <c r="T1236" i="4"/>
  <c r="T1237" i="4"/>
  <c r="T1238" i="4"/>
  <c r="T1239" i="4"/>
  <c r="T1240" i="4"/>
  <c r="T1241" i="4"/>
  <c r="T1242" i="4"/>
  <c r="T1243" i="4"/>
  <c r="T1244" i="4"/>
  <c r="T1245" i="4"/>
  <c r="T1246" i="4"/>
  <c r="T1247" i="4"/>
  <c r="T1248" i="4"/>
  <c r="T1249" i="4"/>
  <c r="T1250" i="4"/>
  <c r="T1251" i="4"/>
  <c r="T1252" i="4"/>
  <c r="T1253" i="4"/>
  <c r="T1254" i="4"/>
  <c r="T1255" i="4"/>
  <c r="T1256" i="4"/>
  <c r="T1257" i="4"/>
  <c r="T1258" i="4"/>
  <c r="T1259" i="4"/>
  <c r="T1260" i="4"/>
  <c r="T1261" i="4"/>
  <c r="T1262" i="4"/>
  <c r="T1263" i="4"/>
  <c r="T1264" i="4"/>
  <c r="T1265" i="4"/>
  <c r="T1266" i="4"/>
  <c r="T1267" i="4"/>
  <c r="T1268" i="4"/>
  <c r="T1269" i="4"/>
  <c r="T1270" i="4"/>
  <c r="T1271" i="4"/>
  <c r="T1272" i="4"/>
  <c r="T1273" i="4"/>
  <c r="T1274" i="4"/>
  <c r="T1275" i="4"/>
  <c r="T1276" i="4"/>
  <c r="T1277" i="4"/>
  <c r="T1278" i="4"/>
  <c r="T1279" i="4"/>
  <c r="T1280" i="4"/>
  <c r="T1281" i="4"/>
  <c r="T1282" i="4"/>
  <c r="T1283" i="4"/>
  <c r="T1284" i="4"/>
  <c r="T1285" i="4"/>
  <c r="T1286" i="4"/>
  <c r="T1287" i="4"/>
  <c r="T1288" i="4"/>
  <c r="T1289" i="4"/>
  <c r="T1290" i="4"/>
  <c r="T1291" i="4"/>
  <c r="T1292" i="4"/>
  <c r="T1293" i="4"/>
  <c r="T1294" i="4"/>
  <c r="T1295" i="4"/>
  <c r="T1296" i="4"/>
  <c r="T1297" i="4"/>
  <c r="T1298" i="4"/>
  <c r="T1299" i="4"/>
  <c r="T1300" i="4"/>
  <c r="T1301" i="4"/>
  <c r="T1302" i="4"/>
  <c r="T1303" i="4"/>
  <c r="T1304" i="4"/>
  <c r="T1305" i="4"/>
  <c r="T1306" i="4"/>
  <c r="T1307" i="4"/>
  <c r="T1308" i="4"/>
  <c r="T1309" i="4"/>
  <c r="T1310" i="4"/>
  <c r="T1311" i="4"/>
  <c r="T1312" i="4"/>
  <c r="T1313" i="4"/>
  <c r="T1314" i="4"/>
  <c r="T1315" i="4"/>
  <c r="T1316" i="4"/>
  <c r="T1317" i="4"/>
  <c r="T1318" i="4"/>
  <c r="T1319" i="4"/>
  <c r="T1320" i="4"/>
  <c r="T1321" i="4"/>
  <c r="T1322" i="4"/>
  <c r="T1323" i="4"/>
  <c r="T1324" i="4"/>
  <c r="T1325" i="4"/>
  <c r="T1326" i="4"/>
  <c r="T1327" i="4"/>
  <c r="T1328" i="4"/>
  <c r="T1329" i="4"/>
  <c r="T1330" i="4"/>
  <c r="T1331" i="4"/>
  <c r="T1332" i="4"/>
  <c r="T1333" i="4"/>
  <c r="T1334" i="4"/>
  <c r="T1335" i="4"/>
  <c r="T1336" i="4"/>
  <c r="T1337" i="4"/>
  <c r="T1338" i="4"/>
  <c r="T1339" i="4"/>
  <c r="T1340" i="4"/>
  <c r="T1341" i="4"/>
  <c r="T1342" i="4"/>
  <c r="T1343" i="4"/>
  <c r="T1344" i="4"/>
  <c r="T1345" i="4"/>
  <c r="T1346" i="4"/>
  <c r="T1347" i="4"/>
  <c r="T1348" i="4"/>
  <c r="T1349" i="4"/>
  <c r="T1350" i="4"/>
  <c r="T1351" i="4"/>
  <c r="T1352" i="4"/>
  <c r="T1353" i="4"/>
  <c r="T1354" i="4"/>
  <c r="T1355" i="4"/>
  <c r="T1356" i="4"/>
  <c r="T1357" i="4"/>
  <c r="T1358" i="4"/>
  <c r="T1359" i="4"/>
  <c r="T1360" i="4"/>
  <c r="T1361" i="4"/>
  <c r="T1362" i="4"/>
  <c r="T1363" i="4"/>
  <c r="T1364" i="4"/>
  <c r="T1365" i="4"/>
  <c r="T1366" i="4"/>
  <c r="T1367" i="4"/>
  <c r="T1368" i="4"/>
  <c r="T1369" i="4"/>
  <c r="T1370" i="4"/>
  <c r="T1371" i="4"/>
  <c r="T1372" i="4"/>
  <c r="T1373" i="4"/>
  <c r="T1374" i="4"/>
  <c r="T1375" i="4"/>
  <c r="T1376" i="4"/>
  <c r="T1377" i="4"/>
  <c r="T1378" i="4"/>
  <c r="T1379" i="4"/>
  <c r="T1380" i="4"/>
  <c r="T1381" i="4"/>
  <c r="T1382" i="4"/>
  <c r="T1383" i="4"/>
  <c r="T1384" i="4"/>
  <c r="T1385" i="4"/>
  <c r="T1386" i="4"/>
  <c r="T1387" i="4"/>
  <c r="T1388" i="4"/>
  <c r="T1389" i="4"/>
  <c r="T1390" i="4"/>
  <c r="T1391" i="4"/>
  <c r="T1392" i="4"/>
  <c r="T1393" i="4"/>
  <c r="T1394" i="4"/>
  <c r="T1395" i="4"/>
  <c r="T1396" i="4"/>
  <c r="T1397" i="4"/>
  <c r="T1398" i="4"/>
  <c r="T1399" i="4"/>
  <c r="T1400" i="4"/>
  <c r="T1401" i="4"/>
  <c r="T1402" i="4"/>
  <c r="T1403" i="4"/>
  <c r="T1404" i="4"/>
  <c r="T1405" i="4"/>
  <c r="T1406" i="4"/>
  <c r="T1407" i="4"/>
  <c r="T1408" i="4"/>
  <c r="T1409" i="4"/>
  <c r="T1410" i="4"/>
  <c r="T1411" i="4"/>
  <c r="T1412" i="4"/>
  <c r="T1413" i="4"/>
  <c r="T1414" i="4"/>
  <c r="T1415" i="4"/>
  <c r="T1416" i="4"/>
  <c r="T1417" i="4"/>
  <c r="T1418" i="4"/>
  <c r="T1419" i="4"/>
  <c r="T1420" i="4"/>
  <c r="T1421" i="4"/>
  <c r="T1422" i="4"/>
  <c r="T1423" i="4"/>
  <c r="T1424" i="4"/>
  <c r="T1425" i="4"/>
  <c r="T1426" i="4"/>
  <c r="T1427" i="4"/>
  <c r="T1428" i="4"/>
  <c r="T1429" i="4"/>
  <c r="T1430" i="4"/>
  <c r="T1431" i="4"/>
  <c r="T1432" i="4"/>
  <c r="T1433" i="4"/>
  <c r="T1434" i="4"/>
  <c r="T1435" i="4"/>
  <c r="T1436" i="4"/>
  <c r="T1437" i="4"/>
  <c r="T1438" i="4"/>
  <c r="T1439" i="4"/>
  <c r="T1440" i="4"/>
  <c r="T1441" i="4"/>
  <c r="T1442" i="4"/>
  <c r="T1443" i="4"/>
  <c r="T1444" i="4"/>
  <c r="T1445" i="4"/>
  <c r="T1446" i="4"/>
  <c r="T1447" i="4"/>
  <c r="T1448" i="4"/>
  <c r="T1449" i="4"/>
  <c r="T1450" i="4"/>
  <c r="T1451" i="4"/>
  <c r="T1452" i="4"/>
  <c r="T1453" i="4"/>
  <c r="T1454" i="4"/>
  <c r="T1455" i="4"/>
  <c r="T1456" i="4"/>
  <c r="T1457" i="4"/>
  <c r="T1458" i="4"/>
  <c r="T1459" i="4"/>
  <c r="T1460" i="4"/>
  <c r="T1461" i="4"/>
  <c r="T1462" i="4"/>
  <c r="T1463" i="4"/>
  <c r="T1464" i="4"/>
  <c r="T1465" i="4"/>
  <c r="T1466" i="4"/>
  <c r="T1467" i="4"/>
  <c r="T1468" i="4"/>
  <c r="T1469" i="4"/>
  <c r="T1470" i="4"/>
  <c r="T1471" i="4"/>
  <c r="T1472" i="4"/>
  <c r="T1473" i="4"/>
  <c r="T1474" i="4"/>
  <c r="T1475" i="4"/>
  <c r="T1476" i="4"/>
  <c r="T1477" i="4"/>
  <c r="T1478" i="4"/>
  <c r="T1479" i="4"/>
  <c r="T1480" i="4"/>
  <c r="T1481" i="4"/>
  <c r="T1482" i="4"/>
  <c r="T1483" i="4"/>
  <c r="T1484" i="4"/>
  <c r="T1485" i="4"/>
  <c r="T1486" i="4"/>
  <c r="T1487" i="4"/>
  <c r="T1488" i="4"/>
  <c r="T1489" i="4"/>
  <c r="T1490" i="4"/>
  <c r="T1491" i="4"/>
  <c r="T1492" i="4"/>
  <c r="T1493" i="4"/>
  <c r="T1494" i="4"/>
  <c r="T1495" i="4"/>
  <c r="T1496" i="4"/>
  <c r="T1497" i="4"/>
  <c r="T1498" i="4"/>
  <c r="T1499" i="4"/>
  <c r="T1500" i="4"/>
  <c r="T1501" i="4"/>
  <c r="T1502" i="4"/>
  <c r="T1503" i="4"/>
  <c r="T1504" i="4"/>
  <c r="T1505" i="4"/>
  <c r="T1506" i="4"/>
  <c r="T1507" i="4"/>
  <c r="T1508" i="4"/>
  <c r="T1509" i="4"/>
  <c r="T1510" i="4"/>
  <c r="T1511" i="4"/>
  <c r="T1512" i="4"/>
  <c r="T1513" i="4"/>
  <c r="T1514" i="4"/>
  <c r="T1515" i="4"/>
  <c r="T1516" i="4"/>
  <c r="T1517" i="4"/>
  <c r="T1518" i="4"/>
  <c r="T1519" i="4"/>
  <c r="T1520" i="4"/>
  <c r="T1521" i="4"/>
  <c r="T1522" i="4"/>
  <c r="T1523" i="4"/>
  <c r="T1524" i="4"/>
  <c r="T1525" i="4"/>
  <c r="T1526" i="4"/>
  <c r="T1527" i="4"/>
  <c r="T1528" i="4"/>
  <c r="T1529" i="4"/>
  <c r="T1530" i="4"/>
  <c r="T1531" i="4"/>
  <c r="T1532" i="4"/>
  <c r="T1533" i="4"/>
  <c r="T1534" i="4"/>
  <c r="T1535" i="4"/>
  <c r="T1536" i="4"/>
  <c r="T1537" i="4"/>
  <c r="T1538" i="4"/>
  <c r="T1539" i="4"/>
  <c r="T1540" i="4"/>
  <c r="T1541" i="4"/>
  <c r="T1542" i="4"/>
  <c r="T1543" i="4"/>
  <c r="T1544" i="4"/>
  <c r="T1545" i="4"/>
  <c r="T1546" i="4"/>
  <c r="T1547" i="4"/>
  <c r="T1548" i="4"/>
  <c r="T1549" i="4"/>
  <c r="T1550" i="4"/>
  <c r="T1551" i="4"/>
  <c r="T1552" i="4"/>
  <c r="T1553" i="4"/>
  <c r="T1554" i="4"/>
  <c r="T1555" i="4"/>
  <c r="T1556" i="4"/>
  <c r="T1557" i="4"/>
  <c r="T1558" i="4"/>
  <c r="T1559" i="4"/>
  <c r="T1560" i="4"/>
  <c r="T1561" i="4"/>
  <c r="T1562" i="4"/>
  <c r="T1563" i="4"/>
  <c r="T1564" i="4"/>
  <c r="T1565" i="4"/>
  <c r="T1566" i="4"/>
  <c r="T1567" i="4"/>
  <c r="T1568" i="4"/>
  <c r="T1569" i="4"/>
  <c r="T1570" i="4"/>
  <c r="T1571" i="4"/>
  <c r="T1572" i="4"/>
  <c r="T1573" i="4"/>
  <c r="T1574" i="4"/>
  <c r="T1575" i="4"/>
  <c r="T1576" i="4"/>
  <c r="T1577" i="4"/>
  <c r="T1578" i="4"/>
  <c r="T1579" i="4"/>
  <c r="T1580" i="4"/>
  <c r="T1581" i="4"/>
  <c r="T1582" i="4"/>
  <c r="T1583" i="4"/>
  <c r="T1584" i="4"/>
  <c r="T1585" i="4"/>
  <c r="T1586" i="4"/>
  <c r="T1587" i="4"/>
  <c r="T1588" i="4"/>
  <c r="T1589" i="4"/>
  <c r="T1590" i="4"/>
  <c r="T1591" i="4"/>
  <c r="T1592" i="4"/>
  <c r="T1593" i="4"/>
  <c r="T1594" i="4"/>
  <c r="T1595" i="4"/>
  <c r="T1596" i="4"/>
  <c r="T1597" i="4"/>
  <c r="T1598" i="4"/>
  <c r="T1599" i="4"/>
  <c r="T1600" i="4"/>
  <c r="T1601" i="4"/>
  <c r="T1602" i="4"/>
  <c r="T1603" i="4"/>
  <c r="T1604" i="4"/>
  <c r="T1605" i="4"/>
  <c r="T1606" i="4"/>
  <c r="T1607" i="4"/>
  <c r="T1608" i="4"/>
  <c r="T1609" i="4"/>
  <c r="T1610" i="4"/>
  <c r="T1611" i="4"/>
  <c r="T1612" i="4"/>
  <c r="T1613" i="4"/>
  <c r="T1614" i="4"/>
  <c r="T1615" i="4"/>
  <c r="T1616" i="4"/>
  <c r="T1617" i="4"/>
  <c r="T1618" i="4"/>
  <c r="T1619" i="4"/>
  <c r="T1620" i="4"/>
  <c r="T1621" i="4"/>
  <c r="T1622" i="4"/>
  <c r="T1623" i="4"/>
  <c r="T1624" i="4"/>
  <c r="T1625" i="4"/>
  <c r="T1626" i="4"/>
  <c r="T1627" i="4"/>
  <c r="T1628" i="4"/>
  <c r="T1629" i="4"/>
  <c r="T1630" i="4"/>
  <c r="T1631" i="4"/>
  <c r="T1632" i="4"/>
  <c r="T1633" i="4"/>
  <c r="T1634" i="4"/>
  <c r="T1635" i="4"/>
  <c r="T1636" i="4"/>
  <c r="T1637" i="4"/>
  <c r="T1638" i="4"/>
  <c r="T1639" i="4"/>
  <c r="T1640" i="4"/>
  <c r="T1641" i="4"/>
  <c r="T1642" i="4"/>
  <c r="T1643" i="4"/>
  <c r="T1644" i="4"/>
  <c r="T1645" i="4"/>
  <c r="T1646" i="4"/>
  <c r="T1647" i="4"/>
  <c r="T1648" i="4"/>
  <c r="T1649" i="4"/>
  <c r="T1650" i="4"/>
  <c r="T1651" i="4"/>
  <c r="T1652" i="4"/>
  <c r="T1653" i="4"/>
  <c r="T1654" i="4"/>
  <c r="T1655" i="4"/>
  <c r="T1656" i="4"/>
  <c r="T1657" i="4"/>
  <c r="T1658" i="4"/>
  <c r="T1659" i="4"/>
  <c r="T1660" i="4"/>
  <c r="T1661" i="4"/>
  <c r="T1662" i="4"/>
  <c r="T1663" i="4"/>
  <c r="T1664" i="4"/>
  <c r="T1665" i="4"/>
  <c r="T1666" i="4"/>
  <c r="T1667" i="4"/>
  <c r="T1668" i="4"/>
  <c r="T1669" i="4"/>
  <c r="T1670" i="4"/>
  <c r="T1671" i="4"/>
  <c r="T1672" i="4"/>
  <c r="T1673" i="4"/>
  <c r="T1674" i="4"/>
  <c r="T1675" i="4"/>
  <c r="T1676" i="4"/>
  <c r="T1677" i="4"/>
  <c r="T1678" i="4"/>
  <c r="T1679" i="4"/>
  <c r="T1680" i="4"/>
  <c r="T1681" i="4"/>
  <c r="T1682" i="4"/>
  <c r="T1683" i="4"/>
  <c r="T1684" i="4"/>
  <c r="T1685" i="4"/>
  <c r="T1686" i="4"/>
  <c r="T1687" i="4"/>
  <c r="T1688" i="4"/>
  <c r="T1689" i="4"/>
  <c r="T1690" i="4"/>
  <c r="T1691" i="4"/>
  <c r="T1692" i="4"/>
  <c r="T1693" i="4"/>
  <c r="T1694" i="4"/>
  <c r="T1695" i="4"/>
  <c r="T1696" i="4"/>
  <c r="T1697" i="4"/>
  <c r="T1698" i="4"/>
  <c r="T1699" i="4"/>
  <c r="T1700" i="4"/>
  <c r="T1701" i="4"/>
  <c r="T1702" i="4"/>
  <c r="T1703" i="4"/>
  <c r="T1704" i="4"/>
  <c r="T1705" i="4"/>
  <c r="T1706" i="4"/>
  <c r="T1707" i="4"/>
  <c r="T1708" i="4"/>
  <c r="T1709" i="4"/>
  <c r="T1710" i="4"/>
  <c r="T1711" i="4"/>
  <c r="T1712" i="4"/>
  <c r="T1713" i="4"/>
  <c r="T1714" i="4"/>
  <c r="T1715" i="4"/>
  <c r="T1716" i="4"/>
  <c r="T1717" i="4"/>
  <c r="T1718" i="4"/>
  <c r="T1719" i="4"/>
  <c r="T1720" i="4"/>
  <c r="T1721" i="4"/>
  <c r="T1722" i="4"/>
  <c r="T1723" i="4"/>
  <c r="T1724" i="4"/>
  <c r="T1725" i="4"/>
  <c r="T1726" i="4"/>
  <c r="T1727" i="4"/>
  <c r="T1728" i="4"/>
  <c r="T1729" i="4"/>
  <c r="T1730" i="4"/>
  <c r="T1731" i="4"/>
  <c r="T1732" i="4"/>
  <c r="T1733" i="4"/>
  <c r="T1734" i="4"/>
  <c r="T1735" i="4"/>
  <c r="T1736" i="4"/>
  <c r="T1737" i="4"/>
  <c r="T1738" i="4"/>
  <c r="T1739" i="4"/>
  <c r="T1740" i="4"/>
  <c r="T1741" i="4"/>
  <c r="T1742" i="4"/>
  <c r="T1743" i="4"/>
  <c r="T1744" i="4"/>
  <c r="T1745" i="4"/>
  <c r="T1746" i="4"/>
  <c r="T1747" i="4"/>
  <c r="T1748" i="4"/>
  <c r="T1749" i="4"/>
  <c r="T1750" i="4"/>
  <c r="T1751" i="4"/>
  <c r="T1752" i="4"/>
  <c r="T1753" i="4"/>
  <c r="T1754" i="4"/>
  <c r="T1755" i="4"/>
  <c r="T1756" i="4"/>
  <c r="T1757" i="4"/>
  <c r="T1758" i="4"/>
  <c r="T1759" i="4"/>
  <c r="T1760" i="4"/>
  <c r="T1761" i="4"/>
  <c r="T1762" i="4"/>
  <c r="T1763" i="4"/>
  <c r="T1764" i="4"/>
  <c r="T1765" i="4"/>
  <c r="T1766" i="4"/>
  <c r="T1767" i="4"/>
  <c r="T1768" i="4"/>
  <c r="T1769" i="4"/>
  <c r="T1770" i="4"/>
  <c r="T1771" i="4"/>
  <c r="T1772" i="4"/>
  <c r="T1773" i="4"/>
  <c r="T1774" i="4"/>
  <c r="T1775" i="4"/>
  <c r="T1776" i="4"/>
  <c r="T1777" i="4"/>
  <c r="T1778" i="4"/>
  <c r="T1779" i="4"/>
  <c r="T1780" i="4"/>
  <c r="T1781" i="4"/>
  <c r="T1782" i="4"/>
  <c r="T1783" i="4"/>
  <c r="T1784" i="4"/>
  <c r="T1785" i="4"/>
  <c r="T1786" i="4"/>
  <c r="T1787" i="4"/>
  <c r="T1788" i="4"/>
  <c r="T1789" i="4"/>
  <c r="T1790" i="4"/>
  <c r="T1791" i="4"/>
  <c r="T1792" i="4"/>
  <c r="T1793" i="4"/>
  <c r="T1794" i="4"/>
  <c r="T1795" i="4"/>
  <c r="T1796" i="4"/>
  <c r="T1797" i="4"/>
  <c r="T1798" i="4"/>
  <c r="T1799" i="4"/>
  <c r="T1800" i="4"/>
  <c r="T1801" i="4"/>
  <c r="T1802" i="4"/>
  <c r="T1803" i="4"/>
  <c r="T1804" i="4"/>
  <c r="T1805" i="4"/>
  <c r="T1806" i="4"/>
  <c r="T1807" i="4"/>
  <c r="T1808" i="4"/>
  <c r="T1809" i="4"/>
  <c r="T1810" i="4"/>
  <c r="T1811" i="4"/>
  <c r="T1812" i="4"/>
  <c r="T1813" i="4"/>
  <c r="T1814" i="4"/>
  <c r="T1815" i="4"/>
  <c r="T1816" i="4"/>
  <c r="T1817" i="4"/>
  <c r="T1818" i="4"/>
  <c r="T1819" i="4"/>
  <c r="T1820" i="4"/>
  <c r="T1821" i="4"/>
  <c r="T1822" i="4"/>
  <c r="T1823" i="4"/>
  <c r="T1824" i="4"/>
  <c r="T1825" i="4"/>
  <c r="T1826" i="4"/>
  <c r="T1827" i="4"/>
  <c r="T1828" i="4"/>
  <c r="T1829" i="4"/>
  <c r="T1830" i="4"/>
  <c r="T1831" i="4"/>
  <c r="T1832" i="4"/>
  <c r="T1833" i="4"/>
  <c r="T1834" i="4"/>
  <c r="T1835" i="4"/>
  <c r="T1836" i="4"/>
  <c r="T1837" i="4"/>
  <c r="T1838" i="4"/>
  <c r="T1839" i="4"/>
  <c r="T1840" i="4"/>
  <c r="T1841" i="4"/>
  <c r="T1842" i="4"/>
  <c r="T1843" i="4"/>
  <c r="T1844" i="4"/>
  <c r="T1845" i="4"/>
  <c r="T1846" i="4"/>
  <c r="T1847" i="4"/>
  <c r="T1848" i="4"/>
  <c r="T1849" i="4"/>
  <c r="T1850" i="4"/>
  <c r="T1851" i="4"/>
  <c r="T1852" i="4"/>
  <c r="T1853" i="4"/>
  <c r="T1854" i="4"/>
  <c r="T1855" i="4"/>
  <c r="T1856" i="4"/>
  <c r="T1857" i="4"/>
  <c r="T1858" i="4"/>
  <c r="T1859" i="4"/>
  <c r="T1860" i="4"/>
  <c r="T1861" i="4"/>
  <c r="T1862" i="4"/>
  <c r="T1863" i="4"/>
  <c r="T1864" i="4"/>
  <c r="T1865" i="4"/>
  <c r="T1866" i="4"/>
  <c r="T1867" i="4"/>
  <c r="T1868" i="4"/>
  <c r="T1869" i="4"/>
  <c r="T1870" i="4"/>
  <c r="T1871" i="4"/>
  <c r="T1872" i="4"/>
  <c r="T1873" i="4"/>
  <c r="T1874" i="4"/>
  <c r="T1875" i="4"/>
  <c r="T1876" i="4"/>
  <c r="T1877" i="4"/>
  <c r="T1878" i="4"/>
  <c r="T1879" i="4"/>
  <c r="T1880" i="4"/>
  <c r="T1881" i="4"/>
  <c r="T1882" i="4"/>
  <c r="T1883" i="4"/>
  <c r="T1884" i="4"/>
  <c r="T1885" i="4"/>
  <c r="T1886" i="4"/>
  <c r="T1887" i="4"/>
  <c r="T1888" i="4"/>
  <c r="T1889" i="4"/>
  <c r="T1890" i="4"/>
  <c r="T1891" i="4"/>
  <c r="T1892" i="4"/>
  <c r="T1893" i="4"/>
  <c r="T1894" i="4"/>
  <c r="T1895" i="4"/>
  <c r="T1896" i="4"/>
  <c r="T1897" i="4"/>
  <c r="T1898" i="4"/>
  <c r="T1899" i="4"/>
  <c r="T1900" i="4"/>
  <c r="T1901" i="4"/>
  <c r="T1902" i="4"/>
  <c r="T1903" i="4"/>
  <c r="T1904" i="4"/>
  <c r="T1905" i="4"/>
  <c r="T1906" i="4"/>
  <c r="T1907" i="4"/>
  <c r="T1908" i="4"/>
  <c r="T1909" i="4"/>
  <c r="T1910" i="4"/>
  <c r="T1911" i="4"/>
  <c r="T1912" i="4"/>
  <c r="T1913" i="4"/>
  <c r="T1914" i="4"/>
  <c r="T1915" i="4"/>
  <c r="T1916" i="4"/>
  <c r="T1917" i="4"/>
  <c r="T1918" i="4"/>
  <c r="T1919" i="4"/>
  <c r="T1920" i="4"/>
  <c r="T1921" i="4"/>
  <c r="T1922" i="4"/>
  <c r="T1923" i="4"/>
  <c r="T1924" i="4"/>
  <c r="T1925" i="4"/>
  <c r="T1926" i="4"/>
  <c r="T1927" i="4"/>
  <c r="T1928" i="4"/>
  <c r="T1929" i="4"/>
  <c r="T1930" i="4"/>
  <c r="T1931" i="4"/>
  <c r="T1932" i="4"/>
  <c r="T1933" i="4"/>
  <c r="T1934" i="4"/>
  <c r="T1935" i="4"/>
  <c r="T1936" i="4"/>
  <c r="T1937" i="4"/>
  <c r="T1938" i="4"/>
  <c r="T1939" i="4"/>
  <c r="T1940" i="4"/>
  <c r="T1941" i="4"/>
  <c r="T1942" i="4"/>
  <c r="T1943" i="4"/>
  <c r="T1944" i="4"/>
  <c r="T1945" i="4"/>
  <c r="T1946" i="4"/>
  <c r="T1947" i="4"/>
  <c r="T1948" i="4"/>
  <c r="T1949" i="4"/>
  <c r="T1950" i="4"/>
  <c r="T1951" i="4"/>
  <c r="T1952" i="4"/>
  <c r="T1953" i="4"/>
  <c r="T1954" i="4"/>
  <c r="T1955" i="4"/>
  <c r="T1956" i="4"/>
  <c r="T1957" i="4"/>
  <c r="T1958" i="4"/>
  <c r="T1959" i="4"/>
  <c r="T1960" i="4"/>
  <c r="T1961" i="4"/>
  <c r="T1962" i="4"/>
  <c r="T1963" i="4"/>
  <c r="T1964" i="4"/>
  <c r="T1965" i="4"/>
  <c r="T1966" i="4"/>
  <c r="T1967" i="4"/>
  <c r="T1968" i="4"/>
  <c r="T1969" i="4"/>
  <c r="T1970" i="4"/>
  <c r="T1971" i="4"/>
  <c r="T1972" i="4"/>
  <c r="T1973" i="4"/>
  <c r="T1974" i="4"/>
  <c r="T1975" i="4"/>
  <c r="T1976" i="4"/>
  <c r="T1977" i="4"/>
  <c r="T1978" i="4"/>
  <c r="T1979" i="4"/>
  <c r="T1980" i="4"/>
  <c r="T1981" i="4"/>
  <c r="T1982" i="4"/>
  <c r="T1983" i="4"/>
  <c r="T1984" i="4"/>
  <c r="T1985" i="4"/>
  <c r="T1986" i="4"/>
  <c r="T1987" i="4"/>
  <c r="T1988" i="4"/>
  <c r="T1989" i="4"/>
  <c r="T1990" i="4"/>
  <c r="T1991" i="4"/>
  <c r="T1992" i="4"/>
  <c r="T1993" i="4"/>
  <c r="T1994" i="4"/>
  <c r="T1995" i="4"/>
  <c r="T1996" i="4"/>
  <c r="T1997" i="4"/>
  <c r="T1998" i="4"/>
  <c r="T1999" i="4"/>
  <c r="T2000" i="4"/>
  <c r="T2001" i="4"/>
  <c r="T2002" i="4"/>
  <c r="T2003" i="4"/>
  <c r="T2004" i="4"/>
  <c r="T2005" i="4"/>
  <c r="T2006" i="4"/>
  <c r="T2007" i="4"/>
  <c r="T2008" i="4"/>
  <c r="T2009" i="4"/>
  <c r="T2010" i="4"/>
  <c r="T2011" i="4"/>
  <c r="T2012" i="4"/>
  <c r="T2013" i="4"/>
  <c r="T2014" i="4"/>
  <c r="T2015" i="4"/>
  <c r="T2016" i="4"/>
  <c r="T2017" i="4"/>
  <c r="T2018" i="4"/>
  <c r="T2019" i="4"/>
  <c r="T2020" i="4"/>
  <c r="T2021" i="4"/>
  <c r="T2022" i="4"/>
  <c r="T2023" i="4"/>
  <c r="T2024" i="4"/>
  <c r="T2025" i="4"/>
  <c r="T2026" i="4"/>
  <c r="T2027" i="4"/>
  <c r="T2028" i="4"/>
  <c r="T2029" i="4"/>
  <c r="T2030" i="4"/>
  <c r="T2031" i="4"/>
  <c r="T2032" i="4"/>
  <c r="T2033" i="4"/>
  <c r="T2034" i="4"/>
  <c r="T2035" i="4"/>
  <c r="T2036" i="4"/>
  <c r="T2037" i="4"/>
  <c r="T2038" i="4"/>
  <c r="T2039" i="4"/>
  <c r="T2040" i="4"/>
  <c r="T2041" i="4"/>
  <c r="T2042" i="4"/>
  <c r="T2043" i="4"/>
  <c r="T2044" i="4"/>
  <c r="T2045" i="4"/>
  <c r="T2046" i="4"/>
  <c r="T2047" i="4"/>
  <c r="T2048" i="4"/>
  <c r="T2049" i="4"/>
  <c r="T2050" i="4"/>
  <c r="T2051" i="4"/>
  <c r="T2052" i="4"/>
  <c r="T2053" i="4"/>
  <c r="T2054" i="4"/>
  <c r="T2055" i="4"/>
  <c r="T2056" i="4"/>
  <c r="T2057" i="4"/>
  <c r="T2058" i="4"/>
  <c r="T2059" i="4"/>
  <c r="T2060" i="4"/>
  <c r="T2061" i="4"/>
  <c r="T2062" i="4"/>
  <c r="T2063" i="4"/>
  <c r="T2064" i="4"/>
  <c r="T2065" i="4"/>
  <c r="T2066" i="4"/>
  <c r="T2067" i="4"/>
  <c r="T2068" i="4"/>
  <c r="T2069" i="4"/>
  <c r="T2070" i="4"/>
  <c r="T2071" i="4"/>
  <c r="T2072" i="4"/>
  <c r="T2073" i="4"/>
  <c r="T2074" i="4"/>
  <c r="T2075" i="4"/>
  <c r="T2076" i="4"/>
  <c r="T2077" i="4"/>
  <c r="T2078" i="4"/>
  <c r="T2079" i="4"/>
  <c r="T2080" i="4"/>
  <c r="T2081" i="4"/>
  <c r="T2082" i="4"/>
  <c r="T2083" i="4"/>
  <c r="T2084" i="4"/>
  <c r="T2085" i="4"/>
  <c r="T2086" i="4"/>
  <c r="T2087" i="4"/>
  <c r="T2088" i="4"/>
  <c r="T2089" i="4"/>
  <c r="T2090" i="4"/>
  <c r="T2091" i="4"/>
  <c r="T2092" i="4"/>
  <c r="T2093" i="4"/>
  <c r="T2094" i="4"/>
  <c r="T2095" i="4"/>
  <c r="T2096" i="4"/>
  <c r="T2097" i="4"/>
  <c r="T2098" i="4"/>
  <c r="T2099" i="4"/>
  <c r="T2100" i="4"/>
  <c r="T2101" i="4"/>
  <c r="T2102" i="4"/>
  <c r="T2103" i="4"/>
  <c r="T2104" i="4"/>
  <c r="T2105" i="4"/>
  <c r="T2106" i="4"/>
  <c r="T2107" i="4"/>
  <c r="T2108" i="4"/>
  <c r="T2109" i="4"/>
  <c r="T2110" i="4"/>
  <c r="T2111" i="4"/>
  <c r="T2112" i="4"/>
  <c r="T2113" i="4"/>
  <c r="T2114" i="4"/>
  <c r="T2115" i="4"/>
  <c r="T2116" i="4"/>
  <c r="T2117" i="4"/>
  <c r="T2118" i="4"/>
  <c r="T2119" i="4"/>
  <c r="T2120" i="4"/>
  <c r="T2121" i="4"/>
  <c r="T2122" i="4"/>
  <c r="T2123" i="4"/>
  <c r="T2124" i="4"/>
  <c r="T2125" i="4"/>
  <c r="T2126" i="4"/>
  <c r="T2127" i="4"/>
  <c r="T2128" i="4"/>
  <c r="T2129" i="4"/>
  <c r="T2130" i="4"/>
  <c r="T2131" i="4"/>
  <c r="T2132" i="4"/>
  <c r="T2133" i="4"/>
  <c r="T2134" i="4"/>
  <c r="T2135" i="4"/>
  <c r="T2136" i="4"/>
  <c r="T2137" i="4"/>
  <c r="T2138" i="4"/>
  <c r="T2139" i="4"/>
  <c r="T2140" i="4"/>
  <c r="T2141" i="4"/>
  <c r="T2142" i="4"/>
  <c r="T2143" i="4"/>
  <c r="T2144" i="4"/>
  <c r="T2145" i="4"/>
  <c r="T2146" i="4"/>
  <c r="T2147" i="4"/>
  <c r="T2148" i="4"/>
  <c r="T2149" i="4"/>
  <c r="T2150" i="4"/>
  <c r="T2151" i="4"/>
  <c r="T2152" i="4"/>
  <c r="T2153" i="4"/>
  <c r="T2154" i="4"/>
  <c r="T2155" i="4"/>
  <c r="T2156" i="4"/>
  <c r="T2157" i="4"/>
  <c r="T2158" i="4"/>
  <c r="T2159" i="4"/>
  <c r="T2160" i="4"/>
  <c r="T2161" i="4"/>
  <c r="T2162" i="4"/>
  <c r="T2163" i="4"/>
  <c r="T2164" i="4"/>
  <c r="T2165" i="4"/>
  <c r="T2166" i="4"/>
  <c r="T2167" i="4"/>
  <c r="T2168" i="4"/>
  <c r="T2169" i="4"/>
  <c r="T2170" i="4"/>
  <c r="T2171" i="4"/>
  <c r="T2172" i="4"/>
  <c r="T2173" i="4"/>
  <c r="T2174" i="4"/>
  <c r="T2175" i="4"/>
  <c r="T2176" i="4"/>
  <c r="T2177" i="4"/>
  <c r="T2178" i="4"/>
  <c r="T2179" i="4"/>
  <c r="T2180" i="4"/>
  <c r="T2181" i="4"/>
  <c r="T2182" i="4"/>
  <c r="T2183" i="4"/>
  <c r="T2184" i="4"/>
  <c r="T2185" i="4"/>
  <c r="T2186" i="4"/>
  <c r="T2187" i="4"/>
  <c r="T2188" i="4"/>
  <c r="T2189" i="4"/>
  <c r="T2190" i="4"/>
  <c r="T2191" i="4"/>
  <c r="T2192" i="4"/>
  <c r="T2193" i="4"/>
  <c r="T2194" i="4"/>
  <c r="T2195" i="4"/>
  <c r="T2196" i="4"/>
  <c r="T2197" i="4"/>
  <c r="T2198" i="4"/>
  <c r="T2199" i="4"/>
  <c r="T2200" i="4"/>
  <c r="T2201" i="4"/>
  <c r="T2202" i="4"/>
  <c r="T2203" i="4"/>
  <c r="T2204" i="4"/>
  <c r="T2205" i="4"/>
  <c r="T2206" i="4"/>
  <c r="T2207" i="4"/>
  <c r="T2208" i="4"/>
  <c r="T2209" i="4"/>
  <c r="T2210" i="4"/>
  <c r="T2211" i="4"/>
  <c r="T2212" i="4"/>
  <c r="T2213" i="4"/>
  <c r="T2214" i="4"/>
  <c r="T2215" i="4"/>
  <c r="T2216" i="4"/>
  <c r="T2217" i="4"/>
  <c r="T2218" i="4"/>
  <c r="T2219" i="4"/>
  <c r="T2220" i="4"/>
  <c r="T2221" i="4"/>
  <c r="T2222" i="4"/>
  <c r="T2223" i="4"/>
  <c r="T2224" i="4"/>
  <c r="T2225" i="4"/>
  <c r="T2226" i="4"/>
  <c r="T2227" i="4"/>
  <c r="T2228" i="4"/>
  <c r="T2229" i="4"/>
  <c r="T2230" i="4"/>
  <c r="T2231" i="4"/>
  <c r="T2232" i="4"/>
  <c r="T2233" i="4"/>
  <c r="T2234" i="4"/>
  <c r="T2235" i="4"/>
  <c r="T2236" i="4"/>
  <c r="T2237" i="4"/>
  <c r="T2238" i="4"/>
  <c r="T2239" i="4"/>
  <c r="T2240" i="4"/>
  <c r="T2241" i="4"/>
  <c r="T2242" i="4"/>
  <c r="T2243" i="4"/>
  <c r="T2244" i="4"/>
  <c r="T2245" i="4"/>
  <c r="T2246" i="4"/>
  <c r="T2247" i="4"/>
  <c r="T2248" i="4"/>
  <c r="T2249" i="4"/>
  <c r="T2250" i="4"/>
  <c r="T2251" i="4"/>
  <c r="T2252" i="4"/>
  <c r="T2253" i="4"/>
  <c r="T2254" i="4"/>
  <c r="T2255" i="4"/>
  <c r="T2256" i="4"/>
  <c r="T2257" i="4"/>
  <c r="T2258" i="4"/>
  <c r="T2259" i="4"/>
  <c r="T2260" i="4"/>
  <c r="T2261" i="4"/>
  <c r="T2262" i="4"/>
  <c r="T2263" i="4"/>
  <c r="T2264" i="4"/>
  <c r="T2265" i="4"/>
  <c r="T2266" i="4"/>
  <c r="T2267" i="4"/>
  <c r="T2268" i="4"/>
  <c r="T2269" i="4"/>
  <c r="T2270" i="4"/>
  <c r="T2271" i="4"/>
  <c r="T2272" i="4"/>
  <c r="T2273" i="4"/>
  <c r="T2274" i="4"/>
  <c r="T2275" i="4"/>
  <c r="T2276" i="4"/>
  <c r="T2277" i="4"/>
  <c r="T2278" i="4"/>
  <c r="T2279" i="4"/>
  <c r="T2280" i="4"/>
  <c r="T2281" i="4"/>
  <c r="T2282" i="4"/>
  <c r="T2283" i="4"/>
  <c r="T2284" i="4"/>
  <c r="T2285" i="4"/>
  <c r="T2286" i="4"/>
  <c r="T2287" i="4"/>
  <c r="T2288" i="4"/>
  <c r="T2289" i="4"/>
  <c r="T2290" i="4"/>
  <c r="T2291" i="4"/>
  <c r="T2292" i="4"/>
  <c r="T2293" i="4"/>
  <c r="T2294" i="4"/>
  <c r="T2295" i="4"/>
  <c r="T2296" i="4"/>
  <c r="T2297" i="4"/>
  <c r="T2298" i="4"/>
  <c r="T2299" i="4"/>
  <c r="T2300" i="4"/>
  <c r="T2301" i="4"/>
  <c r="T2302" i="4"/>
  <c r="T2303" i="4"/>
  <c r="T2304" i="4"/>
  <c r="T2305" i="4"/>
  <c r="T2306" i="4"/>
  <c r="T2307" i="4"/>
  <c r="T2308" i="4"/>
  <c r="T2309" i="4"/>
  <c r="T2310" i="4"/>
  <c r="T2311" i="4"/>
  <c r="T2312" i="4"/>
  <c r="T2313" i="4"/>
  <c r="T2314" i="4"/>
  <c r="T2315" i="4"/>
  <c r="T2316" i="4"/>
  <c r="T2317" i="4"/>
  <c r="T2318" i="4"/>
  <c r="T2319" i="4"/>
  <c r="T2320" i="4"/>
  <c r="T2321" i="4"/>
  <c r="T2322" i="4"/>
  <c r="T2323" i="4"/>
  <c r="T2324" i="4"/>
  <c r="T2325" i="4"/>
  <c r="T2326" i="4"/>
  <c r="T2327" i="4"/>
  <c r="T2328" i="4"/>
  <c r="T2329" i="4"/>
  <c r="T2330" i="4"/>
  <c r="T2331" i="4"/>
  <c r="T2332" i="4"/>
  <c r="T2333" i="4"/>
  <c r="T2334" i="4"/>
  <c r="T2335" i="4"/>
  <c r="T2336" i="4"/>
  <c r="T2337" i="4"/>
  <c r="T2338" i="4"/>
  <c r="T2339" i="4"/>
  <c r="T2340" i="4"/>
  <c r="T2341" i="4"/>
  <c r="T2342" i="4"/>
  <c r="T2343" i="4"/>
  <c r="T2344" i="4"/>
  <c r="T2345" i="4"/>
  <c r="T2346" i="4"/>
  <c r="T2347" i="4"/>
  <c r="T2348" i="4"/>
  <c r="T2349" i="4"/>
  <c r="T2350" i="4"/>
  <c r="T2351" i="4"/>
  <c r="T2352" i="4"/>
  <c r="T2353" i="4"/>
  <c r="T2354" i="4"/>
  <c r="T2355" i="4"/>
  <c r="T2356" i="4"/>
  <c r="T2357" i="4"/>
  <c r="T2358" i="4"/>
  <c r="T2359" i="4"/>
  <c r="T2360" i="4"/>
  <c r="T2361" i="4"/>
  <c r="T2362" i="4"/>
  <c r="T2363" i="4"/>
  <c r="T2364" i="4"/>
  <c r="T2365" i="4"/>
  <c r="T2366" i="4"/>
  <c r="T2367" i="4"/>
  <c r="T2368" i="4"/>
  <c r="T2369" i="4"/>
  <c r="T2370" i="4"/>
  <c r="T2371" i="4"/>
  <c r="T2372" i="4"/>
  <c r="T2373" i="4"/>
  <c r="T2374" i="4"/>
  <c r="T2375" i="4"/>
  <c r="T2376" i="4"/>
  <c r="T2377" i="4"/>
  <c r="T2378" i="4"/>
  <c r="T2379" i="4"/>
  <c r="T2380" i="4"/>
  <c r="T2381" i="4"/>
  <c r="T2382" i="4"/>
  <c r="T2383" i="4"/>
  <c r="T2384" i="4"/>
  <c r="T2385" i="4"/>
  <c r="T2386" i="4"/>
  <c r="T2387" i="4"/>
  <c r="T2388" i="4"/>
  <c r="T2389" i="4"/>
  <c r="T2390" i="4"/>
  <c r="T2391" i="4"/>
  <c r="T2392" i="4"/>
  <c r="T2393" i="4"/>
  <c r="T2394" i="4"/>
  <c r="T2395" i="4"/>
  <c r="T2396" i="4"/>
  <c r="T2397" i="4"/>
  <c r="T2398" i="4"/>
  <c r="T2399" i="4"/>
  <c r="T2400" i="4"/>
  <c r="T2401" i="4"/>
  <c r="T2402" i="4"/>
  <c r="T2403" i="4"/>
  <c r="T2404" i="4"/>
  <c r="T2405" i="4"/>
  <c r="T2406" i="4"/>
  <c r="T2407" i="4"/>
  <c r="T2408" i="4"/>
  <c r="T2409" i="4"/>
  <c r="T2410" i="4"/>
  <c r="T2411" i="4"/>
  <c r="T2412" i="4"/>
  <c r="T2413" i="4"/>
  <c r="T2414" i="4"/>
  <c r="T2415" i="4"/>
  <c r="T2416" i="4"/>
  <c r="T2417" i="4"/>
  <c r="T2418" i="4"/>
  <c r="T2419" i="4"/>
  <c r="T2420" i="4"/>
  <c r="T2421" i="4"/>
  <c r="T2422" i="4"/>
  <c r="T2423" i="4"/>
  <c r="T2424" i="4"/>
  <c r="T2425" i="4"/>
  <c r="T2426" i="4"/>
  <c r="T2427" i="4"/>
  <c r="T2428" i="4"/>
  <c r="T2429" i="4"/>
  <c r="T2430" i="4"/>
  <c r="T2431" i="4"/>
  <c r="T2432" i="4"/>
  <c r="T2433" i="4"/>
  <c r="T2434" i="4"/>
  <c r="T2435" i="4"/>
  <c r="T2436" i="4"/>
  <c r="T2437" i="4"/>
  <c r="T2438" i="4"/>
  <c r="T2439" i="4"/>
  <c r="T2440" i="4"/>
  <c r="T2441" i="4"/>
  <c r="T2442" i="4"/>
  <c r="T2443" i="4"/>
  <c r="T2444" i="4"/>
  <c r="T2445" i="4"/>
  <c r="T2446" i="4"/>
  <c r="T2447" i="4"/>
  <c r="T2448" i="4"/>
  <c r="T2449" i="4"/>
  <c r="T2450" i="4"/>
  <c r="T2451" i="4"/>
  <c r="T2452" i="4"/>
  <c r="T2453" i="4"/>
  <c r="T2454" i="4"/>
  <c r="T2455" i="4"/>
  <c r="T2456" i="4"/>
  <c r="T2457" i="4"/>
  <c r="T2458" i="4"/>
  <c r="T2459" i="4"/>
  <c r="T2460" i="4"/>
  <c r="T2461" i="4"/>
  <c r="T2462" i="4"/>
  <c r="T2463" i="4"/>
  <c r="T2464" i="4"/>
  <c r="T2465" i="4"/>
  <c r="T2466" i="4"/>
  <c r="T2467" i="4"/>
  <c r="T2468" i="4"/>
  <c r="T2469" i="4"/>
  <c r="T2470" i="4"/>
  <c r="T2471" i="4"/>
  <c r="T2472" i="4"/>
  <c r="T2473" i="4"/>
  <c r="T2474" i="4"/>
  <c r="T2475" i="4"/>
  <c r="T2476" i="4"/>
  <c r="T2477" i="4"/>
  <c r="T2478" i="4"/>
  <c r="T2479" i="4"/>
  <c r="T2480" i="4"/>
  <c r="T2481" i="4"/>
  <c r="T2482" i="4"/>
  <c r="T2483" i="4"/>
  <c r="T2484" i="4"/>
  <c r="T2485" i="4"/>
  <c r="T2486" i="4"/>
  <c r="T2487" i="4"/>
  <c r="T2488" i="4"/>
  <c r="T2489" i="4"/>
  <c r="T2490" i="4"/>
  <c r="T2491" i="4"/>
  <c r="T2492" i="4"/>
  <c r="T2493" i="4"/>
  <c r="T2494" i="4"/>
  <c r="T2495" i="4"/>
  <c r="T2496" i="4"/>
  <c r="T2497" i="4"/>
  <c r="T2498" i="4"/>
  <c r="T2499" i="4"/>
  <c r="T2500" i="4"/>
  <c r="T2501" i="4"/>
  <c r="T2502" i="4"/>
  <c r="T2503" i="4"/>
  <c r="T2504" i="4"/>
  <c r="T2505" i="4"/>
  <c r="T2506" i="4"/>
  <c r="T2507" i="4"/>
  <c r="T2508" i="4"/>
  <c r="T2509" i="4"/>
  <c r="T2510" i="4"/>
  <c r="T2511" i="4"/>
  <c r="T2512" i="4"/>
  <c r="T2513" i="4"/>
  <c r="T2514" i="4"/>
  <c r="T2515" i="4"/>
  <c r="T2516" i="4"/>
  <c r="T2517" i="4"/>
  <c r="T2518" i="4"/>
  <c r="T2519" i="4"/>
  <c r="T2520" i="4"/>
  <c r="T2521" i="4"/>
  <c r="T2522" i="4"/>
  <c r="T2523" i="4"/>
  <c r="T2524" i="4"/>
  <c r="T2525" i="4"/>
  <c r="T2526" i="4"/>
  <c r="T2527" i="4"/>
  <c r="T2528" i="4"/>
  <c r="T2529" i="4"/>
  <c r="T2530" i="4"/>
  <c r="T2531" i="4"/>
  <c r="T2532" i="4"/>
  <c r="T2533" i="4"/>
  <c r="T2534" i="4"/>
  <c r="T2535" i="4"/>
  <c r="T2536" i="4"/>
  <c r="T2537" i="4"/>
  <c r="T2538" i="4"/>
  <c r="T2539" i="4"/>
  <c r="T2540" i="4"/>
  <c r="T2541" i="4"/>
  <c r="T2542" i="4"/>
  <c r="T2543" i="4"/>
  <c r="T2544" i="4"/>
  <c r="T2545" i="4"/>
  <c r="T2546" i="4"/>
  <c r="T2547" i="4"/>
  <c r="T2548" i="4"/>
  <c r="T2549" i="4"/>
  <c r="T2550" i="4"/>
  <c r="T2551" i="4"/>
  <c r="T2552" i="4"/>
  <c r="T2553" i="4"/>
  <c r="T2554" i="4"/>
  <c r="T2555" i="4"/>
  <c r="T2556" i="4"/>
  <c r="T2557" i="4"/>
  <c r="T2558" i="4"/>
  <c r="T2559" i="4"/>
  <c r="T2560" i="4"/>
  <c r="T2561" i="4"/>
  <c r="T2562" i="4"/>
  <c r="T2563" i="4"/>
  <c r="T2564" i="4"/>
  <c r="T2565" i="4"/>
  <c r="T2566" i="4"/>
  <c r="T2567" i="4"/>
  <c r="T2568" i="4"/>
  <c r="T2569" i="4"/>
  <c r="T2570" i="4"/>
  <c r="T2571" i="4"/>
  <c r="T2572" i="4"/>
  <c r="T2573" i="4"/>
  <c r="T2574" i="4"/>
  <c r="T2575" i="4"/>
  <c r="T2576" i="4"/>
  <c r="T2577" i="4"/>
  <c r="T2578" i="4"/>
  <c r="T2579" i="4"/>
  <c r="T2580" i="4"/>
  <c r="T2581" i="4"/>
  <c r="T2582" i="4"/>
  <c r="T2583" i="4"/>
  <c r="T2584" i="4"/>
  <c r="T2585" i="4"/>
  <c r="T2586" i="4"/>
  <c r="T2587" i="4"/>
  <c r="T2588" i="4"/>
  <c r="T2589" i="4"/>
  <c r="T2590" i="4"/>
  <c r="T2591" i="4"/>
  <c r="T2592" i="4"/>
  <c r="T2593" i="4"/>
  <c r="T2594" i="4"/>
  <c r="T2595" i="4"/>
  <c r="T2596" i="4"/>
  <c r="T2597" i="4"/>
  <c r="T2598" i="4"/>
  <c r="T2599" i="4"/>
  <c r="T2600" i="4"/>
  <c r="T2601" i="4"/>
  <c r="T2602" i="4"/>
  <c r="T2603" i="4"/>
  <c r="T2604" i="4"/>
  <c r="T2605" i="4"/>
  <c r="T2606" i="4"/>
  <c r="T2607" i="4"/>
  <c r="T2608" i="4"/>
  <c r="T2609" i="4"/>
  <c r="T2610" i="4"/>
  <c r="T2611" i="4"/>
  <c r="T2612" i="4"/>
  <c r="T2613" i="4"/>
  <c r="T2614" i="4"/>
  <c r="T2615" i="4"/>
  <c r="T2616" i="4"/>
  <c r="T2617" i="4"/>
  <c r="T2618" i="4"/>
  <c r="T2619" i="4"/>
  <c r="T2620" i="4"/>
  <c r="T2621" i="4"/>
  <c r="T2622" i="4"/>
  <c r="T2623" i="4"/>
  <c r="T2624" i="4"/>
  <c r="T2625" i="4"/>
  <c r="T2626" i="4"/>
  <c r="T2627" i="4"/>
  <c r="T2628" i="4"/>
  <c r="T2629" i="4"/>
  <c r="T2630" i="4"/>
  <c r="T2631" i="4"/>
  <c r="T2632" i="4"/>
  <c r="T2633" i="4"/>
  <c r="T2634" i="4"/>
  <c r="T2635" i="4"/>
  <c r="T2636" i="4"/>
  <c r="T2637" i="4"/>
  <c r="T2638" i="4"/>
  <c r="T2639" i="4"/>
  <c r="T2640" i="4"/>
  <c r="T2641" i="4"/>
  <c r="T2642" i="4"/>
  <c r="T2643" i="4"/>
  <c r="T2644" i="4"/>
  <c r="T2645" i="4"/>
  <c r="T2646" i="4"/>
  <c r="T2647" i="4"/>
  <c r="T2648" i="4"/>
  <c r="T2649" i="4"/>
  <c r="T2650" i="4"/>
  <c r="T2651" i="4"/>
  <c r="T2652" i="4"/>
  <c r="T2653" i="4"/>
  <c r="T2654" i="4"/>
  <c r="T2655" i="4"/>
  <c r="T2656" i="4"/>
  <c r="T2657" i="4"/>
  <c r="T2658" i="4"/>
  <c r="T2659" i="4"/>
  <c r="T2660" i="4"/>
  <c r="T2661" i="4"/>
  <c r="T2662" i="4"/>
  <c r="T2663" i="4"/>
  <c r="T2664" i="4"/>
  <c r="T2665" i="4"/>
  <c r="T2666" i="4"/>
  <c r="T2667" i="4"/>
  <c r="T2668" i="4"/>
  <c r="T2669" i="4"/>
  <c r="T2670" i="4"/>
  <c r="T2671" i="4"/>
  <c r="T2672" i="4"/>
  <c r="T2673" i="4"/>
  <c r="T2674" i="4"/>
  <c r="T2675" i="4"/>
  <c r="T2676" i="4"/>
  <c r="T2677" i="4"/>
  <c r="T2678" i="4"/>
  <c r="T2679" i="4"/>
  <c r="T2680" i="4"/>
  <c r="T2681" i="4"/>
  <c r="T2682" i="4"/>
  <c r="T2683" i="4"/>
  <c r="T2684" i="4"/>
  <c r="T2685" i="4"/>
  <c r="T2686" i="4"/>
  <c r="T2687" i="4"/>
  <c r="T2688" i="4"/>
  <c r="T2689" i="4"/>
  <c r="T2690" i="4"/>
  <c r="T2691" i="4"/>
  <c r="T2692" i="4"/>
  <c r="T2693" i="4"/>
  <c r="T2694" i="4"/>
  <c r="T2695" i="4"/>
  <c r="T2696" i="4"/>
  <c r="T2697" i="4"/>
  <c r="T2698" i="4"/>
  <c r="T2699" i="4"/>
  <c r="T2700" i="4"/>
  <c r="T2701" i="4"/>
  <c r="T2702" i="4"/>
  <c r="T2703" i="4"/>
  <c r="T2704" i="4"/>
  <c r="T2705" i="4"/>
  <c r="T2706" i="4"/>
  <c r="T2707" i="4"/>
  <c r="T2708" i="4"/>
  <c r="T2709" i="4"/>
  <c r="T2710" i="4"/>
  <c r="T2711" i="4"/>
  <c r="T2712" i="4"/>
  <c r="T2713" i="4"/>
  <c r="T2714" i="4"/>
  <c r="T2715" i="4"/>
  <c r="T2716" i="4"/>
  <c r="T2717" i="4"/>
  <c r="T2718" i="4"/>
  <c r="T2719" i="4"/>
  <c r="T2720" i="4"/>
  <c r="T2721" i="4"/>
  <c r="T2722" i="4"/>
  <c r="T2723" i="4"/>
  <c r="T2724" i="4"/>
  <c r="T2725" i="4"/>
  <c r="T2726" i="4"/>
  <c r="T2727" i="4"/>
  <c r="T2728" i="4"/>
  <c r="T2729" i="4"/>
  <c r="T2730" i="4"/>
  <c r="T2731" i="4"/>
  <c r="T2732" i="4"/>
  <c r="T2733" i="4"/>
  <c r="T2734" i="4"/>
  <c r="T2735" i="4"/>
  <c r="T2736" i="4"/>
  <c r="T2737" i="4"/>
  <c r="T2738" i="4"/>
  <c r="T2739" i="4"/>
  <c r="T2740" i="4"/>
  <c r="T2741" i="4"/>
  <c r="T2742" i="4"/>
  <c r="T2743" i="4"/>
  <c r="T2744" i="4"/>
  <c r="T2745" i="4"/>
  <c r="T2746" i="4"/>
  <c r="T2747" i="4"/>
  <c r="T2748" i="4"/>
  <c r="T2749" i="4"/>
  <c r="T2750" i="4"/>
  <c r="T2751" i="4"/>
  <c r="T2752" i="4"/>
  <c r="T2753" i="4"/>
  <c r="T2754" i="4"/>
  <c r="T2755" i="4"/>
  <c r="T2756" i="4"/>
  <c r="T2757" i="4"/>
  <c r="T2758" i="4"/>
  <c r="T2759" i="4"/>
  <c r="T2760" i="4"/>
  <c r="T2761" i="4"/>
  <c r="T2762" i="4"/>
  <c r="T2763" i="4"/>
  <c r="T2764" i="4"/>
  <c r="T2765" i="4"/>
  <c r="T2766" i="4"/>
  <c r="T2767" i="4"/>
  <c r="T2768" i="4"/>
  <c r="T2769" i="4"/>
  <c r="T2770" i="4"/>
  <c r="T2771" i="4"/>
  <c r="T2772" i="4"/>
  <c r="T2773" i="4"/>
  <c r="T2774" i="4"/>
  <c r="T2775" i="4"/>
  <c r="T2776" i="4"/>
  <c r="T2777" i="4"/>
  <c r="T2778" i="4"/>
  <c r="T2779" i="4"/>
  <c r="T2780" i="4"/>
  <c r="T2781" i="4"/>
  <c r="T2782" i="4"/>
  <c r="T2783" i="4"/>
  <c r="T2784" i="4"/>
  <c r="T2785" i="4"/>
  <c r="T2786" i="4"/>
  <c r="T2787" i="4"/>
  <c r="T2788" i="4"/>
  <c r="T2789" i="4"/>
  <c r="T2790" i="4"/>
  <c r="T2791" i="4"/>
  <c r="T2792" i="4"/>
  <c r="T2793" i="4"/>
  <c r="T2794" i="4"/>
  <c r="T2795" i="4"/>
  <c r="T2796" i="4"/>
  <c r="T2797" i="4"/>
  <c r="T2798" i="4"/>
  <c r="T2799" i="4"/>
  <c r="T2800" i="4"/>
  <c r="T2801" i="4"/>
  <c r="T2802" i="4"/>
  <c r="T2803" i="4"/>
  <c r="T2804" i="4"/>
  <c r="T2805" i="4"/>
  <c r="T2806" i="4"/>
  <c r="T2807" i="4"/>
  <c r="T2808" i="4"/>
  <c r="T2809" i="4"/>
  <c r="T2810" i="4"/>
  <c r="T2811" i="4"/>
  <c r="T2812" i="4"/>
  <c r="T2813" i="4"/>
  <c r="T2814" i="4"/>
  <c r="T2815" i="4"/>
  <c r="T2816" i="4"/>
  <c r="T2817" i="4"/>
  <c r="T2818" i="4"/>
  <c r="T2819" i="4"/>
  <c r="T2820" i="4"/>
  <c r="T2821" i="4"/>
  <c r="T2822" i="4"/>
  <c r="T2823" i="4"/>
  <c r="T2824" i="4"/>
  <c r="T2825" i="4"/>
  <c r="T2826" i="4"/>
  <c r="T2827" i="4"/>
  <c r="T2828" i="4"/>
  <c r="T2829" i="4"/>
  <c r="T2830" i="4"/>
  <c r="T2831" i="4"/>
  <c r="T2832" i="4"/>
  <c r="T2833" i="4"/>
  <c r="T2834" i="4"/>
  <c r="T2835" i="4"/>
  <c r="T2836" i="4"/>
  <c r="T2837" i="4"/>
  <c r="T2838" i="4"/>
  <c r="T2839" i="4"/>
  <c r="T2840" i="4"/>
  <c r="T2841" i="4"/>
  <c r="T2842" i="4"/>
  <c r="T2843" i="4"/>
  <c r="T2844" i="4"/>
  <c r="T2845" i="4"/>
  <c r="T2846" i="4"/>
  <c r="T2847" i="4"/>
  <c r="T2848" i="4"/>
  <c r="T2849" i="4"/>
  <c r="T2850" i="4"/>
  <c r="T2851" i="4"/>
  <c r="T2852" i="4"/>
  <c r="T2853" i="4"/>
  <c r="T2854" i="4"/>
  <c r="T2855" i="4"/>
  <c r="T2856" i="4"/>
  <c r="T2857" i="4"/>
  <c r="T2858" i="4"/>
  <c r="T2859" i="4"/>
  <c r="T2860" i="4"/>
  <c r="T2861" i="4"/>
  <c r="T2862" i="4"/>
  <c r="T2863" i="4"/>
  <c r="T2864" i="4"/>
  <c r="T2865" i="4"/>
  <c r="T2866" i="4"/>
  <c r="T2867" i="4"/>
  <c r="T2868" i="4"/>
  <c r="T2869" i="4"/>
  <c r="T2870" i="4"/>
  <c r="T2871" i="4"/>
  <c r="T2872" i="4"/>
  <c r="T2873" i="4"/>
  <c r="T2874" i="4"/>
  <c r="T2875" i="4"/>
  <c r="T2876" i="4"/>
  <c r="T2877" i="4"/>
  <c r="T2878" i="4"/>
  <c r="T2879" i="4"/>
  <c r="T2880" i="4"/>
  <c r="T2881" i="4"/>
  <c r="T2882" i="4"/>
  <c r="T2883" i="4"/>
  <c r="T2884" i="4"/>
  <c r="T2885" i="4"/>
  <c r="T2886" i="4"/>
  <c r="T2887" i="4"/>
  <c r="T2888" i="4"/>
  <c r="T2889" i="4"/>
  <c r="T2890" i="4"/>
  <c r="T2891" i="4"/>
  <c r="T2892" i="4"/>
  <c r="T2893" i="4"/>
  <c r="T2894" i="4"/>
  <c r="T2895" i="4"/>
  <c r="T2896" i="4"/>
  <c r="T2897" i="4"/>
  <c r="T2898" i="4"/>
  <c r="T2899" i="4"/>
  <c r="T2900" i="4"/>
  <c r="T2901" i="4"/>
  <c r="T2902" i="4"/>
  <c r="T2903" i="4"/>
  <c r="T2904" i="4"/>
  <c r="T2905" i="4"/>
  <c r="T2906" i="4"/>
  <c r="T2907" i="4"/>
  <c r="T2908" i="4"/>
  <c r="T2909" i="4"/>
  <c r="T2910" i="4"/>
  <c r="T2911" i="4"/>
  <c r="T2912" i="4"/>
  <c r="T2913" i="4"/>
  <c r="T2914" i="4"/>
  <c r="T2915" i="4"/>
  <c r="T2916" i="4"/>
  <c r="T2917" i="4"/>
  <c r="T2918" i="4"/>
  <c r="T2919" i="4"/>
  <c r="T2920" i="4"/>
  <c r="T2921" i="4"/>
  <c r="T2922" i="4"/>
  <c r="T2923" i="4"/>
  <c r="T2924" i="4"/>
  <c r="T2925" i="4"/>
  <c r="T2926" i="4"/>
  <c r="T2927" i="4"/>
  <c r="T2928" i="4"/>
  <c r="T2929" i="4"/>
  <c r="T2930" i="4"/>
  <c r="T2931" i="4"/>
  <c r="T2932" i="4"/>
  <c r="T2933" i="4"/>
  <c r="T2934" i="4"/>
  <c r="T2935" i="4"/>
  <c r="T2936" i="4"/>
  <c r="T2937" i="4"/>
  <c r="T2938" i="4"/>
  <c r="T2939" i="4"/>
  <c r="T2940" i="4"/>
  <c r="T2941" i="4"/>
  <c r="T2942" i="4"/>
  <c r="T2943" i="4"/>
  <c r="T2944" i="4"/>
  <c r="T2945" i="4"/>
  <c r="T2946" i="4"/>
  <c r="T2947" i="4"/>
  <c r="T2948" i="4"/>
  <c r="T2949" i="4"/>
  <c r="T2950" i="4"/>
  <c r="T2951" i="4"/>
  <c r="T2952" i="4"/>
  <c r="T2953" i="4"/>
  <c r="T2954" i="4"/>
  <c r="T2955" i="4"/>
  <c r="T2956" i="4"/>
  <c r="T2957" i="4"/>
  <c r="T2958" i="4"/>
  <c r="T2959" i="4"/>
  <c r="T2960" i="4"/>
  <c r="T2961" i="4"/>
  <c r="T2962" i="4"/>
  <c r="T2963" i="4"/>
  <c r="T2964" i="4"/>
  <c r="T2965" i="4"/>
  <c r="T2966" i="4"/>
  <c r="T2967" i="4"/>
  <c r="T2968" i="4"/>
  <c r="T2969" i="4"/>
  <c r="T2970" i="4"/>
  <c r="T2971" i="4"/>
  <c r="T2972" i="4"/>
  <c r="T2973" i="4"/>
  <c r="T2974" i="4"/>
  <c r="T2975" i="4"/>
  <c r="T2976" i="4"/>
  <c r="T2977" i="4"/>
  <c r="T2978" i="4"/>
  <c r="T2979" i="4"/>
  <c r="T2980" i="4"/>
  <c r="T2981" i="4"/>
  <c r="T2982" i="4"/>
  <c r="T2983" i="4"/>
  <c r="T2984" i="4"/>
  <c r="T2985" i="4"/>
  <c r="T2986" i="4"/>
  <c r="T2987" i="4"/>
  <c r="T2988" i="4"/>
  <c r="T2989" i="4"/>
  <c r="T2990" i="4"/>
  <c r="T2991" i="4"/>
  <c r="T2992" i="4"/>
  <c r="T2993" i="4"/>
  <c r="T2994" i="4"/>
  <c r="T2995" i="4"/>
  <c r="T2996" i="4"/>
  <c r="T2997" i="4"/>
  <c r="T2998" i="4"/>
  <c r="T2999" i="4"/>
  <c r="T3000" i="4"/>
  <c r="T3001" i="4"/>
  <c r="T3002" i="4"/>
  <c r="T3003" i="4"/>
  <c r="T3004" i="4"/>
  <c r="T3005" i="4"/>
  <c r="T3006" i="4"/>
  <c r="T3007" i="4"/>
  <c r="T3008" i="4"/>
  <c r="T3009" i="4"/>
  <c r="T3010" i="4"/>
  <c r="T3011" i="4"/>
  <c r="T3012" i="4"/>
  <c r="T3013" i="4"/>
  <c r="T3014" i="4"/>
  <c r="T3015" i="4"/>
  <c r="T3016" i="4"/>
  <c r="T3017" i="4"/>
  <c r="T3018" i="4"/>
  <c r="T3019" i="4"/>
  <c r="T3020" i="4"/>
  <c r="T3021" i="4"/>
  <c r="T3022" i="4"/>
  <c r="T3023" i="4"/>
  <c r="T3024" i="4"/>
  <c r="T3025" i="4"/>
  <c r="T3026" i="4"/>
  <c r="T3027" i="4"/>
  <c r="T3028" i="4"/>
  <c r="T3029" i="4"/>
  <c r="T3030" i="4"/>
  <c r="T3031" i="4"/>
  <c r="T3032" i="4"/>
  <c r="T3033" i="4"/>
  <c r="T3034" i="4"/>
  <c r="T3035" i="4"/>
  <c r="T3036" i="4"/>
  <c r="T3037" i="4"/>
  <c r="T3038" i="4"/>
  <c r="T3039" i="4"/>
  <c r="T3040" i="4"/>
  <c r="T3041" i="4"/>
  <c r="T3042" i="4"/>
  <c r="T3043" i="4"/>
  <c r="T3044" i="4"/>
  <c r="T3045" i="4"/>
  <c r="T3046" i="4"/>
  <c r="T3047" i="4"/>
  <c r="T3048" i="4"/>
  <c r="T3049" i="4"/>
  <c r="T3050" i="4"/>
  <c r="T3051" i="4"/>
  <c r="T3052" i="4"/>
  <c r="T3053" i="4"/>
  <c r="T3054" i="4"/>
  <c r="T3055" i="4"/>
  <c r="T3056" i="4"/>
  <c r="T3057" i="4"/>
  <c r="T3058" i="4"/>
  <c r="T3059" i="4"/>
  <c r="T3060" i="4"/>
  <c r="T3061" i="4"/>
  <c r="T3062" i="4"/>
  <c r="T3063" i="4"/>
  <c r="T3064" i="4"/>
  <c r="T3065" i="4"/>
  <c r="T3066" i="4"/>
  <c r="T3067" i="4"/>
  <c r="T3068" i="4"/>
  <c r="T3069" i="4"/>
  <c r="T3070" i="4"/>
  <c r="T3071" i="4"/>
  <c r="T3072" i="4"/>
  <c r="T3073" i="4"/>
  <c r="T3074" i="4"/>
  <c r="T3075" i="4"/>
  <c r="T3076" i="4"/>
  <c r="T3077" i="4"/>
  <c r="T3078" i="4"/>
  <c r="T3079" i="4"/>
  <c r="T3080" i="4"/>
  <c r="T3081" i="4"/>
  <c r="T3082" i="4"/>
  <c r="T3083" i="4"/>
  <c r="T3084" i="4"/>
  <c r="T3085" i="4"/>
  <c r="T3086" i="4"/>
  <c r="T3087" i="4"/>
  <c r="T3088" i="4"/>
  <c r="T3089" i="4"/>
  <c r="T3090" i="4"/>
  <c r="T3091" i="4"/>
  <c r="T3092" i="4"/>
  <c r="T3093" i="4"/>
  <c r="T3094" i="4"/>
  <c r="T3095" i="4"/>
  <c r="T3096" i="4"/>
  <c r="T3097" i="4"/>
  <c r="T3098" i="4"/>
  <c r="T3099" i="4"/>
  <c r="T3100" i="4"/>
  <c r="T3101" i="4"/>
  <c r="T3102" i="4"/>
  <c r="T3103" i="4"/>
  <c r="T3104" i="4"/>
  <c r="T3105" i="4"/>
  <c r="T3106" i="4"/>
  <c r="T3107" i="4"/>
  <c r="T3108" i="4"/>
  <c r="T3109" i="4"/>
  <c r="T3110" i="4"/>
  <c r="T3111" i="4"/>
  <c r="T3112" i="4"/>
  <c r="T3113" i="4"/>
  <c r="T3114" i="4"/>
  <c r="T3115" i="4"/>
  <c r="T3116" i="4"/>
  <c r="T3117" i="4"/>
  <c r="T3118" i="4"/>
  <c r="T3119" i="4"/>
  <c r="T3120" i="4"/>
  <c r="T3121" i="4"/>
  <c r="T3122" i="4"/>
  <c r="T3123" i="4"/>
  <c r="T3124" i="4"/>
  <c r="T3125" i="4"/>
  <c r="T3126" i="4"/>
  <c r="T3127" i="4"/>
  <c r="T3128" i="4"/>
  <c r="T3129" i="4"/>
  <c r="T3130" i="4"/>
  <c r="T3131" i="4"/>
  <c r="T3132" i="4"/>
  <c r="T3133" i="4"/>
  <c r="T3134" i="4"/>
  <c r="T3135" i="4"/>
  <c r="T3136" i="4"/>
  <c r="T3137" i="4"/>
  <c r="T3138" i="4"/>
  <c r="T3139" i="4"/>
  <c r="T3140" i="4"/>
  <c r="T3141" i="4"/>
  <c r="T3142" i="4"/>
  <c r="T3143" i="4"/>
  <c r="T3144" i="4"/>
  <c r="T3145" i="4"/>
  <c r="T3146" i="4"/>
  <c r="T3147" i="4"/>
  <c r="T3148" i="4"/>
  <c r="T3149" i="4"/>
  <c r="T3150" i="4"/>
  <c r="T3151" i="4"/>
  <c r="T3152" i="4"/>
  <c r="T3153" i="4"/>
  <c r="T3154" i="4"/>
  <c r="T3155" i="4"/>
  <c r="T3156" i="4"/>
  <c r="T3157" i="4"/>
  <c r="T3158" i="4"/>
  <c r="T3159" i="4"/>
  <c r="T3160" i="4"/>
  <c r="T3161" i="4"/>
  <c r="T3162" i="4"/>
  <c r="T3163" i="4"/>
  <c r="T3164" i="4"/>
  <c r="T3165" i="4"/>
  <c r="T3166" i="4"/>
  <c r="T3167" i="4"/>
  <c r="T3168" i="4"/>
  <c r="T3169" i="4"/>
  <c r="T3170" i="4"/>
  <c r="T3171" i="4"/>
  <c r="T3172" i="4"/>
  <c r="T3173" i="4"/>
  <c r="T3174" i="4"/>
  <c r="T3175" i="4"/>
  <c r="T3176" i="4"/>
  <c r="T3177" i="4"/>
  <c r="T3178" i="4"/>
  <c r="T3179" i="4"/>
  <c r="T3180" i="4"/>
  <c r="T3181" i="4"/>
  <c r="T3182" i="4"/>
  <c r="T3183" i="4"/>
  <c r="T3184" i="4"/>
  <c r="T3185" i="4"/>
  <c r="T3186" i="4"/>
  <c r="T3187" i="4"/>
  <c r="T3188" i="4"/>
  <c r="T3189" i="4"/>
  <c r="T3190" i="4"/>
  <c r="T3191" i="4"/>
  <c r="T3192" i="4"/>
  <c r="T3193" i="4"/>
  <c r="T3194" i="4"/>
  <c r="T3195" i="4"/>
  <c r="T3196" i="4"/>
  <c r="T3197" i="4"/>
  <c r="T3198" i="4"/>
  <c r="T3199" i="4"/>
  <c r="T3200" i="4"/>
  <c r="T3201" i="4"/>
  <c r="T3202" i="4"/>
  <c r="T3203" i="4"/>
  <c r="T3204" i="4"/>
  <c r="T3205" i="4"/>
  <c r="T3206" i="4"/>
  <c r="T3207" i="4"/>
  <c r="T3208" i="4"/>
  <c r="T3209" i="4"/>
  <c r="T3210" i="4"/>
  <c r="T3211" i="4"/>
  <c r="T3212" i="4"/>
  <c r="T3213" i="4"/>
  <c r="T3214" i="4"/>
  <c r="T3215" i="4"/>
  <c r="T3216" i="4"/>
  <c r="T3217" i="4"/>
  <c r="T3218" i="4"/>
  <c r="T3219" i="4"/>
  <c r="T3220" i="4"/>
  <c r="T3221" i="4"/>
  <c r="T3222" i="4"/>
  <c r="T3223" i="4"/>
  <c r="T3224" i="4"/>
  <c r="T3225" i="4"/>
  <c r="T3226" i="4"/>
  <c r="T3227" i="4"/>
  <c r="T3228" i="4"/>
  <c r="T3229" i="4"/>
  <c r="T3230" i="4"/>
  <c r="T3231" i="4"/>
  <c r="T3232" i="4"/>
  <c r="T3233" i="4"/>
  <c r="T3234" i="4"/>
  <c r="T3235" i="4"/>
  <c r="T3236" i="4"/>
  <c r="T3237" i="4"/>
  <c r="T3238" i="4"/>
  <c r="T3239" i="4"/>
  <c r="T3240" i="4"/>
  <c r="T3241" i="4"/>
  <c r="T3242" i="4"/>
  <c r="T3243" i="4"/>
  <c r="T3244" i="4"/>
  <c r="T3245" i="4"/>
  <c r="T3246" i="4"/>
  <c r="T3247" i="4"/>
  <c r="T3248" i="4"/>
  <c r="T3249" i="4"/>
  <c r="T3250" i="4"/>
  <c r="T3251" i="4"/>
  <c r="T3252" i="4"/>
  <c r="T3253" i="4"/>
  <c r="T3254" i="4"/>
  <c r="T3255" i="4"/>
  <c r="T3256" i="4"/>
  <c r="T3257" i="4"/>
  <c r="T3258" i="4"/>
  <c r="T3259" i="4"/>
  <c r="T3260" i="4"/>
  <c r="T3261" i="4"/>
  <c r="T3262" i="4"/>
  <c r="T3263" i="4"/>
  <c r="T3264" i="4"/>
  <c r="T3265" i="4"/>
  <c r="T3266" i="4"/>
  <c r="T3267" i="4"/>
  <c r="T3268" i="4"/>
  <c r="T3269" i="4"/>
  <c r="T3270" i="4"/>
  <c r="T3271" i="4"/>
  <c r="T3272" i="4"/>
  <c r="T3273" i="4"/>
  <c r="T3274" i="4"/>
  <c r="T3275" i="4"/>
  <c r="T3276" i="4"/>
  <c r="T3277" i="4"/>
  <c r="T3278" i="4"/>
  <c r="T3279" i="4"/>
  <c r="T3280" i="4"/>
  <c r="T3281" i="4"/>
  <c r="T3282" i="4"/>
  <c r="T3283" i="4"/>
  <c r="T3284" i="4"/>
  <c r="T3285" i="4"/>
  <c r="T3286" i="4"/>
  <c r="T3287" i="4"/>
  <c r="T3288" i="4"/>
  <c r="T3289" i="4"/>
  <c r="T3290" i="4"/>
  <c r="T3291" i="4"/>
  <c r="T3292" i="4"/>
  <c r="T3293" i="4"/>
  <c r="T3294" i="4"/>
  <c r="T3295" i="4"/>
  <c r="T3296" i="4"/>
  <c r="T3297" i="4"/>
  <c r="T3298" i="4"/>
  <c r="T3299" i="4"/>
  <c r="T3300" i="4"/>
  <c r="T3301" i="4"/>
  <c r="T3302" i="4"/>
  <c r="T3303" i="4"/>
  <c r="T3304" i="4"/>
  <c r="T3305" i="4"/>
  <c r="T3306" i="4"/>
  <c r="T3307" i="4"/>
  <c r="T3308" i="4"/>
  <c r="T3309" i="4"/>
  <c r="T3310" i="4"/>
  <c r="T3311" i="4"/>
  <c r="T3312" i="4"/>
  <c r="T3313" i="4"/>
  <c r="T3314" i="4"/>
  <c r="T3315" i="4"/>
  <c r="T3316" i="4"/>
  <c r="T3317" i="4"/>
  <c r="T3318" i="4"/>
  <c r="T3319" i="4"/>
  <c r="T3320" i="4"/>
  <c r="T3321" i="4"/>
  <c r="T3322" i="4"/>
  <c r="T3323" i="4"/>
  <c r="T3324" i="4"/>
  <c r="T3325" i="4"/>
  <c r="T3326" i="4"/>
  <c r="T3327" i="4"/>
  <c r="T3328" i="4"/>
  <c r="T3329" i="4"/>
  <c r="T3330" i="4"/>
  <c r="T3331" i="4"/>
  <c r="T3332" i="4"/>
  <c r="T3333" i="4"/>
  <c r="T3334" i="4"/>
  <c r="T3335" i="4"/>
  <c r="T3336" i="4"/>
  <c r="T3337" i="4"/>
  <c r="T3338" i="4"/>
  <c r="T3339" i="4"/>
  <c r="T3340" i="4"/>
  <c r="T3341" i="4"/>
  <c r="T3342" i="4"/>
  <c r="T3343" i="4"/>
  <c r="T3344" i="4"/>
  <c r="T3345" i="4"/>
  <c r="T3346" i="4"/>
  <c r="T3347" i="4"/>
  <c r="T3348" i="4"/>
  <c r="T3349" i="4"/>
  <c r="T3350" i="4"/>
  <c r="T3351" i="4"/>
  <c r="T3352" i="4"/>
  <c r="T3353" i="4"/>
  <c r="T3354" i="4"/>
  <c r="T3355" i="4"/>
  <c r="T3356" i="4"/>
  <c r="T3357" i="4"/>
  <c r="T3358" i="4"/>
  <c r="T3359" i="4"/>
  <c r="T3360" i="4"/>
  <c r="T3361" i="4"/>
  <c r="T3362" i="4"/>
  <c r="T3363" i="4"/>
  <c r="T3364" i="4"/>
  <c r="T3365" i="4"/>
  <c r="T3366" i="4"/>
  <c r="T3367" i="4"/>
  <c r="T3368" i="4"/>
  <c r="T3369" i="4"/>
  <c r="T3370" i="4"/>
  <c r="T3371" i="4"/>
  <c r="T3372" i="4"/>
  <c r="T3373" i="4"/>
  <c r="T3374" i="4"/>
  <c r="T3375" i="4"/>
  <c r="T3376" i="4"/>
  <c r="T3377" i="4"/>
  <c r="T3378" i="4"/>
  <c r="T3379" i="4"/>
  <c r="T3380" i="4"/>
  <c r="T3381" i="4"/>
  <c r="T3382" i="4"/>
  <c r="T3383" i="4"/>
  <c r="T3384" i="4"/>
  <c r="T3385" i="4"/>
  <c r="T3386" i="4"/>
  <c r="T3387" i="4"/>
  <c r="T3388" i="4"/>
  <c r="T3389" i="4"/>
  <c r="T3390" i="4"/>
  <c r="T3391" i="4"/>
  <c r="T3392" i="4"/>
  <c r="T3393" i="4"/>
  <c r="T3394" i="4"/>
  <c r="T3395" i="4"/>
  <c r="T3396" i="4"/>
  <c r="T3397" i="4"/>
  <c r="T3398" i="4"/>
  <c r="T3399" i="4"/>
  <c r="T3400" i="4"/>
  <c r="T3401" i="4"/>
  <c r="T3402" i="4"/>
  <c r="T3403" i="4"/>
  <c r="T3404" i="4"/>
  <c r="T3405" i="4"/>
  <c r="T3406" i="4"/>
  <c r="T3407" i="4"/>
  <c r="T3408" i="4"/>
  <c r="T3409" i="4"/>
  <c r="T3410" i="4"/>
  <c r="T3411" i="4"/>
  <c r="T3412" i="4"/>
  <c r="T3413" i="4"/>
  <c r="T3414" i="4"/>
  <c r="T3415" i="4"/>
  <c r="T3416" i="4"/>
  <c r="T3417" i="4"/>
  <c r="T3418" i="4"/>
  <c r="T3419" i="4"/>
  <c r="T3420" i="4"/>
  <c r="T3421" i="4"/>
  <c r="T3422" i="4"/>
  <c r="T3423" i="4"/>
  <c r="T3424" i="4"/>
  <c r="T3425" i="4"/>
  <c r="T3426" i="4"/>
  <c r="T3427" i="4"/>
  <c r="T3428" i="4"/>
  <c r="T3429" i="4"/>
  <c r="T3430" i="4"/>
  <c r="T3431" i="4"/>
  <c r="T3432" i="4"/>
  <c r="T3433" i="4"/>
  <c r="T3434" i="4"/>
  <c r="T3435" i="4"/>
  <c r="T3436" i="4"/>
  <c r="T3437" i="4"/>
  <c r="T3438" i="4"/>
  <c r="T3439" i="4"/>
  <c r="T3440" i="4"/>
  <c r="T3441" i="4"/>
  <c r="T3442" i="4"/>
  <c r="T3443" i="4"/>
  <c r="T3444" i="4"/>
  <c r="T3445" i="4"/>
  <c r="T3446" i="4"/>
  <c r="T3447" i="4"/>
  <c r="T3448" i="4"/>
  <c r="T3449" i="4"/>
  <c r="T3450" i="4"/>
  <c r="T3451" i="4"/>
  <c r="T3452" i="4"/>
  <c r="T3453" i="4"/>
  <c r="T3454" i="4"/>
  <c r="T3455" i="4"/>
  <c r="T3456" i="4"/>
  <c r="T3457" i="4"/>
  <c r="T3458" i="4"/>
  <c r="T3459" i="4"/>
  <c r="T3460" i="4"/>
  <c r="T3461" i="4"/>
  <c r="T3462" i="4"/>
  <c r="T3463" i="4"/>
  <c r="T3464" i="4"/>
  <c r="T3465" i="4"/>
  <c r="T3466" i="4"/>
  <c r="T3467" i="4"/>
  <c r="T3468" i="4"/>
  <c r="T3469" i="4"/>
  <c r="T3470" i="4"/>
  <c r="T3471" i="4"/>
  <c r="T3472" i="4"/>
  <c r="T3473" i="4"/>
  <c r="T3474" i="4"/>
  <c r="T3475" i="4"/>
  <c r="T3476" i="4"/>
  <c r="T3477" i="4"/>
  <c r="T3478" i="4"/>
  <c r="T3479" i="4"/>
  <c r="T3480" i="4"/>
  <c r="T3481" i="4"/>
  <c r="T3482" i="4"/>
  <c r="T3483" i="4"/>
  <c r="T3484" i="4"/>
  <c r="T3485" i="4"/>
  <c r="T3486" i="4"/>
  <c r="T3487" i="4"/>
  <c r="T3488" i="4"/>
  <c r="T3489" i="4"/>
  <c r="T3490" i="4"/>
  <c r="T3491" i="4"/>
  <c r="T3492" i="4"/>
  <c r="T3493" i="4"/>
  <c r="T3494" i="4"/>
  <c r="T3495" i="4"/>
  <c r="T3496" i="4"/>
  <c r="T3497" i="4"/>
  <c r="T3498" i="4"/>
  <c r="T3499" i="4"/>
  <c r="T3500" i="4"/>
  <c r="T3501" i="4"/>
  <c r="T3502" i="4"/>
  <c r="T3503" i="4"/>
  <c r="T3504" i="4"/>
  <c r="T3505" i="4"/>
  <c r="T3506" i="4"/>
  <c r="T3507" i="4"/>
  <c r="T3508" i="4"/>
  <c r="T3509" i="4"/>
  <c r="T3510" i="4"/>
  <c r="T3511" i="4"/>
  <c r="T3512" i="4"/>
  <c r="T3513" i="4"/>
  <c r="T3514" i="4"/>
  <c r="T3515" i="4"/>
  <c r="T3516" i="4"/>
  <c r="T3517" i="4"/>
  <c r="T3518" i="4"/>
  <c r="T3519" i="4"/>
  <c r="T3520" i="4"/>
  <c r="T3521" i="4"/>
  <c r="T3522" i="4"/>
  <c r="T3523" i="4"/>
  <c r="T3524" i="4"/>
  <c r="T3525" i="4"/>
  <c r="T3526" i="4"/>
  <c r="T3527" i="4"/>
  <c r="T3528" i="4"/>
  <c r="T3529" i="4"/>
  <c r="T3530" i="4"/>
  <c r="T3531" i="4"/>
  <c r="T3532" i="4"/>
  <c r="T3533" i="4"/>
  <c r="T3534" i="4"/>
  <c r="T3535" i="4"/>
  <c r="T3536" i="4"/>
  <c r="T3537" i="4"/>
  <c r="T3538" i="4"/>
  <c r="T3539" i="4"/>
  <c r="T3540" i="4"/>
  <c r="T3541" i="4"/>
  <c r="T3542" i="4"/>
  <c r="T3543" i="4"/>
  <c r="T3544" i="4"/>
  <c r="T3545" i="4"/>
  <c r="T3546" i="4"/>
  <c r="T3547" i="4"/>
  <c r="T3548" i="4"/>
  <c r="T3549" i="4"/>
  <c r="T3550" i="4"/>
  <c r="T3551" i="4"/>
  <c r="T3552" i="4"/>
  <c r="T3553" i="4"/>
  <c r="T3554" i="4"/>
  <c r="T3555" i="4"/>
  <c r="T3556" i="4"/>
  <c r="T3557" i="4"/>
  <c r="T3558" i="4"/>
  <c r="T3559" i="4"/>
  <c r="T3560" i="4"/>
  <c r="T3561" i="4"/>
  <c r="T3562" i="4"/>
  <c r="T3563" i="4"/>
  <c r="T3564" i="4"/>
  <c r="T3565" i="4"/>
  <c r="T3566" i="4"/>
  <c r="T3567" i="4"/>
  <c r="T3568" i="4"/>
  <c r="T3569" i="4"/>
  <c r="T3570" i="4"/>
  <c r="T3571" i="4"/>
  <c r="T3572" i="4"/>
  <c r="T3573" i="4"/>
  <c r="T3574" i="4"/>
  <c r="T3575" i="4"/>
  <c r="T3576" i="4"/>
  <c r="T3577" i="4"/>
  <c r="T3578" i="4"/>
  <c r="T3579" i="4"/>
  <c r="T3580" i="4"/>
  <c r="T3581" i="4"/>
  <c r="T3582" i="4"/>
  <c r="T3583" i="4"/>
  <c r="T3584" i="4"/>
  <c r="T3585" i="4"/>
  <c r="T3586" i="4"/>
  <c r="T3587" i="4"/>
  <c r="T3588" i="4"/>
  <c r="T3589" i="4"/>
  <c r="T3590" i="4"/>
  <c r="T3591" i="4"/>
  <c r="T3592" i="4"/>
  <c r="T3593" i="4"/>
  <c r="T3594" i="4"/>
  <c r="T3595" i="4"/>
  <c r="T3596" i="4"/>
  <c r="T3597" i="4"/>
  <c r="T3598" i="4"/>
  <c r="T3599" i="4"/>
  <c r="T3600" i="4"/>
  <c r="T3601" i="4"/>
  <c r="T3602" i="4"/>
  <c r="T3603" i="4"/>
  <c r="T3604" i="4"/>
  <c r="T3605" i="4"/>
  <c r="T3606" i="4"/>
  <c r="T3607" i="4"/>
  <c r="T3608" i="4"/>
  <c r="T3609" i="4"/>
  <c r="T3610" i="4"/>
  <c r="T3611" i="4"/>
  <c r="T3612" i="4"/>
  <c r="T3613" i="4"/>
  <c r="T3614" i="4"/>
  <c r="T3615" i="4"/>
  <c r="T3616" i="4"/>
  <c r="T3617" i="4"/>
  <c r="T3618" i="4"/>
  <c r="T3619" i="4"/>
  <c r="T3620" i="4"/>
  <c r="T3621" i="4"/>
  <c r="T3622" i="4"/>
  <c r="T3623" i="4"/>
  <c r="T3624" i="4"/>
  <c r="T3625" i="4"/>
  <c r="T3626" i="4"/>
  <c r="T3627" i="4"/>
  <c r="T3628" i="4"/>
  <c r="T3629" i="4"/>
  <c r="T3630" i="4"/>
  <c r="T3631" i="4"/>
  <c r="T3632" i="4"/>
  <c r="T3633" i="4"/>
  <c r="T3634" i="4"/>
  <c r="T3635" i="4"/>
  <c r="T3636" i="4"/>
  <c r="T3637" i="4"/>
  <c r="T3638" i="4"/>
  <c r="T3639" i="4"/>
  <c r="T3640" i="4"/>
  <c r="T3641" i="4"/>
  <c r="T3642" i="4"/>
  <c r="T3643" i="4"/>
  <c r="T3644" i="4"/>
  <c r="T3645" i="4"/>
  <c r="T3646" i="4"/>
  <c r="T3647" i="4"/>
  <c r="T3648" i="4"/>
  <c r="T3649" i="4"/>
  <c r="T3650" i="4"/>
  <c r="T3651" i="4"/>
  <c r="T3652" i="4"/>
  <c r="T3653" i="4"/>
  <c r="T3654" i="4"/>
  <c r="T3655" i="4"/>
  <c r="T3656" i="4"/>
  <c r="T3657" i="4"/>
  <c r="T3658" i="4"/>
  <c r="T3659" i="4"/>
  <c r="T3660" i="4"/>
  <c r="T3661" i="4"/>
  <c r="T3662" i="4"/>
  <c r="T3663" i="4"/>
  <c r="T3664" i="4"/>
  <c r="T3665" i="4"/>
  <c r="T3666" i="4"/>
  <c r="T3667" i="4"/>
  <c r="T3668" i="4"/>
  <c r="T3669" i="4"/>
  <c r="T3670" i="4"/>
  <c r="T3671" i="4"/>
  <c r="T3672" i="4"/>
  <c r="T3673" i="4"/>
  <c r="T3674" i="4"/>
  <c r="T3675" i="4"/>
  <c r="T3676" i="4"/>
  <c r="T3677" i="4"/>
  <c r="T3678" i="4"/>
  <c r="T3679" i="4"/>
  <c r="T3680" i="4"/>
  <c r="T3681" i="4"/>
  <c r="T3682" i="4"/>
  <c r="T3683" i="4"/>
  <c r="T3684" i="4"/>
  <c r="T3685" i="4"/>
  <c r="T3686" i="4"/>
  <c r="T3687" i="4"/>
  <c r="T3688" i="4"/>
  <c r="T3689" i="4"/>
  <c r="T3690" i="4"/>
  <c r="T3691" i="4"/>
  <c r="T3692" i="4"/>
  <c r="T3693" i="4"/>
  <c r="T3694" i="4"/>
  <c r="T3695" i="4"/>
  <c r="T3696" i="4"/>
  <c r="T3697" i="4"/>
  <c r="T3698" i="4"/>
  <c r="T3699" i="4"/>
  <c r="T3700" i="4"/>
  <c r="T3701" i="4"/>
  <c r="T3702" i="4"/>
  <c r="T3703" i="4"/>
  <c r="T3704" i="4"/>
  <c r="T3705" i="4"/>
  <c r="T3706" i="4"/>
  <c r="T3707" i="4"/>
  <c r="T3708" i="4"/>
  <c r="T3709" i="4"/>
  <c r="T3710" i="4"/>
  <c r="T3711" i="4"/>
  <c r="T3712" i="4"/>
  <c r="T3713" i="4"/>
  <c r="T3714" i="4"/>
  <c r="T3715" i="4"/>
  <c r="T3716" i="4"/>
  <c r="T3717" i="4"/>
  <c r="T3718" i="4"/>
  <c r="T3719" i="4"/>
  <c r="T3720" i="4"/>
  <c r="T3721" i="4"/>
  <c r="T3722" i="4"/>
  <c r="T3723" i="4"/>
  <c r="T3724" i="4"/>
  <c r="T3725" i="4"/>
  <c r="T3726" i="4"/>
  <c r="T3727" i="4"/>
  <c r="T3728" i="4"/>
  <c r="T3729" i="4"/>
  <c r="T3730" i="4"/>
  <c r="T3731" i="4"/>
  <c r="T3732" i="4"/>
  <c r="T3733" i="4"/>
  <c r="T3734" i="4"/>
  <c r="T3735" i="4"/>
  <c r="T3736" i="4"/>
  <c r="T3737" i="4"/>
  <c r="T3738" i="4"/>
  <c r="T3739" i="4"/>
  <c r="T3740" i="4"/>
  <c r="T3741" i="4"/>
  <c r="T3742" i="4"/>
  <c r="T3743" i="4"/>
  <c r="T3744" i="4"/>
  <c r="T3745" i="4"/>
  <c r="T3746" i="4"/>
  <c r="T3747" i="4"/>
  <c r="T3748" i="4"/>
  <c r="T3749" i="4"/>
  <c r="T3750" i="4"/>
  <c r="T3751" i="4"/>
  <c r="T3752" i="4"/>
  <c r="T3753" i="4"/>
  <c r="T3754" i="4"/>
  <c r="T3755" i="4"/>
  <c r="T3756" i="4"/>
  <c r="T3757" i="4"/>
  <c r="T3758" i="4"/>
  <c r="T3759" i="4"/>
  <c r="T3760" i="4"/>
  <c r="T3761" i="4"/>
  <c r="T3762" i="4"/>
  <c r="T3763" i="4"/>
  <c r="T3764" i="4"/>
  <c r="T3765" i="4"/>
  <c r="T3766" i="4"/>
  <c r="T3767" i="4"/>
  <c r="T3768" i="4"/>
  <c r="T3769" i="4"/>
  <c r="T3770" i="4"/>
  <c r="T3771" i="4"/>
  <c r="T3772" i="4"/>
  <c r="T3773" i="4"/>
  <c r="T3774" i="4"/>
  <c r="T3775" i="4"/>
  <c r="T3776" i="4"/>
  <c r="T3777" i="4"/>
  <c r="T3778" i="4"/>
  <c r="T3779" i="4"/>
  <c r="T3780" i="4"/>
  <c r="T3781" i="4"/>
  <c r="T3782" i="4"/>
  <c r="T3783" i="4"/>
  <c r="T3784" i="4"/>
  <c r="T3785" i="4"/>
  <c r="T3786" i="4"/>
  <c r="T3787" i="4"/>
  <c r="T3788" i="4"/>
  <c r="T3789" i="4"/>
  <c r="T3790" i="4"/>
  <c r="T3791" i="4"/>
  <c r="T3792" i="4"/>
  <c r="T3793" i="4"/>
  <c r="T3794" i="4"/>
  <c r="T3795" i="4"/>
  <c r="T3796" i="4"/>
  <c r="T3797" i="4"/>
  <c r="T3798" i="4"/>
  <c r="T3799" i="4"/>
  <c r="T3800" i="4"/>
  <c r="T3801" i="4"/>
  <c r="T3802" i="4"/>
  <c r="T3803" i="4"/>
  <c r="T3804" i="4"/>
  <c r="T3805" i="4"/>
  <c r="T3806" i="4"/>
  <c r="T3807" i="4"/>
  <c r="T3808" i="4"/>
  <c r="T3809" i="4"/>
  <c r="T3810" i="4"/>
  <c r="T3811" i="4"/>
  <c r="T3812" i="4"/>
  <c r="T3813" i="4"/>
  <c r="T3814" i="4"/>
  <c r="T3815" i="4"/>
  <c r="T3816" i="4"/>
  <c r="T3817" i="4"/>
  <c r="T3818" i="4"/>
  <c r="T3819" i="4"/>
  <c r="T3820" i="4"/>
  <c r="T3821" i="4"/>
  <c r="T3822" i="4"/>
  <c r="T3823" i="4"/>
  <c r="T3824" i="4"/>
  <c r="T3825" i="4"/>
  <c r="T3826" i="4"/>
  <c r="T3827" i="4"/>
  <c r="T3828" i="4"/>
  <c r="T3829" i="4"/>
  <c r="T3830" i="4"/>
  <c r="T3831" i="4"/>
  <c r="T3832" i="4"/>
  <c r="T3833" i="4"/>
  <c r="T3834" i="4"/>
  <c r="T3835" i="4"/>
  <c r="T3836" i="4"/>
  <c r="T3837" i="4"/>
  <c r="T3838" i="4"/>
  <c r="T3839" i="4"/>
  <c r="T3840" i="4"/>
  <c r="T3841" i="4"/>
  <c r="T3842" i="4"/>
  <c r="T3843" i="4"/>
  <c r="T3844" i="4"/>
  <c r="T3845" i="4"/>
  <c r="T3846" i="4"/>
  <c r="T3847" i="4"/>
  <c r="T3848" i="4"/>
  <c r="T3849" i="4"/>
  <c r="T3850" i="4"/>
  <c r="T3851" i="4"/>
  <c r="T3852" i="4"/>
  <c r="T3853" i="4"/>
  <c r="T3854" i="4"/>
  <c r="T3855" i="4"/>
  <c r="T3856" i="4"/>
  <c r="T3857" i="4"/>
  <c r="T3858" i="4"/>
  <c r="T3859" i="4"/>
  <c r="T3860" i="4"/>
  <c r="T3861" i="4"/>
  <c r="T3862" i="4"/>
  <c r="T3863" i="4"/>
  <c r="T3864" i="4"/>
  <c r="T3865" i="4"/>
  <c r="T3866" i="4"/>
  <c r="T3867" i="4"/>
  <c r="T3868" i="4"/>
  <c r="T3869" i="4"/>
  <c r="T3870" i="4"/>
  <c r="T3871" i="4"/>
  <c r="T3872" i="4"/>
  <c r="T3873" i="4"/>
  <c r="T3874" i="4"/>
  <c r="T3875" i="4"/>
  <c r="T3876" i="4"/>
  <c r="T3877" i="4"/>
  <c r="T3878" i="4"/>
  <c r="T3879" i="4"/>
  <c r="T3880" i="4"/>
  <c r="T3881" i="4"/>
  <c r="T3882" i="4"/>
  <c r="T3883" i="4"/>
  <c r="T3884" i="4"/>
  <c r="T3885" i="4"/>
  <c r="T3886" i="4"/>
  <c r="T3887" i="4"/>
  <c r="T3888" i="4"/>
  <c r="T3889" i="4"/>
  <c r="T3890" i="4"/>
  <c r="T3891" i="4"/>
  <c r="T3892" i="4"/>
  <c r="T3893" i="4"/>
  <c r="T3894" i="4"/>
  <c r="T3895" i="4"/>
  <c r="T3896" i="4"/>
  <c r="T3897" i="4"/>
  <c r="T3898" i="4"/>
  <c r="T3899" i="4"/>
  <c r="T3900" i="4"/>
  <c r="T3901" i="4"/>
  <c r="T3902" i="4"/>
  <c r="T3903" i="4"/>
  <c r="T3904" i="4"/>
  <c r="T3905" i="4"/>
  <c r="T3906" i="4"/>
  <c r="T3907" i="4"/>
  <c r="T3908" i="4"/>
  <c r="T3909" i="4"/>
  <c r="T3910" i="4"/>
  <c r="T3911" i="4"/>
  <c r="T3912" i="4"/>
  <c r="T3913" i="4"/>
  <c r="T3914" i="4"/>
  <c r="T3915" i="4"/>
  <c r="T3916" i="4"/>
  <c r="T3917" i="4"/>
  <c r="T3918" i="4"/>
  <c r="T3919" i="4"/>
  <c r="T3920" i="4"/>
  <c r="T3921" i="4"/>
  <c r="T3922" i="4"/>
  <c r="T3923" i="4"/>
  <c r="T3924" i="4"/>
  <c r="T3925" i="4"/>
  <c r="T3926" i="4"/>
  <c r="T3927" i="4"/>
  <c r="T3928" i="4"/>
  <c r="T3929" i="4"/>
  <c r="T3930" i="4"/>
  <c r="T3931" i="4"/>
  <c r="T3932" i="4"/>
  <c r="T3933" i="4"/>
  <c r="T3934" i="4"/>
  <c r="T3935" i="4"/>
  <c r="T3936" i="4"/>
  <c r="T3937" i="4"/>
  <c r="T3938" i="4"/>
  <c r="T3939" i="4"/>
  <c r="T3940" i="4"/>
  <c r="T3941" i="4"/>
  <c r="T3942" i="4"/>
  <c r="T3943" i="4"/>
  <c r="T3944" i="4"/>
  <c r="T3945" i="4"/>
  <c r="T3946" i="4"/>
  <c r="T3947" i="4"/>
  <c r="T3948" i="4"/>
  <c r="T3949" i="4"/>
  <c r="T3950" i="4"/>
  <c r="T3951" i="4"/>
  <c r="T3952" i="4"/>
  <c r="T3953" i="4"/>
  <c r="T3954" i="4"/>
  <c r="T3955" i="4"/>
  <c r="T3956" i="4"/>
  <c r="T3957" i="4"/>
  <c r="T3958" i="4"/>
  <c r="T3959" i="4"/>
  <c r="T3960" i="4"/>
  <c r="T3961" i="4"/>
  <c r="T3962" i="4"/>
  <c r="T3963" i="4"/>
  <c r="T3964" i="4"/>
  <c r="T3965" i="4"/>
  <c r="T3966" i="4"/>
  <c r="T3967" i="4"/>
  <c r="T3968" i="4"/>
  <c r="T3969" i="4"/>
  <c r="T3970" i="4"/>
  <c r="T3971" i="4"/>
  <c r="T3972" i="4"/>
  <c r="T3973" i="4"/>
  <c r="T3974" i="4"/>
  <c r="T3975" i="4"/>
  <c r="T3976" i="4"/>
  <c r="T3977" i="4"/>
  <c r="T3978" i="4"/>
  <c r="T3979" i="4"/>
  <c r="T3980" i="4"/>
  <c r="T3981" i="4"/>
  <c r="T3982" i="4"/>
  <c r="T3983" i="4"/>
  <c r="T3984" i="4"/>
  <c r="T3985" i="4"/>
  <c r="T3986" i="4"/>
  <c r="T3987" i="4"/>
  <c r="T3988" i="4"/>
  <c r="T3989" i="4"/>
  <c r="T3990" i="4"/>
  <c r="T3991" i="4"/>
  <c r="T3992" i="4"/>
  <c r="T3993" i="4"/>
  <c r="T3994" i="4"/>
  <c r="T3995" i="4"/>
  <c r="T3996" i="4"/>
  <c r="T3997" i="4"/>
  <c r="T3998" i="4"/>
  <c r="T3999" i="4"/>
  <c r="T4000" i="4"/>
  <c r="T4001" i="4"/>
  <c r="T4002" i="4"/>
  <c r="T4003" i="4"/>
  <c r="T4004" i="4"/>
  <c r="T4005" i="4"/>
  <c r="T4006" i="4"/>
  <c r="T4007" i="4"/>
  <c r="T4008" i="4"/>
  <c r="T4009" i="4"/>
  <c r="T4010" i="4"/>
  <c r="T4011" i="4"/>
  <c r="T4012" i="4"/>
  <c r="T4013" i="4"/>
  <c r="T4014" i="4"/>
  <c r="T4015" i="4"/>
  <c r="T4016" i="4"/>
  <c r="T4017" i="4"/>
  <c r="T4018" i="4"/>
  <c r="T4019" i="4"/>
  <c r="T4020" i="4"/>
  <c r="T4021" i="4"/>
  <c r="T4022" i="4"/>
  <c r="T4023" i="4"/>
  <c r="T4024" i="4"/>
  <c r="T4025" i="4"/>
  <c r="T4026" i="4"/>
  <c r="T4027" i="4"/>
  <c r="T4028" i="4"/>
  <c r="T4029" i="4"/>
  <c r="T4030" i="4"/>
  <c r="T4031" i="4"/>
  <c r="T4032" i="4"/>
  <c r="T4033" i="4"/>
  <c r="T4034" i="4"/>
  <c r="T4035" i="4"/>
  <c r="T4036" i="4"/>
  <c r="T4037" i="4"/>
  <c r="T4038" i="4"/>
  <c r="T4039" i="4"/>
  <c r="T4040" i="4"/>
  <c r="T4041" i="4"/>
  <c r="T4042" i="4"/>
  <c r="T4043" i="4"/>
  <c r="T4044" i="4"/>
  <c r="T4045" i="4"/>
  <c r="T4046" i="4"/>
  <c r="T4047" i="4"/>
  <c r="T4048" i="4"/>
  <c r="T4049" i="4"/>
  <c r="T4050" i="4"/>
  <c r="T4051" i="4"/>
  <c r="T4052" i="4"/>
  <c r="T4053" i="4"/>
  <c r="T4054" i="4"/>
  <c r="T4055" i="4"/>
  <c r="T4056" i="4"/>
  <c r="T4057" i="4"/>
  <c r="T4058" i="4"/>
  <c r="T4059" i="4"/>
  <c r="T4060" i="4"/>
  <c r="T4061" i="4"/>
  <c r="T4062" i="4"/>
  <c r="T4063" i="4"/>
  <c r="T4064" i="4"/>
  <c r="T4065" i="4"/>
  <c r="T4066" i="4"/>
  <c r="T4067" i="4"/>
  <c r="T4068" i="4"/>
  <c r="T4069" i="4"/>
  <c r="T4070" i="4"/>
  <c r="T4071" i="4"/>
  <c r="T4072" i="4"/>
  <c r="T4073" i="4"/>
  <c r="T4074" i="4"/>
  <c r="T4075" i="4"/>
  <c r="T4076" i="4"/>
  <c r="T4077" i="4"/>
  <c r="T4078" i="4"/>
  <c r="T4079" i="4"/>
  <c r="T4080" i="4"/>
  <c r="T4081" i="4"/>
  <c r="T4082" i="4"/>
  <c r="T4083" i="4"/>
  <c r="T4084" i="4"/>
  <c r="T4085" i="4"/>
  <c r="T4086" i="4"/>
  <c r="T4087" i="4"/>
  <c r="T4088" i="4"/>
  <c r="T4089" i="4"/>
  <c r="T4090" i="4"/>
  <c r="T4091" i="4"/>
  <c r="T4092" i="4"/>
  <c r="T4093" i="4"/>
  <c r="T4094" i="4"/>
  <c r="T4095" i="4"/>
  <c r="T4096" i="4"/>
  <c r="T4097" i="4"/>
  <c r="T4098" i="4"/>
  <c r="T4099" i="4"/>
  <c r="T4100" i="4"/>
  <c r="T4101" i="4"/>
  <c r="T4102" i="4"/>
  <c r="T4103" i="4"/>
  <c r="T4104" i="4"/>
  <c r="T4105" i="4"/>
  <c r="T4106" i="4"/>
  <c r="T4107" i="4"/>
  <c r="T4108" i="4"/>
  <c r="T4109" i="4"/>
  <c r="T4110" i="4"/>
  <c r="T4111" i="4"/>
  <c r="T4112" i="4"/>
  <c r="T4113" i="4"/>
  <c r="T4114" i="4"/>
  <c r="T4115" i="4"/>
  <c r="T2" i="4"/>
  <c r="S2" i="4"/>
  <c r="U2" i="4" s="1"/>
  <c r="S3" i="4"/>
  <c r="U3" i="4" s="1"/>
  <c r="S4" i="4"/>
  <c r="U4" i="4" s="1"/>
  <c r="S5" i="4"/>
  <c r="U5" i="4" s="1"/>
  <c r="S6" i="4"/>
  <c r="U6" i="4" s="1"/>
  <c r="S7" i="4"/>
  <c r="U7" i="4" s="1"/>
  <c r="S8" i="4"/>
  <c r="U8" i="4" s="1"/>
  <c r="S9" i="4"/>
  <c r="U9" i="4" s="1"/>
  <c r="S10" i="4"/>
  <c r="U10" i="4" s="1"/>
  <c r="S11" i="4"/>
  <c r="U11" i="4" s="1"/>
  <c r="S12" i="4"/>
  <c r="U12" i="4" s="1"/>
  <c r="S13" i="4"/>
  <c r="U13" i="4" s="1"/>
  <c r="S14" i="4"/>
  <c r="U14" i="4" s="1"/>
  <c r="S15" i="4"/>
  <c r="U15" i="4" s="1"/>
  <c r="S16" i="4"/>
  <c r="U16" i="4" s="1"/>
  <c r="S17" i="4"/>
  <c r="U17" i="4" s="1"/>
  <c r="S18" i="4"/>
  <c r="U18" i="4" s="1"/>
  <c r="S19" i="4"/>
  <c r="U19" i="4" s="1"/>
  <c r="S20" i="4"/>
  <c r="U20" i="4" s="1"/>
  <c r="S21" i="4"/>
  <c r="U21" i="4" s="1"/>
  <c r="S22" i="4"/>
  <c r="U22" i="4" s="1"/>
  <c r="S23" i="4"/>
  <c r="U23" i="4" s="1"/>
  <c r="S24" i="4"/>
  <c r="U24" i="4" s="1"/>
  <c r="S25" i="4"/>
  <c r="U25" i="4" s="1"/>
  <c r="S26" i="4"/>
  <c r="U26" i="4" s="1"/>
  <c r="S27" i="4"/>
  <c r="U27" i="4" s="1"/>
  <c r="S28" i="4"/>
  <c r="U28" i="4" s="1"/>
  <c r="S29" i="4"/>
  <c r="U29" i="4" s="1"/>
  <c r="S30" i="4"/>
  <c r="U30" i="4" s="1"/>
  <c r="S31" i="4"/>
  <c r="U31" i="4" s="1"/>
  <c r="S32" i="4"/>
  <c r="U32" i="4" s="1"/>
  <c r="S33" i="4"/>
  <c r="U33" i="4" s="1"/>
  <c r="S34" i="4"/>
  <c r="U34" i="4" s="1"/>
  <c r="S35" i="4"/>
  <c r="U35" i="4" s="1"/>
  <c r="S36" i="4"/>
  <c r="U36" i="4" s="1"/>
  <c r="S37" i="4"/>
  <c r="U37" i="4" s="1"/>
  <c r="S38" i="4"/>
  <c r="U38" i="4" s="1"/>
  <c r="S39" i="4"/>
  <c r="U39" i="4" s="1"/>
  <c r="S40" i="4"/>
  <c r="U40" i="4" s="1"/>
  <c r="S41" i="4"/>
  <c r="U41" i="4" s="1"/>
  <c r="S42" i="4"/>
  <c r="U42" i="4" s="1"/>
  <c r="S43" i="4"/>
  <c r="U43" i="4" s="1"/>
  <c r="S44" i="4"/>
  <c r="U44" i="4" s="1"/>
  <c r="S45" i="4"/>
  <c r="U45" i="4" s="1"/>
  <c r="S46" i="4"/>
  <c r="U46" i="4" s="1"/>
  <c r="S47" i="4"/>
  <c r="U47" i="4" s="1"/>
  <c r="S48" i="4"/>
  <c r="U48" i="4" s="1"/>
  <c r="S49" i="4"/>
  <c r="U49" i="4" s="1"/>
  <c r="S50" i="4"/>
  <c r="U50" i="4" s="1"/>
  <c r="S51" i="4"/>
  <c r="U51" i="4" s="1"/>
  <c r="S52" i="4"/>
  <c r="U52" i="4" s="1"/>
  <c r="S53" i="4"/>
  <c r="U53" i="4" s="1"/>
  <c r="S54" i="4"/>
  <c r="U54" i="4" s="1"/>
  <c r="S55" i="4"/>
  <c r="U55" i="4" s="1"/>
  <c r="S56" i="4"/>
  <c r="U56" i="4" s="1"/>
  <c r="S57" i="4"/>
  <c r="U57" i="4" s="1"/>
  <c r="S58" i="4"/>
  <c r="U58" i="4" s="1"/>
  <c r="S59" i="4"/>
  <c r="U59" i="4" s="1"/>
  <c r="S60" i="4"/>
  <c r="U60" i="4" s="1"/>
  <c r="S61" i="4"/>
  <c r="U61" i="4" s="1"/>
  <c r="S62" i="4"/>
  <c r="U62" i="4" s="1"/>
  <c r="S63" i="4"/>
  <c r="U63" i="4" s="1"/>
  <c r="S64" i="4"/>
  <c r="U64" i="4" s="1"/>
  <c r="S65" i="4"/>
  <c r="U65" i="4" s="1"/>
  <c r="S66" i="4"/>
  <c r="U66" i="4" s="1"/>
  <c r="S67" i="4"/>
  <c r="U67" i="4" s="1"/>
  <c r="S68" i="4"/>
  <c r="U68" i="4" s="1"/>
  <c r="S69" i="4"/>
  <c r="U69" i="4" s="1"/>
  <c r="S70" i="4"/>
  <c r="U70" i="4" s="1"/>
  <c r="S71" i="4"/>
  <c r="U71" i="4" s="1"/>
  <c r="S72" i="4"/>
  <c r="U72" i="4" s="1"/>
  <c r="S73" i="4"/>
  <c r="U73" i="4" s="1"/>
  <c r="S74" i="4"/>
  <c r="U74" i="4" s="1"/>
  <c r="S75" i="4"/>
  <c r="U75" i="4" s="1"/>
  <c r="S76" i="4"/>
  <c r="U76" i="4" s="1"/>
  <c r="S77" i="4"/>
  <c r="U77" i="4" s="1"/>
  <c r="S78" i="4"/>
  <c r="U78" i="4" s="1"/>
  <c r="S79" i="4"/>
  <c r="U79" i="4" s="1"/>
  <c r="S80" i="4"/>
  <c r="U80" i="4" s="1"/>
  <c r="S81" i="4"/>
  <c r="U81" i="4" s="1"/>
  <c r="S82" i="4"/>
  <c r="U82" i="4" s="1"/>
  <c r="S83" i="4"/>
  <c r="U83" i="4" s="1"/>
  <c r="S84" i="4"/>
  <c r="U84" i="4" s="1"/>
  <c r="S85" i="4"/>
  <c r="U85" i="4" s="1"/>
  <c r="S86" i="4"/>
  <c r="U86" i="4" s="1"/>
  <c r="S87" i="4"/>
  <c r="U87" i="4" s="1"/>
  <c r="S88" i="4"/>
  <c r="U88" i="4" s="1"/>
  <c r="S89" i="4"/>
  <c r="U89" i="4" s="1"/>
  <c r="S90" i="4"/>
  <c r="U90" i="4" s="1"/>
  <c r="S91" i="4"/>
  <c r="U91" i="4" s="1"/>
  <c r="S92" i="4"/>
  <c r="U92" i="4" s="1"/>
  <c r="S93" i="4"/>
  <c r="U93" i="4" s="1"/>
  <c r="S94" i="4"/>
  <c r="U94" i="4" s="1"/>
  <c r="S95" i="4"/>
  <c r="U95" i="4" s="1"/>
  <c r="S96" i="4"/>
  <c r="U96" i="4" s="1"/>
  <c r="S97" i="4"/>
  <c r="U97" i="4" s="1"/>
  <c r="S98" i="4"/>
  <c r="U98" i="4" s="1"/>
  <c r="S99" i="4"/>
  <c r="U99" i="4" s="1"/>
  <c r="S100" i="4"/>
  <c r="U100" i="4" s="1"/>
  <c r="S101" i="4"/>
  <c r="U101" i="4" s="1"/>
  <c r="S102" i="4"/>
  <c r="U102" i="4" s="1"/>
  <c r="S103" i="4"/>
  <c r="U103" i="4" s="1"/>
  <c r="S104" i="4"/>
  <c r="U104" i="4" s="1"/>
  <c r="S105" i="4"/>
  <c r="U105" i="4" s="1"/>
  <c r="S106" i="4"/>
  <c r="U106" i="4" s="1"/>
  <c r="S107" i="4"/>
  <c r="U107" i="4" s="1"/>
  <c r="S108" i="4"/>
  <c r="U108" i="4" s="1"/>
  <c r="S109" i="4"/>
  <c r="U109" i="4" s="1"/>
  <c r="S110" i="4"/>
  <c r="U110" i="4" s="1"/>
  <c r="S111" i="4"/>
  <c r="U111" i="4" s="1"/>
  <c r="S112" i="4"/>
  <c r="U112" i="4" s="1"/>
  <c r="S113" i="4"/>
  <c r="U113" i="4" s="1"/>
  <c r="S114" i="4"/>
  <c r="U114" i="4" s="1"/>
  <c r="S115" i="4"/>
  <c r="U115" i="4" s="1"/>
  <c r="S116" i="4"/>
  <c r="U116" i="4" s="1"/>
  <c r="S117" i="4"/>
  <c r="U117" i="4" s="1"/>
  <c r="S118" i="4"/>
  <c r="U118" i="4" s="1"/>
  <c r="S119" i="4"/>
  <c r="U119" i="4" s="1"/>
  <c r="S120" i="4"/>
  <c r="U120" i="4" s="1"/>
  <c r="S121" i="4"/>
  <c r="U121" i="4" s="1"/>
  <c r="S122" i="4"/>
  <c r="U122" i="4" s="1"/>
  <c r="S123" i="4"/>
  <c r="U123" i="4" s="1"/>
  <c r="S124" i="4"/>
  <c r="U124" i="4" s="1"/>
  <c r="S125" i="4"/>
  <c r="U125" i="4" s="1"/>
  <c r="S126" i="4"/>
  <c r="U126" i="4" s="1"/>
  <c r="S127" i="4"/>
  <c r="U127" i="4" s="1"/>
  <c r="S128" i="4"/>
  <c r="U128" i="4" s="1"/>
  <c r="S129" i="4"/>
  <c r="U129" i="4" s="1"/>
  <c r="S130" i="4"/>
  <c r="U130" i="4" s="1"/>
  <c r="S131" i="4"/>
  <c r="U131" i="4" s="1"/>
  <c r="S132" i="4"/>
  <c r="U132" i="4" s="1"/>
  <c r="S133" i="4"/>
  <c r="U133" i="4" s="1"/>
  <c r="S134" i="4"/>
  <c r="U134" i="4" s="1"/>
  <c r="S135" i="4"/>
  <c r="U135" i="4" s="1"/>
  <c r="S136" i="4"/>
  <c r="U136" i="4" s="1"/>
  <c r="S137" i="4"/>
  <c r="U137" i="4" s="1"/>
  <c r="S138" i="4"/>
  <c r="U138" i="4" s="1"/>
  <c r="S139" i="4"/>
  <c r="U139" i="4" s="1"/>
  <c r="S140" i="4"/>
  <c r="U140" i="4" s="1"/>
  <c r="S141" i="4"/>
  <c r="U141" i="4" s="1"/>
  <c r="S142" i="4"/>
  <c r="U142" i="4" s="1"/>
  <c r="S143" i="4"/>
  <c r="U143" i="4" s="1"/>
  <c r="S144" i="4"/>
  <c r="U144" i="4" s="1"/>
  <c r="S145" i="4"/>
  <c r="U145" i="4" s="1"/>
  <c r="S146" i="4"/>
  <c r="U146" i="4" s="1"/>
  <c r="S147" i="4"/>
  <c r="U147" i="4" s="1"/>
  <c r="S148" i="4"/>
  <c r="U148" i="4" s="1"/>
  <c r="S149" i="4"/>
  <c r="U149" i="4" s="1"/>
  <c r="S150" i="4"/>
  <c r="U150" i="4" s="1"/>
  <c r="S151" i="4"/>
  <c r="U151" i="4" s="1"/>
  <c r="S152" i="4"/>
  <c r="U152" i="4" s="1"/>
  <c r="S153" i="4"/>
  <c r="U153" i="4" s="1"/>
  <c r="S154" i="4"/>
  <c r="U154" i="4" s="1"/>
  <c r="S155" i="4"/>
  <c r="U155" i="4" s="1"/>
  <c r="S156" i="4"/>
  <c r="U156" i="4" s="1"/>
  <c r="S157" i="4"/>
  <c r="U157" i="4" s="1"/>
  <c r="S158" i="4"/>
  <c r="U158" i="4" s="1"/>
  <c r="S159" i="4"/>
  <c r="U159" i="4" s="1"/>
  <c r="S160" i="4"/>
  <c r="U160" i="4" s="1"/>
  <c r="S161" i="4"/>
  <c r="U161" i="4" s="1"/>
  <c r="S162" i="4"/>
  <c r="U162" i="4" s="1"/>
  <c r="S163" i="4"/>
  <c r="U163" i="4" s="1"/>
  <c r="S164" i="4"/>
  <c r="U164" i="4" s="1"/>
  <c r="S165" i="4"/>
  <c r="U165" i="4" s="1"/>
  <c r="S166" i="4"/>
  <c r="U166" i="4" s="1"/>
  <c r="S167" i="4"/>
  <c r="U167" i="4" s="1"/>
  <c r="S168" i="4"/>
  <c r="U168" i="4" s="1"/>
  <c r="S169" i="4"/>
  <c r="U169" i="4" s="1"/>
  <c r="S170" i="4"/>
  <c r="U170" i="4" s="1"/>
  <c r="S171" i="4"/>
  <c r="U171" i="4" s="1"/>
  <c r="S172" i="4"/>
  <c r="U172" i="4" s="1"/>
  <c r="S173" i="4"/>
  <c r="U173" i="4" s="1"/>
  <c r="S174" i="4"/>
  <c r="U174" i="4" s="1"/>
  <c r="S175" i="4"/>
  <c r="U175" i="4" s="1"/>
  <c r="S176" i="4"/>
  <c r="U176" i="4" s="1"/>
  <c r="S177" i="4"/>
  <c r="U177" i="4" s="1"/>
  <c r="S178" i="4"/>
  <c r="U178" i="4" s="1"/>
  <c r="S179" i="4"/>
  <c r="U179" i="4" s="1"/>
  <c r="S180" i="4"/>
  <c r="U180" i="4" s="1"/>
  <c r="S181" i="4"/>
  <c r="U181" i="4" s="1"/>
  <c r="S182" i="4"/>
  <c r="U182" i="4" s="1"/>
  <c r="S183" i="4"/>
  <c r="U183" i="4" s="1"/>
  <c r="S184" i="4"/>
  <c r="U184" i="4" s="1"/>
  <c r="S185" i="4"/>
  <c r="U185" i="4" s="1"/>
  <c r="S186" i="4"/>
  <c r="U186" i="4" s="1"/>
  <c r="S187" i="4"/>
  <c r="U187" i="4" s="1"/>
  <c r="S188" i="4"/>
  <c r="U188" i="4" s="1"/>
  <c r="S189" i="4"/>
  <c r="U189" i="4" s="1"/>
  <c r="S190" i="4"/>
  <c r="U190" i="4" s="1"/>
  <c r="S191" i="4"/>
  <c r="U191" i="4" s="1"/>
  <c r="S192" i="4"/>
  <c r="U192" i="4" s="1"/>
  <c r="S193" i="4"/>
  <c r="U193" i="4" s="1"/>
  <c r="S194" i="4"/>
  <c r="U194" i="4" s="1"/>
  <c r="S195" i="4"/>
  <c r="U195" i="4" s="1"/>
  <c r="S196" i="4"/>
  <c r="U196" i="4" s="1"/>
  <c r="S197" i="4"/>
  <c r="U197" i="4" s="1"/>
  <c r="S198" i="4"/>
  <c r="U198" i="4" s="1"/>
  <c r="S199" i="4"/>
  <c r="U199" i="4" s="1"/>
  <c r="S200" i="4"/>
  <c r="U200" i="4" s="1"/>
  <c r="S201" i="4"/>
  <c r="U201" i="4" s="1"/>
  <c r="S202" i="4"/>
  <c r="U202" i="4" s="1"/>
  <c r="S203" i="4"/>
  <c r="U203" i="4" s="1"/>
  <c r="S204" i="4"/>
  <c r="U204" i="4" s="1"/>
  <c r="S205" i="4"/>
  <c r="U205" i="4" s="1"/>
  <c r="S206" i="4"/>
  <c r="U206" i="4" s="1"/>
  <c r="S207" i="4"/>
  <c r="U207" i="4" s="1"/>
  <c r="S208" i="4"/>
  <c r="U208" i="4" s="1"/>
  <c r="S209" i="4"/>
  <c r="U209" i="4" s="1"/>
  <c r="S210" i="4"/>
  <c r="U210" i="4" s="1"/>
  <c r="S211" i="4"/>
  <c r="U211" i="4" s="1"/>
  <c r="S212" i="4"/>
  <c r="U212" i="4" s="1"/>
  <c r="S213" i="4"/>
  <c r="U213" i="4" s="1"/>
  <c r="S214" i="4"/>
  <c r="U214" i="4" s="1"/>
  <c r="S215" i="4"/>
  <c r="U215" i="4" s="1"/>
  <c r="S216" i="4"/>
  <c r="U216" i="4" s="1"/>
  <c r="S217" i="4"/>
  <c r="U217" i="4" s="1"/>
  <c r="S218" i="4"/>
  <c r="U218" i="4" s="1"/>
  <c r="S219" i="4"/>
  <c r="U219" i="4" s="1"/>
  <c r="S220" i="4"/>
  <c r="U220" i="4" s="1"/>
  <c r="S221" i="4"/>
  <c r="U221" i="4" s="1"/>
  <c r="S222" i="4"/>
  <c r="U222" i="4" s="1"/>
  <c r="S223" i="4"/>
  <c r="U223" i="4" s="1"/>
  <c r="S224" i="4"/>
  <c r="U224" i="4" s="1"/>
  <c r="S225" i="4"/>
  <c r="U225" i="4" s="1"/>
  <c r="S226" i="4"/>
  <c r="U226" i="4" s="1"/>
  <c r="S227" i="4"/>
  <c r="U227" i="4" s="1"/>
  <c r="S228" i="4"/>
  <c r="U228" i="4" s="1"/>
  <c r="S229" i="4"/>
  <c r="U229" i="4" s="1"/>
  <c r="S230" i="4"/>
  <c r="U230" i="4" s="1"/>
  <c r="S231" i="4"/>
  <c r="U231" i="4" s="1"/>
  <c r="S232" i="4"/>
  <c r="U232" i="4" s="1"/>
  <c r="S233" i="4"/>
  <c r="U233" i="4" s="1"/>
  <c r="S234" i="4"/>
  <c r="U234" i="4" s="1"/>
  <c r="S235" i="4"/>
  <c r="U235" i="4" s="1"/>
  <c r="S236" i="4"/>
  <c r="U236" i="4" s="1"/>
  <c r="S237" i="4"/>
  <c r="U237" i="4" s="1"/>
  <c r="S238" i="4"/>
  <c r="U238" i="4" s="1"/>
  <c r="S239" i="4"/>
  <c r="U239" i="4" s="1"/>
  <c r="S240" i="4"/>
  <c r="U240" i="4" s="1"/>
  <c r="S241" i="4"/>
  <c r="U241" i="4" s="1"/>
  <c r="S242" i="4"/>
  <c r="U242" i="4" s="1"/>
  <c r="S243" i="4"/>
  <c r="U243" i="4" s="1"/>
  <c r="S244" i="4"/>
  <c r="U244" i="4" s="1"/>
  <c r="S245" i="4"/>
  <c r="U245" i="4" s="1"/>
  <c r="S246" i="4"/>
  <c r="U246" i="4" s="1"/>
  <c r="S247" i="4"/>
  <c r="U247" i="4" s="1"/>
  <c r="S248" i="4"/>
  <c r="U248" i="4" s="1"/>
  <c r="S249" i="4"/>
  <c r="U249" i="4" s="1"/>
  <c r="S250" i="4"/>
  <c r="U250" i="4" s="1"/>
  <c r="S251" i="4"/>
  <c r="U251" i="4" s="1"/>
  <c r="S252" i="4"/>
  <c r="U252" i="4" s="1"/>
  <c r="S253" i="4"/>
  <c r="U253" i="4" s="1"/>
  <c r="S254" i="4"/>
  <c r="U254" i="4" s="1"/>
  <c r="S255" i="4"/>
  <c r="U255" i="4" s="1"/>
  <c r="S256" i="4"/>
  <c r="U256" i="4" s="1"/>
  <c r="S257" i="4"/>
  <c r="U257" i="4" s="1"/>
  <c r="S258" i="4"/>
  <c r="U258" i="4" s="1"/>
  <c r="S259" i="4"/>
  <c r="U259" i="4" s="1"/>
  <c r="S260" i="4"/>
  <c r="U260" i="4" s="1"/>
  <c r="S261" i="4"/>
  <c r="U261" i="4" s="1"/>
  <c r="S262" i="4"/>
  <c r="U262" i="4" s="1"/>
  <c r="S263" i="4"/>
  <c r="U263" i="4" s="1"/>
  <c r="S264" i="4"/>
  <c r="U264" i="4" s="1"/>
  <c r="S265" i="4"/>
  <c r="U265" i="4" s="1"/>
  <c r="S266" i="4"/>
  <c r="U266" i="4" s="1"/>
  <c r="S267" i="4"/>
  <c r="U267" i="4" s="1"/>
  <c r="S268" i="4"/>
  <c r="U268" i="4" s="1"/>
  <c r="S269" i="4"/>
  <c r="U269" i="4" s="1"/>
  <c r="S270" i="4"/>
  <c r="U270" i="4" s="1"/>
  <c r="S271" i="4"/>
  <c r="U271" i="4" s="1"/>
  <c r="S272" i="4"/>
  <c r="U272" i="4" s="1"/>
  <c r="S273" i="4"/>
  <c r="U273" i="4" s="1"/>
  <c r="S274" i="4"/>
  <c r="U274" i="4" s="1"/>
  <c r="S275" i="4"/>
  <c r="U275" i="4" s="1"/>
  <c r="S276" i="4"/>
  <c r="U276" i="4" s="1"/>
  <c r="S277" i="4"/>
  <c r="U277" i="4" s="1"/>
  <c r="S278" i="4"/>
  <c r="U278" i="4" s="1"/>
  <c r="S279" i="4"/>
  <c r="U279" i="4" s="1"/>
  <c r="S280" i="4"/>
  <c r="U280" i="4" s="1"/>
  <c r="S281" i="4"/>
  <c r="U281" i="4" s="1"/>
  <c r="S282" i="4"/>
  <c r="U282" i="4" s="1"/>
  <c r="S283" i="4"/>
  <c r="U283" i="4" s="1"/>
  <c r="S284" i="4"/>
  <c r="U284" i="4" s="1"/>
  <c r="S285" i="4"/>
  <c r="U285" i="4" s="1"/>
  <c r="S286" i="4"/>
  <c r="U286" i="4" s="1"/>
  <c r="S287" i="4"/>
  <c r="U287" i="4" s="1"/>
  <c r="S288" i="4"/>
  <c r="U288" i="4" s="1"/>
  <c r="S289" i="4"/>
  <c r="U289" i="4" s="1"/>
  <c r="S290" i="4"/>
  <c r="U290" i="4" s="1"/>
  <c r="S291" i="4"/>
  <c r="U291" i="4" s="1"/>
  <c r="S292" i="4"/>
  <c r="U292" i="4" s="1"/>
  <c r="S293" i="4"/>
  <c r="U293" i="4" s="1"/>
  <c r="S294" i="4"/>
  <c r="U294" i="4" s="1"/>
  <c r="S295" i="4"/>
  <c r="U295" i="4" s="1"/>
  <c r="S296" i="4"/>
  <c r="U296" i="4" s="1"/>
  <c r="S297" i="4"/>
  <c r="U297" i="4" s="1"/>
  <c r="S298" i="4"/>
  <c r="U298" i="4" s="1"/>
  <c r="S299" i="4"/>
  <c r="U299" i="4" s="1"/>
  <c r="S300" i="4"/>
  <c r="U300" i="4" s="1"/>
  <c r="S301" i="4"/>
  <c r="U301" i="4" s="1"/>
  <c r="S302" i="4"/>
  <c r="U302" i="4" s="1"/>
  <c r="S303" i="4"/>
  <c r="U303" i="4" s="1"/>
  <c r="S304" i="4"/>
  <c r="U304" i="4" s="1"/>
  <c r="S305" i="4"/>
  <c r="U305" i="4" s="1"/>
  <c r="S306" i="4"/>
  <c r="U306" i="4" s="1"/>
  <c r="S307" i="4"/>
  <c r="U307" i="4" s="1"/>
  <c r="S308" i="4"/>
  <c r="U308" i="4" s="1"/>
  <c r="S309" i="4"/>
  <c r="U309" i="4" s="1"/>
  <c r="S310" i="4"/>
  <c r="U310" i="4" s="1"/>
  <c r="S311" i="4"/>
  <c r="U311" i="4" s="1"/>
  <c r="S312" i="4"/>
  <c r="U312" i="4" s="1"/>
  <c r="S313" i="4"/>
  <c r="U313" i="4" s="1"/>
  <c r="S314" i="4"/>
  <c r="U314" i="4" s="1"/>
  <c r="S315" i="4"/>
  <c r="U315" i="4" s="1"/>
  <c r="S316" i="4"/>
  <c r="U316" i="4" s="1"/>
  <c r="S317" i="4"/>
  <c r="U317" i="4" s="1"/>
  <c r="S318" i="4"/>
  <c r="U318" i="4" s="1"/>
  <c r="S319" i="4"/>
  <c r="U319" i="4" s="1"/>
  <c r="S320" i="4"/>
  <c r="U320" i="4" s="1"/>
  <c r="S321" i="4"/>
  <c r="U321" i="4" s="1"/>
  <c r="S322" i="4"/>
  <c r="U322" i="4" s="1"/>
  <c r="S323" i="4"/>
  <c r="U323" i="4" s="1"/>
  <c r="S324" i="4"/>
  <c r="U324" i="4" s="1"/>
  <c r="S325" i="4"/>
  <c r="U325" i="4" s="1"/>
  <c r="S326" i="4"/>
  <c r="U326" i="4" s="1"/>
  <c r="S327" i="4"/>
  <c r="U327" i="4" s="1"/>
  <c r="S328" i="4"/>
  <c r="U328" i="4" s="1"/>
  <c r="S329" i="4"/>
  <c r="U329" i="4" s="1"/>
  <c r="S330" i="4"/>
  <c r="U330" i="4" s="1"/>
  <c r="S331" i="4"/>
  <c r="U331" i="4" s="1"/>
  <c r="S332" i="4"/>
  <c r="U332" i="4" s="1"/>
  <c r="S333" i="4"/>
  <c r="U333" i="4" s="1"/>
  <c r="S334" i="4"/>
  <c r="U334" i="4" s="1"/>
  <c r="S335" i="4"/>
  <c r="U335" i="4" s="1"/>
  <c r="S336" i="4"/>
  <c r="U336" i="4" s="1"/>
  <c r="S337" i="4"/>
  <c r="U337" i="4" s="1"/>
  <c r="S338" i="4"/>
  <c r="U338" i="4" s="1"/>
  <c r="S339" i="4"/>
  <c r="U339" i="4" s="1"/>
  <c r="S340" i="4"/>
  <c r="U340" i="4" s="1"/>
  <c r="S341" i="4"/>
  <c r="U341" i="4" s="1"/>
  <c r="S342" i="4"/>
  <c r="U342" i="4" s="1"/>
  <c r="S343" i="4"/>
  <c r="U343" i="4" s="1"/>
  <c r="S344" i="4"/>
  <c r="U344" i="4" s="1"/>
  <c r="S345" i="4"/>
  <c r="U345" i="4" s="1"/>
  <c r="S346" i="4"/>
  <c r="U346" i="4" s="1"/>
  <c r="S347" i="4"/>
  <c r="U347" i="4" s="1"/>
  <c r="S348" i="4"/>
  <c r="U348" i="4" s="1"/>
  <c r="S349" i="4"/>
  <c r="U349" i="4" s="1"/>
  <c r="S350" i="4"/>
  <c r="U350" i="4" s="1"/>
  <c r="S351" i="4"/>
  <c r="U351" i="4" s="1"/>
  <c r="S352" i="4"/>
  <c r="U352" i="4" s="1"/>
  <c r="S353" i="4"/>
  <c r="U353" i="4" s="1"/>
  <c r="S354" i="4"/>
  <c r="U354" i="4" s="1"/>
  <c r="S355" i="4"/>
  <c r="U355" i="4" s="1"/>
  <c r="S356" i="4"/>
  <c r="U356" i="4" s="1"/>
  <c r="S357" i="4"/>
  <c r="U357" i="4" s="1"/>
  <c r="S358" i="4"/>
  <c r="U358" i="4" s="1"/>
  <c r="S359" i="4"/>
  <c r="U359" i="4" s="1"/>
  <c r="S360" i="4"/>
  <c r="U360" i="4" s="1"/>
  <c r="S361" i="4"/>
  <c r="U361" i="4" s="1"/>
  <c r="S362" i="4"/>
  <c r="U362" i="4" s="1"/>
  <c r="S363" i="4"/>
  <c r="U363" i="4" s="1"/>
  <c r="S364" i="4"/>
  <c r="U364" i="4" s="1"/>
  <c r="S365" i="4"/>
  <c r="U365" i="4" s="1"/>
  <c r="S366" i="4"/>
  <c r="U366" i="4" s="1"/>
  <c r="S367" i="4"/>
  <c r="U367" i="4" s="1"/>
  <c r="S368" i="4"/>
  <c r="U368" i="4" s="1"/>
  <c r="S369" i="4"/>
  <c r="U369" i="4" s="1"/>
  <c r="S370" i="4"/>
  <c r="U370" i="4" s="1"/>
  <c r="S371" i="4"/>
  <c r="U371" i="4" s="1"/>
  <c r="S372" i="4"/>
  <c r="U372" i="4" s="1"/>
  <c r="S373" i="4"/>
  <c r="U373" i="4" s="1"/>
  <c r="S374" i="4"/>
  <c r="U374" i="4" s="1"/>
  <c r="S375" i="4"/>
  <c r="U375" i="4" s="1"/>
  <c r="S376" i="4"/>
  <c r="U376" i="4" s="1"/>
  <c r="S377" i="4"/>
  <c r="U377" i="4" s="1"/>
  <c r="S378" i="4"/>
  <c r="U378" i="4" s="1"/>
  <c r="S379" i="4"/>
  <c r="U379" i="4" s="1"/>
  <c r="S380" i="4"/>
  <c r="U380" i="4" s="1"/>
  <c r="S381" i="4"/>
  <c r="U381" i="4" s="1"/>
  <c r="S382" i="4"/>
  <c r="U382" i="4" s="1"/>
  <c r="S383" i="4"/>
  <c r="U383" i="4" s="1"/>
  <c r="S384" i="4"/>
  <c r="U384" i="4" s="1"/>
  <c r="S385" i="4"/>
  <c r="U385" i="4" s="1"/>
  <c r="S386" i="4"/>
  <c r="U386" i="4" s="1"/>
  <c r="S387" i="4"/>
  <c r="U387" i="4" s="1"/>
  <c r="S388" i="4"/>
  <c r="U388" i="4" s="1"/>
  <c r="S389" i="4"/>
  <c r="U389" i="4" s="1"/>
  <c r="S390" i="4"/>
  <c r="U390" i="4" s="1"/>
  <c r="S391" i="4"/>
  <c r="U391" i="4" s="1"/>
  <c r="S392" i="4"/>
  <c r="U392" i="4" s="1"/>
  <c r="S393" i="4"/>
  <c r="U393" i="4" s="1"/>
  <c r="S394" i="4"/>
  <c r="U394" i="4" s="1"/>
  <c r="S395" i="4"/>
  <c r="U395" i="4" s="1"/>
  <c r="S396" i="4"/>
  <c r="U396" i="4" s="1"/>
  <c r="S397" i="4"/>
  <c r="U397" i="4" s="1"/>
  <c r="S398" i="4"/>
  <c r="U398" i="4" s="1"/>
  <c r="S399" i="4"/>
  <c r="U399" i="4" s="1"/>
  <c r="S400" i="4"/>
  <c r="U400" i="4" s="1"/>
  <c r="S401" i="4"/>
  <c r="U401" i="4" s="1"/>
  <c r="S402" i="4"/>
  <c r="U402" i="4" s="1"/>
  <c r="S403" i="4"/>
  <c r="U403" i="4" s="1"/>
  <c r="S404" i="4"/>
  <c r="U404" i="4" s="1"/>
  <c r="S405" i="4"/>
  <c r="U405" i="4" s="1"/>
  <c r="S406" i="4"/>
  <c r="U406" i="4" s="1"/>
  <c r="S407" i="4"/>
  <c r="U407" i="4" s="1"/>
  <c r="S408" i="4"/>
  <c r="U408" i="4" s="1"/>
  <c r="S409" i="4"/>
  <c r="U409" i="4" s="1"/>
  <c r="S410" i="4"/>
  <c r="U410" i="4" s="1"/>
  <c r="S411" i="4"/>
  <c r="U411" i="4" s="1"/>
  <c r="S412" i="4"/>
  <c r="U412" i="4" s="1"/>
  <c r="S413" i="4"/>
  <c r="U413" i="4" s="1"/>
  <c r="S414" i="4"/>
  <c r="U414" i="4" s="1"/>
  <c r="S415" i="4"/>
  <c r="U415" i="4" s="1"/>
  <c r="S416" i="4"/>
  <c r="U416" i="4" s="1"/>
  <c r="S417" i="4"/>
  <c r="U417" i="4" s="1"/>
  <c r="S418" i="4"/>
  <c r="U418" i="4" s="1"/>
  <c r="S419" i="4"/>
  <c r="U419" i="4" s="1"/>
  <c r="S420" i="4"/>
  <c r="U420" i="4" s="1"/>
  <c r="S421" i="4"/>
  <c r="U421" i="4" s="1"/>
  <c r="S422" i="4"/>
  <c r="U422" i="4" s="1"/>
  <c r="S423" i="4"/>
  <c r="U423" i="4" s="1"/>
  <c r="S424" i="4"/>
  <c r="U424" i="4" s="1"/>
  <c r="S425" i="4"/>
  <c r="U425" i="4" s="1"/>
  <c r="S426" i="4"/>
  <c r="U426" i="4" s="1"/>
  <c r="S427" i="4"/>
  <c r="U427" i="4" s="1"/>
  <c r="S428" i="4"/>
  <c r="U428" i="4" s="1"/>
  <c r="S429" i="4"/>
  <c r="U429" i="4" s="1"/>
  <c r="S430" i="4"/>
  <c r="U430" i="4" s="1"/>
  <c r="S431" i="4"/>
  <c r="U431" i="4" s="1"/>
  <c r="S432" i="4"/>
  <c r="U432" i="4" s="1"/>
  <c r="S433" i="4"/>
  <c r="U433" i="4" s="1"/>
  <c r="S434" i="4"/>
  <c r="U434" i="4" s="1"/>
  <c r="S435" i="4"/>
  <c r="U435" i="4" s="1"/>
  <c r="S436" i="4"/>
  <c r="U436" i="4" s="1"/>
  <c r="S437" i="4"/>
  <c r="U437" i="4" s="1"/>
  <c r="S438" i="4"/>
  <c r="U438" i="4" s="1"/>
  <c r="S439" i="4"/>
  <c r="U439" i="4" s="1"/>
  <c r="S440" i="4"/>
  <c r="U440" i="4" s="1"/>
  <c r="S441" i="4"/>
  <c r="U441" i="4" s="1"/>
  <c r="S442" i="4"/>
  <c r="U442" i="4" s="1"/>
  <c r="S443" i="4"/>
  <c r="U443" i="4" s="1"/>
  <c r="S444" i="4"/>
  <c r="U444" i="4" s="1"/>
  <c r="S445" i="4"/>
  <c r="U445" i="4" s="1"/>
  <c r="S446" i="4"/>
  <c r="U446" i="4" s="1"/>
  <c r="S447" i="4"/>
  <c r="U447" i="4" s="1"/>
  <c r="S448" i="4"/>
  <c r="U448" i="4" s="1"/>
  <c r="S449" i="4"/>
  <c r="U449" i="4" s="1"/>
  <c r="S450" i="4"/>
  <c r="U450" i="4" s="1"/>
  <c r="S451" i="4"/>
  <c r="U451" i="4" s="1"/>
  <c r="S452" i="4"/>
  <c r="U452" i="4" s="1"/>
  <c r="S453" i="4"/>
  <c r="U453" i="4" s="1"/>
  <c r="S454" i="4"/>
  <c r="U454" i="4" s="1"/>
  <c r="S455" i="4"/>
  <c r="U455" i="4" s="1"/>
  <c r="S456" i="4"/>
  <c r="U456" i="4" s="1"/>
  <c r="S457" i="4"/>
  <c r="U457" i="4" s="1"/>
  <c r="S458" i="4"/>
  <c r="U458" i="4" s="1"/>
  <c r="S459" i="4"/>
  <c r="U459" i="4" s="1"/>
  <c r="S460" i="4"/>
  <c r="U460" i="4" s="1"/>
  <c r="S461" i="4"/>
  <c r="U461" i="4" s="1"/>
  <c r="S462" i="4"/>
  <c r="U462" i="4" s="1"/>
  <c r="S463" i="4"/>
  <c r="U463" i="4" s="1"/>
  <c r="S464" i="4"/>
  <c r="U464" i="4" s="1"/>
  <c r="S465" i="4"/>
  <c r="U465" i="4" s="1"/>
  <c r="S466" i="4"/>
  <c r="U466" i="4" s="1"/>
  <c r="S467" i="4"/>
  <c r="U467" i="4" s="1"/>
  <c r="S468" i="4"/>
  <c r="U468" i="4" s="1"/>
  <c r="S469" i="4"/>
  <c r="U469" i="4" s="1"/>
  <c r="S470" i="4"/>
  <c r="U470" i="4" s="1"/>
  <c r="S471" i="4"/>
  <c r="U471" i="4" s="1"/>
  <c r="S472" i="4"/>
  <c r="U472" i="4" s="1"/>
  <c r="S473" i="4"/>
  <c r="U473" i="4" s="1"/>
  <c r="S474" i="4"/>
  <c r="U474" i="4" s="1"/>
  <c r="S475" i="4"/>
  <c r="U475" i="4" s="1"/>
  <c r="S476" i="4"/>
  <c r="U476" i="4" s="1"/>
  <c r="S477" i="4"/>
  <c r="U477" i="4" s="1"/>
  <c r="S478" i="4"/>
  <c r="U478" i="4" s="1"/>
  <c r="S479" i="4"/>
  <c r="U479" i="4" s="1"/>
  <c r="S480" i="4"/>
  <c r="U480" i="4" s="1"/>
  <c r="S481" i="4"/>
  <c r="U481" i="4" s="1"/>
  <c r="S482" i="4"/>
  <c r="U482" i="4" s="1"/>
  <c r="S483" i="4"/>
  <c r="U483" i="4" s="1"/>
  <c r="S484" i="4"/>
  <c r="U484" i="4" s="1"/>
  <c r="S485" i="4"/>
  <c r="U485" i="4" s="1"/>
  <c r="S486" i="4"/>
  <c r="U486" i="4" s="1"/>
  <c r="S487" i="4"/>
  <c r="U487" i="4" s="1"/>
  <c r="S488" i="4"/>
  <c r="U488" i="4" s="1"/>
  <c r="S489" i="4"/>
  <c r="U489" i="4" s="1"/>
  <c r="S490" i="4"/>
  <c r="U490" i="4" s="1"/>
  <c r="S491" i="4"/>
  <c r="U491" i="4" s="1"/>
  <c r="S492" i="4"/>
  <c r="U492" i="4" s="1"/>
  <c r="S493" i="4"/>
  <c r="U493" i="4" s="1"/>
  <c r="S494" i="4"/>
  <c r="U494" i="4" s="1"/>
  <c r="S495" i="4"/>
  <c r="U495" i="4" s="1"/>
  <c r="S496" i="4"/>
  <c r="U496" i="4" s="1"/>
  <c r="S497" i="4"/>
  <c r="U497" i="4" s="1"/>
  <c r="S498" i="4"/>
  <c r="U498" i="4" s="1"/>
  <c r="S499" i="4"/>
  <c r="U499" i="4" s="1"/>
  <c r="S500" i="4"/>
  <c r="U500" i="4" s="1"/>
  <c r="S501" i="4"/>
  <c r="U501" i="4" s="1"/>
  <c r="S502" i="4"/>
  <c r="U502" i="4" s="1"/>
  <c r="S503" i="4"/>
  <c r="U503" i="4" s="1"/>
  <c r="S504" i="4"/>
  <c r="U504" i="4" s="1"/>
  <c r="S505" i="4"/>
  <c r="U505" i="4" s="1"/>
  <c r="S506" i="4"/>
  <c r="U506" i="4" s="1"/>
  <c r="S507" i="4"/>
  <c r="U507" i="4" s="1"/>
  <c r="S508" i="4"/>
  <c r="U508" i="4" s="1"/>
  <c r="S509" i="4"/>
  <c r="U509" i="4" s="1"/>
  <c r="S510" i="4"/>
  <c r="U510" i="4" s="1"/>
  <c r="S511" i="4"/>
  <c r="U511" i="4" s="1"/>
  <c r="S512" i="4"/>
  <c r="U512" i="4" s="1"/>
  <c r="S513" i="4"/>
  <c r="U513" i="4" s="1"/>
  <c r="S514" i="4"/>
  <c r="U514" i="4" s="1"/>
  <c r="S515" i="4"/>
  <c r="U515" i="4" s="1"/>
  <c r="S516" i="4"/>
  <c r="U516" i="4" s="1"/>
  <c r="S517" i="4"/>
  <c r="U517" i="4" s="1"/>
  <c r="S518" i="4"/>
  <c r="U518" i="4" s="1"/>
  <c r="S519" i="4"/>
  <c r="U519" i="4" s="1"/>
  <c r="S520" i="4"/>
  <c r="U520" i="4" s="1"/>
  <c r="S521" i="4"/>
  <c r="U521" i="4" s="1"/>
  <c r="S522" i="4"/>
  <c r="U522" i="4" s="1"/>
  <c r="S523" i="4"/>
  <c r="U523" i="4" s="1"/>
  <c r="S524" i="4"/>
  <c r="U524" i="4" s="1"/>
  <c r="S525" i="4"/>
  <c r="U525" i="4" s="1"/>
  <c r="S526" i="4"/>
  <c r="U526" i="4" s="1"/>
  <c r="S527" i="4"/>
  <c r="U527" i="4" s="1"/>
  <c r="S528" i="4"/>
  <c r="U528" i="4" s="1"/>
  <c r="S529" i="4"/>
  <c r="U529" i="4" s="1"/>
  <c r="S530" i="4"/>
  <c r="U530" i="4" s="1"/>
  <c r="S531" i="4"/>
  <c r="U531" i="4" s="1"/>
  <c r="S532" i="4"/>
  <c r="U532" i="4" s="1"/>
  <c r="S533" i="4"/>
  <c r="U533" i="4" s="1"/>
  <c r="S534" i="4"/>
  <c r="U534" i="4" s="1"/>
  <c r="S535" i="4"/>
  <c r="U535" i="4" s="1"/>
  <c r="S536" i="4"/>
  <c r="U536" i="4" s="1"/>
  <c r="S537" i="4"/>
  <c r="U537" i="4" s="1"/>
  <c r="S538" i="4"/>
  <c r="U538" i="4" s="1"/>
  <c r="S539" i="4"/>
  <c r="U539" i="4" s="1"/>
  <c r="S540" i="4"/>
  <c r="U540" i="4" s="1"/>
  <c r="S541" i="4"/>
  <c r="U541" i="4" s="1"/>
  <c r="S542" i="4"/>
  <c r="U542" i="4" s="1"/>
  <c r="S543" i="4"/>
  <c r="U543" i="4" s="1"/>
  <c r="S544" i="4"/>
  <c r="U544" i="4" s="1"/>
  <c r="S545" i="4"/>
  <c r="U545" i="4" s="1"/>
  <c r="S546" i="4"/>
  <c r="U546" i="4" s="1"/>
  <c r="S547" i="4"/>
  <c r="U547" i="4" s="1"/>
  <c r="S548" i="4"/>
  <c r="U548" i="4" s="1"/>
  <c r="S549" i="4"/>
  <c r="U549" i="4" s="1"/>
  <c r="S550" i="4"/>
  <c r="U550" i="4" s="1"/>
  <c r="S551" i="4"/>
  <c r="U551" i="4" s="1"/>
  <c r="S552" i="4"/>
  <c r="U552" i="4" s="1"/>
  <c r="S553" i="4"/>
  <c r="U553" i="4" s="1"/>
  <c r="S554" i="4"/>
  <c r="U554" i="4" s="1"/>
  <c r="S555" i="4"/>
  <c r="U555" i="4" s="1"/>
  <c r="S556" i="4"/>
  <c r="U556" i="4" s="1"/>
  <c r="S557" i="4"/>
  <c r="U557" i="4" s="1"/>
  <c r="S558" i="4"/>
  <c r="U558" i="4" s="1"/>
  <c r="S559" i="4"/>
  <c r="U559" i="4" s="1"/>
  <c r="S560" i="4"/>
  <c r="U560" i="4" s="1"/>
  <c r="S561" i="4"/>
  <c r="U561" i="4" s="1"/>
  <c r="S562" i="4"/>
  <c r="U562" i="4" s="1"/>
  <c r="S563" i="4"/>
  <c r="U563" i="4" s="1"/>
  <c r="S564" i="4"/>
  <c r="U564" i="4" s="1"/>
  <c r="S565" i="4"/>
  <c r="U565" i="4" s="1"/>
  <c r="S566" i="4"/>
  <c r="U566" i="4" s="1"/>
  <c r="S567" i="4"/>
  <c r="U567" i="4" s="1"/>
  <c r="S568" i="4"/>
  <c r="U568" i="4" s="1"/>
  <c r="S569" i="4"/>
  <c r="U569" i="4" s="1"/>
  <c r="S570" i="4"/>
  <c r="U570" i="4" s="1"/>
  <c r="S571" i="4"/>
  <c r="U571" i="4" s="1"/>
  <c r="S572" i="4"/>
  <c r="U572" i="4" s="1"/>
  <c r="S573" i="4"/>
  <c r="U573" i="4" s="1"/>
  <c r="S574" i="4"/>
  <c r="U574" i="4" s="1"/>
  <c r="S575" i="4"/>
  <c r="U575" i="4" s="1"/>
  <c r="S576" i="4"/>
  <c r="U576" i="4" s="1"/>
  <c r="S577" i="4"/>
  <c r="U577" i="4" s="1"/>
  <c r="S578" i="4"/>
  <c r="U578" i="4" s="1"/>
  <c r="S579" i="4"/>
  <c r="U579" i="4" s="1"/>
  <c r="S580" i="4"/>
  <c r="U580" i="4" s="1"/>
  <c r="S581" i="4"/>
  <c r="U581" i="4" s="1"/>
  <c r="S582" i="4"/>
  <c r="U582" i="4" s="1"/>
  <c r="S583" i="4"/>
  <c r="U583" i="4" s="1"/>
  <c r="S584" i="4"/>
  <c r="U584" i="4" s="1"/>
  <c r="S585" i="4"/>
  <c r="U585" i="4" s="1"/>
  <c r="S586" i="4"/>
  <c r="U586" i="4" s="1"/>
  <c r="S587" i="4"/>
  <c r="U587" i="4" s="1"/>
  <c r="S588" i="4"/>
  <c r="U588" i="4" s="1"/>
  <c r="S589" i="4"/>
  <c r="U589" i="4" s="1"/>
  <c r="S590" i="4"/>
  <c r="U590" i="4" s="1"/>
  <c r="S591" i="4"/>
  <c r="U591" i="4" s="1"/>
  <c r="S592" i="4"/>
  <c r="U592" i="4" s="1"/>
  <c r="S593" i="4"/>
  <c r="U593" i="4" s="1"/>
  <c r="S594" i="4"/>
  <c r="U594" i="4" s="1"/>
  <c r="S595" i="4"/>
  <c r="U595" i="4" s="1"/>
  <c r="S596" i="4"/>
  <c r="U596" i="4" s="1"/>
  <c r="S597" i="4"/>
  <c r="U597" i="4" s="1"/>
  <c r="S598" i="4"/>
  <c r="U598" i="4" s="1"/>
  <c r="S599" i="4"/>
  <c r="U599" i="4" s="1"/>
  <c r="S600" i="4"/>
  <c r="U600" i="4" s="1"/>
  <c r="S601" i="4"/>
  <c r="U601" i="4" s="1"/>
  <c r="S602" i="4"/>
  <c r="U602" i="4" s="1"/>
  <c r="S603" i="4"/>
  <c r="U603" i="4" s="1"/>
  <c r="S604" i="4"/>
  <c r="U604" i="4" s="1"/>
  <c r="S605" i="4"/>
  <c r="U605" i="4" s="1"/>
  <c r="S606" i="4"/>
  <c r="U606" i="4" s="1"/>
  <c r="S607" i="4"/>
  <c r="U607" i="4" s="1"/>
  <c r="S608" i="4"/>
  <c r="U608" i="4" s="1"/>
  <c r="S609" i="4"/>
  <c r="U609" i="4" s="1"/>
  <c r="S610" i="4"/>
  <c r="U610" i="4" s="1"/>
  <c r="S611" i="4"/>
  <c r="U611" i="4" s="1"/>
  <c r="S612" i="4"/>
  <c r="U612" i="4" s="1"/>
  <c r="S613" i="4"/>
  <c r="U613" i="4" s="1"/>
  <c r="S614" i="4"/>
  <c r="U614" i="4" s="1"/>
  <c r="S615" i="4"/>
  <c r="U615" i="4" s="1"/>
  <c r="S616" i="4"/>
  <c r="U616" i="4" s="1"/>
  <c r="S617" i="4"/>
  <c r="U617" i="4" s="1"/>
  <c r="S618" i="4"/>
  <c r="U618" i="4" s="1"/>
  <c r="S619" i="4"/>
  <c r="U619" i="4" s="1"/>
  <c r="S620" i="4"/>
  <c r="U620" i="4" s="1"/>
  <c r="S621" i="4"/>
  <c r="U621" i="4" s="1"/>
  <c r="S622" i="4"/>
  <c r="U622" i="4" s="1"/>
  <c r="S623" i="4"/>
  <c r="U623" i="4" s="1"/>
  <c r="S624" i="4"/>
  <c r="U624" i="4" s="1"/>
  <c r="S625" i="4"/>
  <c r="U625" i="4" s="1"/>
  <c r="S626" i="4"/>
  <c r="U626" i="4" s="1"/>
  <c r="S627" i="4"/>
  <c r="U627" i="4" s="1"/>
  <c r="S628" i="4"/>
  <c r="U628" i="4" s="1"/>
  <c r="S629" i="4"/>
  <c r="U629" i="4" s="1"/>
  <c r="S630" i="4"/>
  <c r="U630" i="4" s="1"/>
  <c r="S631" i="4"/>
  <c r="U631" i="4" s="1"/>
  <c r="S632" i="4"/>
  <c r="U632" i="4" s="1"/>
  <c r="S633" i="4"/>
  <c r="U633" i="4" s="1"/>
  <c r="S634" i="4"/>
  <c r="U634" i="4" s="1"/>
  <c r="S635" i="4"/>
  <c r="U635" i="4" s="1"/>
  <c r="S636" i="4"/>
  <c r="U636" i="4" s="1"/>
  <c r="S637" i="4"/>
  <c r="U637" i="4" s="1"/>
  <c r="S638" i="4"/>
  <c r="U638" i="4" s="1"/>
  <c r="S639" i="4"/>
  <c r="U639" i="4" s="1"/>
  <c r="S640" i="4"/>
  <c r="U640" i="4" s="1"/>
  <c r="S641" i="4"/>
  <c r="U641" i="4" s="1"/>
  <c r="S642" i="4"/>
  <c r="U642" i="4" s="1"/>
  <c r="S643" i="4"/>
  <c r="U643" i="4" s="1"/>
  <c r="S644" i="4"/>
  <c r="U644" i="4" s="1"/>
  <c r="S645" i="4"/>
  <c r="U645" i="4" s="1"/>
  <c r="S646" i="4"/>
  <c r="U646" i="4" s="1"/>
  <c r="S647" i="4"/>
  <c r="U647" i="4" s="1"/>
  <c r="S648" i="4"/>
  <c r="U648" i="4" s="1"/>
  <c r="S649" i="4"/>
  <c r="U649" i="4" s="1"/>
  <c r="S650" i="4"/>
  <c r="U650" i="4" s="1"/>
  <c r="S651" i="4"/>
  <c r="U651" i="4" s="1"/>
  <c r="S652" i="4"/>
  <c r="U652" i="4" s="1"/>
  <c r="S653" i="4"/>
  <c r="U653" i="4" s="1"/>
  <c r="S654" i="4"/>
  <c r="U654" i="4" s="1"/>
  <c r="S655" i="4"/>
  <c r="U655" i="4" s="1"/>
  <c r="S656" i="4"/>
  <c r="U656" i="4" s="1"/>
  <c r="S657" i="4"/>
  <c r="U657" i="4" s="1"/>
  <c r="S658" i="4"/>
  <c r="U658" i="4" s="1"/>
  <c r="S659" i="4"/>
  <c r="U659" i="4" s="1"/>
  <c r="S660" i="4"/>
  <c r="U660" i="4" s="1"/>
  <c r="S661" i="4"/>
  <c r="U661" i="4" s="1"/>
  <c r="S662" i="4"/>
  <c r="U662" i="4" s="1"/>
  <c r="S663" i="4"/>
  <c r="U663" i="4" s="1"/>
  <c r="S664" i="4"/>
  <c r="U664" i="4" s="1"/>
  <c r="S665" i="4"/>
  <c r="U665" i="4" s="1"/>
  <c r="S666" i="4"/>
  <c r="U666" i="4" s="1"/>
  <c r="S667" i="4"/>
  <c r="U667" i="4" s="1"/>
  <c r="S668" i="4"/>
  <c r="U668" i="4" s="1"/>
  <c r="S669" i="4"/>
  <c r="U669" i="4" s="1"/>
  <c r="S670" i="4"/>
  <c r="U670" i="4" s="1"/>
  <c r="S671" i="4"/>
  <c r="U671" i="4" s="1"/>
  <c r="S672" i="4"/>
  <c r="U672" i="4" s="1"/>
  <c r="S673" i="4"/>
  <c r="U673" i="4" s="1"/>
  <c r="S674" i="4"/>
  <c r="U674" i="4" s="1"/>
  <c r="S675" i="4"/>
  <c r="U675" i="4" s="1"/>
  <c r="S676" i="4"/>
  <c r="U676" i="4" s="1"/>
  <c r="S677" i="4"/>
  <c r="U677" i="4" s="1"/>
  <c r="S678" i="4"/>
  <c r="U678" i="4" s="1"/>
  <c r="S679" i="4"/>
  <c r="U679" i="4" s="1"/>
  <c r="S680" i="4"/>
  <c r="U680" i="4" s="1"/>
  <c r="S681" i="4"/>
  <c r="U681" i="4" s="1"/>
  <c r="S682" i="4"/>
  <c r="U682" i="4" s="1"/>
  <c r="S683" i="4"/>
  <c r="U683" i="4" s="1"/>
  <c r="S684" i="4"/>
  <c r="U684" i="4" s="1"/>
  <c r="S685" i="4"/>
  <c r="U685" i="4" s="1"/>
  <c r="S686" i="4"/>
  <c r="U686" i="4" s="1"/>
  <c r="S687" i="4"/>
  <c r="U687" i="4" s="1"/>
  <c r="S688" i="4"/>
  <c r="U688" i="4" s="1"/>
  <c r="S689" i="4"/>
  <c r="U689" i="4" s="1"/>
  <c r="S690" i="4"/>
  <c r="U690" i="4" s="1"/>
  <c r="S691" i="4"/>
  <c r="U691" i="4" s="1"/>
  <c r="S692" i="4"/>
  <c r="U692" i="4" s="1"/>
  <c r="S693" i="4"/>
  <c r="U693" i="4" s="1"/>
  <c r="S694" i="4"/>
  <c r="U694" i="4" s="1"/>
  <c r="S695" i="4"/>
  <c r="U695" i="4" s="1"/>
  <c r="S696" i="4"/>
  <c r="U696" i="4" s="1"/>
  <c r="S697" i="4"/>
  <c r="U697" i="4" s="1"/>
  <c r="S698" i="4"/>
  <c r="U698" i="4" s="1"/>
  <c r="S699" i="4"/>
  <c r="U699" i="4" s="1"/>
  <c r="S700" i="4"/>
  <c r="U700" i="4" s="1"/>
  <c r="S701" i="4"/>
  <c r="U701" i="4" s="1"/>
  <c r="S702" i="4"/>
  <c r="U702" i="4" s="1"/>
  <c r="S703" i="4"/>
  <c r="U703" i="4" s="1"/>
  <c r="S704" i="4"/>
  <c r="U704" i="4" s="1"/>
  <c r="S705" i="4"/>
  <c r="U705" i="4" s="1"/>
  <c r="S706" i="4"/>
  <c r="U706" i="4" s="1"/>
  <c r="S707" i="4"/>
  <c r="U707" i="4" s="1"/>
  <c r="S708" i="4"/>
  <c r="U708" i="4" s="1"/>
  <c r="S709" i="4"/>
  <c r="U709" i="4" s="1"/>
  <c r="S710" i="4"/>
  <c r="U710" i="4" s="1"/>
  <c r="S711" i="4"/>
  <c r="U711" i="4" s="1"/>
  <c r="S712" i="4"/>
  <c r="U712" i="4" s="1"/>
  <c r="S713" i="4"/>
  <c r="U713" i="4" s="1"/>
  <c r="S714" i="4"/>
  <c r="U714" i="4" s="1"/>
  <c r="S715" i="4"/>
  <c r="U715" i="4" s="1"/>
  <c r="S716" i="4"/>
  <c r="U716" i="4" s="1"/>
  <c r="S717" i="4"/>
  <c r="U717" i="4" s="1"/>
  <c r="S718" i="4"/>
  <c r="U718" i="4" s="1"/>
  <c r="S719" i="4"/>
  <c r="U719" i="4" s="1"/>
  <c r="S720" i="4"/>
  <c r="U720" i="4" s="1"/>
  <c r="S721" i="4"/>
  <c r="U721" i="4" s="1"/>
  <c r="S722" i="4"/>
  <c r="U722" i="4" s="1"/>
  <c r="S723" i="4"/>
  <c r="U723" i="4" s="1"/>
  <c r="S724" i="4"/>
  <c r="U724" i="4" s="1"/>
  <c r="S725" i="4"/>
  <c r="U725" i="4" s="1"/>
  <c r="S726" i="4"/>
  <c r="U726" i="4" s="1"/>
  <c r="S727" i="4"/>
  <c r="U727" i="4" s="1"/>
  <c r="S728" i="4"/>
  <c r="U728" i="4" s="1"/>
  <c r="S729" i="4"/>
  <c r="U729" i="4" s="1"/>
  <c r="S730" i="4"/>
  <c r="U730" i="4" s="1"/>
  <c r="S731" i="4"/>
  <c r="U731" i="4" s="1"/>
  <c r="S732" i="4"/>
  <c r="U732" i="4" s="1"/>
  <c r="S733" i="4"/>
  <c r="U733" i="4" s="1"/>
  <c r="S734" i="4"/>
  <c r="U734" i="4" s="1"/>
  <c r="S735" i="4"/>
  <c r="U735" i="4" s="1"/>
  <c r="S736" i="4"/>
  <c r="U736" i="4" s="1"/>
  <c r="S737" i="4"/>
  <c r="U737" i="4" s="1"/>
  <c r="S738" i="4"/>
  <c r="U738" i="4" s="1"/>
  <c r="S739" i="4"/>
  <c r="U739" i="4" s="1"/>
  <c r="S740" i="4"/>
  <c r="U740" i="4" s="1"/>
  <c r="S741" i="4"/>
  <c r="U741" i="4" s="1"/>
  <c r="S742" i="4"/>
  <c r="U742" i="4" s="1"/>
  <c r="S743" i="4"/>
  <c r="U743" i="4" s="1"/>
  <c r="S744" i="4"/>
  <c r="U744" i="4" s="1"/>
  <c r="S745" i="4"/>
  <c r="U745" i="4" s="1"/>
  <c r="S746" i="4"/>
  <c r="U746" i="4" s="1"/>
  <c r="S747" i="4"/>
  <c r="U747" i="4" s="1"/>
  <c r="S748" i="4"/>
  <c r="U748" i="4" s="1"/>
  <c r="S749" i="4"/>
  <c r="U749" i="4" s="1"/>
  <c r="S750" i="4"/>
  <c r="U750" i="4" s="1"/>
  <c r="S751" i="4"/>
  <c r="U751" i="4" s="1"/>
  <c r="S752" i="4"/>
  <c r="U752" i="4" s="1"/>
  <c r="S753" i="4"/>
  <c r="U753" i="4" s="1"/>
  <c r="S754" i="4"/>
  <c r="U754" i="4" s="1"/>
  <c r="S755" i="4"/>
  <c r="U755" i="4" s="1"/>
  <c r="S756" i="4"/>
  <c r="U756" i="4" s="1"/>
  <c r="S757" i="4"/>
  <c r="U757" i="4" s="1"/>
  <c r="S758" i="4"/>
  <c r="U758" i="4" s="1"/>
  <c r="S759" i="4"/>
  <c r="U759" i="4" s="1"/>
  <c r="S760" i="4"/>
  <c r="U760" i="4" s="1"/>
  <c r="S761" i="4"/>
  <c r="U761" i="4" s="1"/>
  <c r="S762" i="4"/>
  <c r="U762" i="4" s="1"/>
  <c r="S763" i="4"/>
  <c r="U763" i="4" s="1"/>
  <c r="S764" i="4"/>
  <c r="U764" i="4" s="1"/>
  <c r="S765" i="4"/>
  <c r="U765" i="4" s="1"/>
  <c r="S766" i="4"/>
  <c r="U766" i="4" s="1"/>
  <c r="S767" i="4"/>
  <c r="U767" i="4" s="1"/>
  <c r="S768" i="4"/>
  <c r="U768" i="4" s="1"/>
  <c r="S769" i="4"/>
  <c r="U769" i="4" s="1"/>
  <c r="S770" i="4"/>
  <c r="U770" i="4" s="1"/>
  <c r="S771" i="4"/>
  <c r="U771" i="4" s="1"/>
  <c r="S772" i="4"/>
  <c r="U772" i="4" s="1"/>
  <c r="S773" i="4"/>
  <c r="U773" i="4" s="1"/>
  <c r="S774" i="4"/>
  <c r="U774" i="4" s="1"/>
  <c r="S775" i="4"/>
  <c r="U775" i="4" s="1"/>
  <c r="S776" i="4"/>
  <c r="U776" i="4" s="1"/>
  <c r="S777" i="4"/>
  <c r="U777" i="4" s="1"/>
  <c r="S778" i="4"/>
  <c r="U778" i="4" s="1"/>
  <c r="S779" i="4"/>
  <c r="U779" i="4" s="1"/>
  <c r="S780" i="4"/>
  <c r="U780" i="4" s="1"/>
  <c r="S781" i="4"/>
  <c r="U781" i="4" s="1"/>
  <c r="S782" i="4"/>
  <c r="U782" i="4" s="1"/>
  <c r="S783" i="4"/>
  <c r="U783" i="4" s="1"/>
  <c r="S784" i="4"/>
  <c r="U784" i="4" s="1"/>
  <c r="S785" i="4"/>
  <c r="U785" i="4" s="1"/>
  <c r="S786" i="4"/>
  <c r="U786" i="4" s="1"/>
  <c r="S787" i="4"/>
  <c r="U787" i="4" s="1"/>
  <c r="S788" i="4"/>
  <c r="U788" i="4" s="1"/>
  <c r="S789" i="4"/>
  <c r="U789" i="4" s="1"/>
  <c r="S790" i="4"/>
  <c r="U790" i="4" s="1"/>
  <c r="S791" i="4"/>
  <c r="U791" i="4" s="1"/>
  <c r="S792" i="4"/>
  <c r="U792" i="4" s="1"/>
  <c r="S793" i="4"/>
  <c r="U793" i="4" s="1"/>
  <c r="S794" i="4"/>
  <c r="U794" i="4" s="1"/>
  <c r="S795" i="4"/>
  <c r="U795" i="4" s="1"/>
  <c r="S796" i="4"/>
  <c r="U796" i="4" s="1"/>
  <c r="S797" i="4"/>
  <c r="U797" i="4" s="1"/>
  <c r="S798" i="4"/>
  <c r="U798" i="4" s="1"/>
  <c r="S799" i="4"/>
  <c r="U799" i="4" s="1"/>
  <c r="S800" i="4"/>
  <c r="U800" i="4" s="1"/>
  <c r="S801" i="4"/>
  <c r="U801" i="4" s="1"/>
  <c r="S802" i="4"/>
  <c r="U802" i="4" s="1"/>
  <c r="S803" i="4"/>
  <c r="U803" i="4" s="1"/>
  <c r="S804" i="4"/>
  <c r="U804" i="4" s="1"/>
  <c r="S805" i="4"/>
  <c r="U805" i="4" s="1"/>
  <c r="S806" i="4"/>
  <c r="U806" i="4" s="1"/>
  <c r="S807" i="4"/>
  <c r="U807" i="4" s="1"/>
  <c r="S808" i="4"/>
  <c r="U808" i="4" s="1"/>
  <c r="S809" i="4"/>
  <c r="U809" i="4" s="1"/>
  <c r="S810" i="4"/>
  <c r="U810" i="4" s="1"/>
  <c r="S811" i="4"/>
  <c r="U811" i="4" s="1"/>
  <c r="S812" i="4"/>
  <c r="U812" i="4" s="1"/>
  <c r="S813" i="4"/>
  <c r="U813" i="4" s="1"/>
  <c r="S814" i="4"/>
  <c r="U814" i="4" s="1"/>
  <c r="S815" i="4"/>
  <c r="U815" i="4" s="1"/>
  <c r="S816" i="4"/>
  <c r="U816" i="4" s="1"/>
  <c r="S817" i="4"/>
  <c r="U817" i="4" s="1"/>
  <c r="S818" i="4"/>
  <c r="U818" i="4" s="1"/>
  <c r="S819" i="4"/>
  <c r="U819" i="4" s="1"/>
  <c r="S820" i="4"/>
  <c r="U820" i="4" s="1"/>
  <c r="S821" i="4"/>
  <c r="U821" i="4" s="1"/>
  <c r="S822" i="4"/>
  <c r="U822" i="4" s="1"/>
  <c r="S823" i="4"/>
  <c r="U823" i="4" s="1"/>
  <c r="S824" i="4"/>
  <c r="U824" i="4" s="1"/>
  <c r="S825" i="4"/>
  <c r="U825" i="4" s="1"/>
  <c r="S826" i="4"/>
  <c r="U826" i="4" s="1"/>
  <c r="S827" i="4"/>
  <c r="U827" i="4" s="1"/>
  <c r="S828" i="4"/>
  <c r="U828" i="4" s="1"/>
  <c r="S829" i="4"/>
  <c r="U829" i="4" s="1"/>
  <c r="S830" i="4"/>
  <c r="U830" i="4" s="1"/>
  <c r="S831" i="4"/>
  <c r="U831" i="4" s="1"/>
  <c r="S832" i="4"/>
  <c r="U832" i="4" s="1"/>
  <c r="S833" i="4"/>
  <c r="U833" i="4" s="1"/>
  <c r="S834" i="4"/>
  <c r="U834" i="4" s="1"/>
  <c r="S835" i="4"/>
  <c r="U835" i="4" s="1"/>
  <c r="S836" i="4"/>
  <c r="U836" i="4" s="1"/>
  <c r="S837" i="4"/>
  <c r="U837" i="4" s="1"/>
  <c r="S838" i="4"/>
  <c r="U838" i="4" s="1"/>
  <c r="S839" i="4"/>
  <c r="U839" i="4" s="1"/>
  <c r="S840" i="4"/>
  <c r="U840" i="4" s="1"/>
  <c r="S841" i="4"/>
  <c r="U841" i="4" s="1"/>
  <c r="S842" i="4"/>
  <c r="U842" i="4" s="1"/>
  <c r="S843" i="4"/>
  <c r="U843" i="4" s="1"/>
  <c r="S844" i="4"/>
  <c r="U844" i="4" s="1"/>
  <c r="S845" i="4"/>
  <c r="U845" i="4" s="1"/>
  <c r="S846" i="4"/>
  <c r="U846" i="4" s="1"/>
  <c r="S847" i="4"/>
  <c r="U847" i="4" s="1"/>
  <c r="S848" i="4"/>
  <c r="U848" i="4" s="1"/>
  <c r="S849" i="4"/>
  <c r="U849" i="4" s="1"/>
  <c r="S850" i="4"/>
  <c r="U850" i="4" s="1"/>
  <c r="S851" i="4"/>
  <c r="U851" i="4" s="1"/>
  <c r="S852" i="4"/>
  <c r="U852" i="4" s="1"/>
  <c r="S853" i="4"/>
  <c r="U853" i="4" s="1"/>
  <c r="S854" i="4"/>
  <c r="U854" i="4" s="1"/>
  <c r="S855" i="4"/>
  <c r="U855" i="4" s="1"/>
  <c r="S856" i="4"/>
  <c r="U856" i="4" s="1"/>
  <c r="S857" i="4"/>
  <c r="U857" i="4" s="1"/>
  <c r="S858" i="4"/>
  <c r="U858" i="4" s="1"/>
  <c r="S859" i="4"/>
  <c r="U859" i="4" s="1"/>
  <c r="S860" i="4"/>
  <c r="U860" i="4" s="1"/>
  <c r="S861" i="4"/>
  <c r="U861" i="4" s="1"/>
  <c r="S862" i="4"/>
  <c r="U862" i="4" s="1"/>
  <c r="S863" i="4"/>
  <c r="U863" i="4" s="1"/>
  <c r="S864" i="4"/>
  <c r="U864" i="4" s="1"/>
  <c r="S865" i="4"/>
  <c r="U865" i="4" s="1"/>
  <c r="S866" i="4"/>
  <c r="U866" i="4" s="1"/>
  <c r="S867" i="4"/>
  <c r="U867" i="4" s="1"/>
  <c r="S868" i="4"/>
  <c r="U868" i="4" s="1"/>
  <c r="S869" i="4"/>
  <c r="U869" i="4" s="1"/>
  <c r="S870" i="4"/>
  <c r="U870" i="4" s="1"/>
  <c r="S871" i="4"/>
  <c r="U871" i="4" s="1"/>
  <c r="S872" i="4"/>
  <c r="U872" i="4" s="1"/>
  <c r="S873" i="4"/>
  <c r="U873" i="4" s="1"/>
  <c r="S874" i="4"/>
  <c r="U874" i="4" s="1"/>
  <c r="S875" i="4"/>
  <c r="U875" i="4" s="1"/>
  <c r="S876" i="4"/>
  <c r="U876" i="4" s="1"/>
  <c r="S877" i="4"/>
  <c r="U877" i="4" s="1"/>
  <c r="S878" i="4"/>
  <c r="U878" i="4" s="1"/>
  <c r="S879" i="4"/>
  <c r="U879" i="4" s="1"/>
  <c r="S880" i="4"/>
  <c r="U880" i="4" s="1"/>
  <c r="S881" i="4"/>
  <c r="U881" i="4" s="1"/>
  <c r="S882" i="4"/>
  <c r="U882" i="4" s="1"/>
  <c r="S883" i="4"/>
  <c r="U883" i="4" s="1"/>
  <c r="S884" i="4"/>
  <c r="U884" i="4" s="1"/>
  <c r="S885" i="4"/>
  <c r="U885" i="4" s="1"/>
  <c r="S886" i="4"/>
  <c r="U886" i="4" s="1"/>
  <c r="S887" i="4"/>
  <c r="U887" i="4" s="1"/>
  <c r="S888" i="4"/>
  <c r="U888" i="4" s="1"/>
  <c r="S889" i="4"/>
  <c r="U889" i="4" s="1"/>
  <c r="S890" i="4"/>
  <c r="U890" i="4" s="1"/>
  <c r="S891" i="4"/>
  <c r="U891" i="4" s="1"/>
  <c r="S892" i="4"/>
  <c r="U892" i="4" s="1"/>
  <c r="S893" i="4"/>
  <c r="U893" i="4" s="1"/>
  <c r="S894" i="4"/>
  <c r="U894" i="4" s="1"/>
  <c r="S895" i="4"/>
  <c r="U895" i="4" s="1"/>
  <c r="S896" i="4"/>
  <c r="U896" i="4" s="1"/>
  <c r="S897" i="4"/>
  <c r="U897" i="4" s="1"/>
  <c r="S898" i="4"/>
  <c r="U898" i="4" s="1"/>
  <c r="S899" i="4"/>
  <c r="U899" i="4" s="1"/>
  <c r="S900" i="4"/>
  <c r="U900" i="4" s="1"/>
  <c r="S901" i="4"/>
  <c r="U901" i="4" s="1"/>
  <c r="S902" i="4"/>
  <c r="U902" i="4" s="1"/>
  <c r="S903" i="4"/>
  <c r="U903" i="4" s="1"/>
  <c r="S904" i="4"/>
  <c r="U904" i="4" s="1"/>
  <c r="S905" i="4"/>
  <c r="U905" i="4" s="1"/>
  <c r="S906" i="4"/>
  <c r="U906" i="4" s="1"/>
  <c r="S907" i="4"/>
  <c r="U907" i="4" s="1"/>
  <c r="S908" i="4"/>
  <c r="U908" i="4" s="1"/>
  <c r="S909" i="4"/>
  <c r="U909" i="4" s="1"/>
  <c r="S910" i="4"/>
  <c r="U910" i="4" s="1"/>
  <c r="S911" i="4"/>
  <c r="U911" i="4" s="1"/>
  <c r="S912" i="4"/>
  <c r="U912" i="4" s="1"/>
  <c r="S913" i="4"/>
  <c r="U913" i="4" s="1"/>
  <c r="S914" i="4"/>
  <c r="U914" i="4" s="1"/>
  <c r="S915" i="4"/>
  <c r="U915" i="4" s="1"/>
  <c r="S916" i="4"/>
  <c r="U916" i="4" s="1"/>
  <c r="S917" i="4"/>
  <c r="U917" i="4" s="1"/>
  <c r="S918" i="4"/>
  <c r="U918" i="4" s="1"/>
  <c r="S919" i="4"/>
  <c r="U919" i="4" s="1"/>
  <c r="S920" i="4"/>
  <c r="U920" i="4" s="1"/>
  <c r="S921" i="4"/>
  <c r="U921" i="4" s="1"/>
  <c r="S922" i="4"/>
  <c r="U922" i="4" s="1"/>
  <c r="S923" i="4"/>
  <c r="U923" i="4" s="1"/>
  <c r="S924" i="4"/>
  <c r="U924" i="4" s="1"/>
  <c r="S925" i="4"/>
  <c r="U925" i="4" s="1"/>
  <c r="S926" i="4"/>
  <c r="U926" i="4" s="1"/>
  <c r="S927" i="4"/>
  <c r="U927" i="4" s="1"/>
  <c r="S928" i="4"/>
  <c r="U928" i="4" s="1"/>
  <c r="S929" i="4"/>
  <c r="U929" i="4" s="1"/>
  <c r="S930" i="4"/>
  <c r="U930" i="4" s="1"/>
  <c r="S931" i="4"/>
  <c r="U931" i="4" s="1"/>
  <c r="S932" i="4"/>
  <c r="U932" i="4" s="1"/>
  <c r="S933" i="4"/>
  <c r="U933" i="4" s="1"/>
  <c r="S934" i="4"/>
  <c r="U934" i="4" s="1"/>
  <c r="S935" i="4"/>
  <c r="U935" i="4" s="1"/>
  <c r="S936" i="4"/>
  <c r="U936" i="4" s="1"/>
  <c r="S937" i="4"/>
  <c r="U937" i="4" s="1"/>
  <c r="S938" i="4"/>
  <c r="U938" i="4" s="1"/>
  <c r="S939" i="4"/>
  <c r="U939" i="4" s="1"/>
  <c r="S940" i="4"/>
  <c r="U940" i="4" s="1"/>
  <c r="S941" i="4"/>
  <c r="U941" i="4" s="1"/>
  <c r="S942" i="4"/>
  <c r="U942" i="4" s="1"/>
  <c r="S943" i="4"/>
  <c r="U943" i="4" s="1"/>
  <c r="S944" i="4"/>
  <c r="U944" i="4" s="1"/>
  <c r="S945" i="4"/>
  <c r="U945" i="4" s="1"/>
  <c r="S946" i="4"/>
  <c r="U946" i="4" s="1"/>
  <c r="S947" i="4"/>
  <c r="U947" i="4" s="1"/>
  <c r="S948" i="4"/>
  <c r="U948" i="4" s="1"/>
  <c r="S949" i="4"/>
  <c r="U949" i="4" s="1"/>
  <c r="S950" i="4"/>
  <c r="U950" i="4" s="1"/>
  <c r="S951" i="4"/>
  <c r="U951" i="4" s="1"/>
  <c r="S952" i="4"/>
  <c r="U952" i="4" s="1"/>
  <c r="S953" i="4"/>
  <c r="U953" i="4" s="1"/>
  <c r="S954" i="4"/>
  <c r="U954" i="4" s="1"/>
  <c r="S955" i="4"/>
  <c r="U955" i="4" s="1"/>
  <c r="S956" i="4"/>
  <c r="U956" i="4" s="1"/>
  <c r="S957" i="4"/>
  <c r="U957" i="4" s="1"/>
  <c r="S958" i="4"/>
  <c r="U958" i="4" s="1"/>
  <c r="S959" i="4"/>
  <c r="U959" i="4" s="1"/>
  <c r="S960" i="4"/>
  <c r="U960" i="4" s="1"/>
  <c r="S961" i="4"/>
  <c r="U961" i="4" s="1"/>
  <c r="S962" i="4"/>
  <c r="U962" i="4" s="1"/>
  <c r="S963" i="4"/>
  <c r="U963" i="4" s="1"/>
  <c r="S964" i="4"/>
  <c r="U964" i="4" s="1"/>
  <c r="S965" i="4"/>
  <c r="U965" i="4" s="1"/>
  <c r="S966" i="4"/>
  <c r="U966" i="4" s="1"/>
  <c r="S967" i="4"/>
  <c r="U967" i="4" s="1"/>
  <c r="S968" i="4"/>
  <c r="U968" i="4" s="1"/>
  <c r="S969" i="4"/>
  <c r="U969" i="4" s="1"/>
  <c r="S970" i="4"/>
  <c r="U970" i="4" s="1"/>
  <c r="S971" i="4"/>
  <c r="U971" i="4" s="1"/>
  <c r="S972" i="4"/>
  <c r="U972" i="4" s="1"/>
  <c r="S973" i="4"/>
  <c r="U973" i="4" s="1"/>
  <c r="S974" i="4"/>
  <c r="U974" i="4" s="1"/>
  <c r="S975" i="4"/>
  <c r="U975" i="4" s="1"/>
  <c r="S976" i="4"/>
  <c r="U976" i="4" s="1"/>
  <c r="S977" i="4"/>
  <c r="U977" i="4" s="1"/>
  <c r="S978" i="4"/>
  <c r="U978" i="4" s="1"/>
  <c r="S979" i="4"/>
  <c r="U979" i="4" s="1"/>
  <c r="S980" i="4"/>
  <c r="U980" i="4" s="1"/>
  <c r="S981" i="4"/>
  <c r="U981" i="4" s="1"/>
  <c r="S982" i="4"/>
  <c r="U982" i="4" s="1"/>
  <c r="S983" i="4"/>
  <c r="U983" i="4" s="1"/>
  <c r="S984" i="4"/>
  <c r="U984" i="4" s="1"/>
  <c r="S985" i="4"/>
  <c r="U985" i="4" s="1"/>
  <c r="S986" i="4"/>
  <c r="U986" i="4" s="1"/>
  <c r="S987" i="4"/>
  <c r="U987" i="4" s="1"/>
  <c r="S988" i="4"/>
  <c r="U988" i="4" s="1"/>
  <c r="S989" i="4"/>
  <c r="U989" i="4" s="1"/>
  <c r="S990" i="4"/>
  <c r="U990" i="4" s="1"/>
  <c r="S991" i="4"/>
  <c r="U991" i="4" s="1"/>
  <c r="S992" i="4"/>
  <c r="U992" i="4" s="1"/>
  <c r="S993" i="4"/>
  <c r="U993" i="4" s="1"/>
  <c r="S994" i="4"/>
  <c r="U994" i="4" s="1"/>
  <c r="S995" i="4"/>
  <c r="U995" i="4" s="1"/>
  <c r="S996" i="4"/>
  <c r="U996" i="4" s="1"/>
  <c r="S997" i="4"/>
  <c r="U997" i="4" s="1"/>
  <c r="S998" i="4"/>
  <c r="U998" i="4" s="1"/>
  <c r="S999" i="4"/>
  <c r="U999" i="4" s="1"/>
  <c r="S1000" i="4"/>
  <c r="U1000" i="4" s="1"/>
  <c r="S1001" i="4"/>
  <c r="U1001" i="4" s="1"/>
  <c r="S1002" i="4"/>
  <c r="U1002" i="4" s="1"/>
  <c r="S1003" i="4"/>
  <c r="U1003" i="4" s="1"/>
  <c r="S1004" i="4"/>
  <c r="U1004" i="4" s="1"/>
  <c r="S1005" i="4"/>
  <c r="U1005" i="4" s="1"/>
  <c r="S1006" i="4"/>
  <c r="U1006" i="4" s="1"/>
  <c r="S1007" i="4"/>
  <c r="U1007" i="4" s="1"/>
  <c r="S1008" i="4"/>
  <c r="U1008" i="4" s="1"/>
  <c r="S1009" i="4"/>
  <c r="U1009" i="4" s="1"/>
  <c r="S1010" i="4"/>
  <c r="U1010" i="4" s="1"/>
  <c r="S1011" i="4"/>
  <c r="U1011" i="4" s="1"/>
  <c r="S1012" i="4"/>
  <c r="U1012" i="4" s="1"/>
  <c r="S1013" i="4"/>
  <c r="U1013" i="4" s="1"/>
  <c r="S1014" i="4"/>
  <c r="U1014" i="4" s="1"/>
  <c r="S1015" i="4"/>
  <c r="U1015" i="4" s="1"/>
  <c r="S1016" i="4"/>
  <c r="U1016" i="4" s="1"/>
  <c r="S1017" i="4"/>
  <c r="U1017" i="4" s="1"/>
  <c r="S1018" i="4"/>
  <c r="U1018" i="4" s="1"/>
  <c r="S1019" i="4"/>
  <c r="U1019" i="4" s="1"/>
  <c r="S1020" i="4"/>
  <c r="U1020" i="4" s="1"/>
  <c r="S1021" i="4"/>
  <c r="U1021" i="4" s="1"/>
  <c r="S1022" i="4"/>
  <c r="U1022" i="4" s="1"/>
  <c r="S1023" i="4"/>
  <c r="U1023" i="4" s="1"/>
  <c r="S1024" i="4"/>
  <c r="U1024" i="4" s="1"/>
  <c r="S1025" i="4"/>
  <c r="U1025" i="4" s="1"/>
  <c r="S1026" i="4"/>
  <c r="U1026" i="4" s="1"/>
  <c r="S1027" i="4"/>
  <c r="U1027" i="4" s="1"/>
  <c r="S1028" i="4"/>
  <c r="U1028" i="4" s="1"/>
  <c r="S1029" i="4"/>
  <c r="U1029" i="4" s="1"/>
  <c r="S1030" i="4"/>
  <c r="U1030" i="4" s="1"/>
  <c r="S1031" i="4"/>
  <c r="U1031" i="4" s="1"/>
  <c r="S1032" i="4"/>
  <c r="U1032" i="4" s="1"/>
  <c r="S1033" i="4"/>
  <c r="U1033" i="4" s="1"/>
  <c r="S1034" i="4"/>
  <c r="U1034" i="4" s="1"/>
  <c r="S1035" i="4"/>
  <c r="U1035" i="4" s="1"/>
  <c r="S1036" i="4"/>
  <c r="U1036" i="4" s="1"/>
  <c r="S1037" i="4"/>
  <c r="U1037" i="4" s="1"/>
  <c r="S1038" i="4"/>
  <c r="U1038" i="4" s="1"/>
  <c r="S1039" i="4"/>
  <c r="U1039" i="4" s="1"/>
  <c r="S1040" i="4"/>
  <c r="U1040" i="4" s="1"/>
  <c r="S1041" i="4"/>
  <c r="U1041" i="4" s="1"/>
  <c r="S1042" i="4"/>
  <c r="U1042" i="4" s="1"/>
  <c r="S1043" i="4"/>
  <c r="U1043" i="4" s="1"/>
  <c r="S1044" i="4"/>
  <c r="U1044" i="4" s="1"/>
  <c r="S1045" i="4"/>
  <c r="U1045" i="4" s="1"/>
  <c r="S1046" i="4"/>
  <c r="U1046" i="4" s="1"/>
  <c r="S1047" i="4"/>
  <c r="U1047" i="4" s="1"/>
  <c r="S1048" i="4"/>
  <c r="U1048" i="4" s="1"/>
  <c r="S1049" i="4"/>
  <c r="U1049" i="4" s="1"/>
  <c r="S1050" i="4"/>
  <c r="U1050" i="4" s="1"/>
  <c r="S1051" i="4"/>
  <c r="U1051" i="4" s="1"/>
  <c r="S1052" i="4"/>
  <c r="U1052" i="4" s="1"/>
  <c r="S1053" i="4"/>
  <c r="U1053" i="4" s="1"/>
  <c r="S1054" i="4"/>
  <c r="U1054" i="4" s="1"/>
  <c r="S1055" i="4"/>
  <c r="U1055" i="4" s="1"/>
  <c r="S1056" i="4"/>
  <c r="U1056" i="4" s="1"/>
  <c r="S1057" i="4"/>
  <c r="U1057" i="4" s="1"/>
  <c r="S1058" i="4"/>
  <c r="U1058" i="4" s="1"/>
  <c r="S1059" i="4"/>
  <c r="U1059" i="4" s="1"/>
  <c r="S1060" i="4"/>
  <c r="U1060" i="4" s="1"/>
  <c r="S1061" i="4"/>
  <c r="U1061" i="4" s="1"/>
  <c r="S1062" i="4"/>
  <c r="U1062" i="4" s="1"/>
  <c r="S1063" i="4"/>
  <c r="U1063" i="4" s="1"/>
  <c r="S1064" i="4"/>
  <c r="U1064" i="4" s="1"/>
  <c r="S1065" i="4"/>
  <c r="U1065" i="4" s="1"/>
  <c r="S1066" i="4"/>
  <c r="U1066" i="4" s="1"/>
  <c r="S1067" i="4"/>
  <c r="U1067" i="4" s="1"/>
  <c r="S1068" i="4"/>
  <c r="U1068" i="4" s="1"/>
  <c r="S1069" i="4"/>
  <c r="U1069" i="4" s="1"/>
  <c r="S1070" i="4"/>
  <c r="U1070" i="4" s="1"/>
  <c r="S1071" i="4"/>
  <c r="U1071" i="4" s="1"/>
  <c r="S1072" i="4"/>
  <c r="U1072" i="4" s="1"/>
  <c r="S1073" i="4"/>
  <c r="U1073" i="4" s="1"/>
  <c r="S1074" i="4"/>
  <c r="U1074" i="4" s="1"/>
  <c r="S1075" i="4"/>
  <c r="U1075" i="4" s="1"/>
  <c r="S1076" i="4"/>
  <c r="U1076" i="4" s="1"/>
  <c r="S1077" i="4"/>
  <c r="U1077" i="4" s="1"/>
  <c r="S1078" i="4"/>
  <c r="U1078" i="4" s="1"/>
  <c r="S1079" i="4"/>
  <c r="U1079" i="4" s="1"/>
  <c r="S1080" i="4"/>
  <c r="U1080" i="4" s="1"/>
  <c r="S1081" i="4"/>
  <c r="U1081" i="4" s="1"/>
  <c r="S1082" i="4"/>
  <c r="U1082" i="4" s="1"/>
  <c r="S1083" i="4"/>
  <c r="U1083" i="4" s="1"/>
  <c r="S1084" i="4"/>
  <c r="U1084" i="4" s="1"/>
  <c r="S1085" i="4"/>
  <c r="U1085" i="4" s="1"/>
  <c r="S1086" i="4"/>
  <c r="U1086" i="4" s="1"/>
  <c r="S1087" i="4"/>
  <c r="U1087" i="4" s="1"/>
  <c r="S1088" i="4"/>
  <c r="U1088" i="4" s="1"/>
  <c r="S1089" i="4"/>
  <c r="U1089" i="4" s="1"/>
  <c r="S1090" i="4"/>
  <c r="U1090" i="4" s="1"/>
  <c r="S1091" i="4"/>
  <c r="U1091" i="4" s="1"/>
  <c r="S1092" i="4"/>
  <c r="U1092" i="4" s="1"/>
  <c r="S1093" i="4"/>
  <c r="U1093" i="4" s="1"/>
  <c r="S1094" i="4"/>
  <c r="U1094" i="4" s="1"/>
  <c r="S1095" i="4"/>
  <c r="U1095" i="4" s="1"/>
  <c r="S1096" i="4"/>
  <c r="U1096" i="4" s="1"/>
  <c r="S1097" i="4"/>
  <c r="U1097" i="4" s="1"/>
  <c r="S1098" i="4"/>
  <c r="U1098" i="4" s="1"/>
  <c r="S1099" i="4"/>
  <c r="U1099" i="4" s="1"/>
  <c r="S1100" i="4"/>
  <c r="U1100" i="4" s="1"/>
  <c r="S1101" i="4"/>
  <c r="U1101" i="4" s="1"/>
  <c r="S1102" i="4"/>
  <c r="U1102" i="4" s="1"/>
  <c r="S1103" i="4"/>
  <c r="U1103" i="4" s="1"/>
  <c r="S1104" i="4"/>
  <c r="U1104" i="4" s="1"/>
  <c r="S1105" i="4"/>
  <c r="U1105" i="4" s="1"/>
  <c r="S1106" i="4"/>
  <c r="U1106" i="4" s="1"/>
  <c r="S1107" i="4"/>
  <c r="U1107" i="4" s="1"/>
  <c r="S1108" i="4"/>
  <c r="U1108" i="4" s="1"/>
  <c r="S1109" i="4"/>
  <c r="U1109" i="4" s="1"/>
  <c r="S1110" i="4"/>
  <c r="U1110" i="4" s="1"/>
  <c r="S1111" i="4"/>
  <c r="U1111" i="4" s="1"/>
  <c r="S1112" i="4"/>
  <c r="U1112" i="4" s="1"/>
  <c r="S1113" i="4"/>
  <c r="U1113" i="4" s="1"/>
  <c r="S1114" i="4"/>
  <c r="U1114" i="4" s="1"/>
  <c r="S1115" i="4"/>
  <c r="U1115" i="4" s="1"/>
  <c r="S1116" i="4"/>
  <c r="U1116" i="4" s="1"/>
  <c r="S1117" i="4"/>
  <c r="U1117" i="4" s="1"/>
  <c r="S1118" i="4"/>
  <c r="U1118" i="4" s="1"/>
  <c r="S1119" i="4"/>
  <c r="U1119" i="4" s="1"/>
  <c r="S1120" i="4"/>
  <c r="U1120" i="4" s="1"/>
  <c r="S1121" i="4"/>
  <c r="U1121" i="4" s="1"/>
  <c r="S1122" i="4"/>
  <c r="U1122" i="4" s="1"/>
  <c r="S1123" i="4"/>
  <c r="U1123" i="4" s="1"/>
  <c r="S1124" i="4"/>
  <c r="U1124" i="4" s="1"/>
  <c r="S1125" i="4"/>
  <c r="U1125" i="4" s="1"/>
  <c r="S1126" i="4"/>
  <c r="U1126" i="4" s="1"/>
  <c r="S1127" i="4"/>
  <c r="U1127" i="4" s="1"/>
  <c r="S1128" i="4"/>
  <c r="U1128" i="4" s="1"/>
  <c r="S1129" i="4"/>
  <c r="U1129" i="4" s="1"/>
  <c r="S1130" i="4"/>
  <c r="U1130" i="4" s="1"/>
  <c r="S1131" i="4"/>
  <c r="U1131" i="4" s="1"/>
  <c r="S1132" i="4"/>
  <c r="U1132" i="4" s="1"/>
  <c r="S1133" i="4"/>
  <c r="U1133" i="4" s="1"/>
  <c r="S1134" i="4"/>
  <c r="U1134" i="4" s="1"/>
  <c r="S1135" i="4"/>
  <c r="U1135" i="4" s="1"/>
  <c r="S1136" i="4"/>
  <c r="U1136" i="4" s="1"/>
  <c r="S1137" i="4"/>
  <c r="U1137" i="4" s="1"/>
  <c r="S1138" i="4"/>
  <c r="U1138" i="4" s="1"/>
  <c r="S1139" i="4"/>
  <c r="U1139" i="4" s="1"/>
  <c r="S1140" i="4"/>
  <c r="U1140" i="4" s="1"/>
  <c r="S1141" i="4"/>
  <c r="U1141" i="4" s="1"/>
  <c r="S1142" i="4"/>
  <c r="U1142" i="4" s="1"/>
  <c r="S1143" i="4"/>
  <c r="U1143" i="4" s="1"/>
  <c r="S1144" i="4"/>
  <c r="U1144" i="4" s="1"/>
  <c r="S1145" i="4"/>
  <c r="U1145" i="4" s="1"/>
  <c r="S1146" i="4"/>
  <c r="U1146" i="4" s="1"/>
  <c r="S1147" i="4"/>
  <c r="U1147" i="4" s="1"/>
  <c r="S1148" i="4"/>
  <c r="U1148" i="4" s="1"/>
  <c r="S1149" i="4"/>
  <c r="U1149" i="4" s="1"/>
  <c r="S1150" i="4"/>
  <c r="U1150" i="4" s="1"/>
  <c r="S1151" i="4"/>
  <c r="U1151" i="4" s="1"/>
  <c r="S1152" i="4"/>
  <c r="U1152" i="4" s="1"/>
  <c r="S1153" i="4"/>
  <c r="U1153" i="4" s="1"/>
  <c r="S1154" i="4"/>
  <c r="U1154" i="4" s="1"/>
  <c r="S1155" i="4"/>
  <c r="U1155" i="4" s="1"/>
  <c r="S1156" i="4"/>
  <c r="U1156" i="4" s="1"/>
  <c r="S1157" i="4"/>
  <c r="U1157" i="4" s="1"/>
  <c r="S1158" i="4"/>
  <c r="U1158" i="4" s="1"/>
  <c r="S1159" i="4"/>
  <c r="U1159" i="4" s="1"/>
  <c r="S1160" i="4"/>
  <c r="U1160" i="4" s="1"/>
  <c r="S1161" i="4"/>
  <c r="U1161" i="4" s="1"/>
  <c r="S1162" i="4"/>
  <c r="U1162" i="4" s="1"/>
  <c r="S1163" i="4"/>
  <c r="U1163" i="4" s="1"/>
  <c r="S1164" i="4"/>
  <c r="U1164" i="4" s="1"/>
  <c r="S1165" i="4"/>
  <c r="U1165" i="4" s="1"/>
  <c r="S1166" i="4"/>
  <c r="U1166" i="4" s="1"/>
  <c r="S1167" i="4"/>
  <c r="U1167" i="4" s="1"/>
  <c r="S1168" i="4"/>
  <c r="U1168" i="4" s="1"/>
  <c r="S1169" i="4"/>
  <c r="U1169" i="4" s="1"/>
  <c r="S1170" i="4"/>
  <c r="U1170" i="4" s="1"/>
  <c r="S1171" i="4"/>
  <c r="U1171" i="4" s="1"/>
  <c r="S1172" i="4"/>
  <c r="U1172" i="4" s="1"/>
  <c r="S1173" i="4"/>
  <c r="U1173" i="4" s="1"/>
  <c r="S1174" i="4"/>
  <c r="U1174" i="4" s="1"/>
  <c r="S1175" i="4"/>
  <c r="U1175" i="4" s="1"/>
  <c r="S1176" i="4"/>
  <c r="U1176" i="4" s="1"/>
  <c r="S1177" i="4"/>
  <c r="U1177" i="4" s="1"/>
  <c r="S1178" i="4"/>
  <c r="U1178" i="4" s="1"/>
  <c r="S1179" i="4"/>
  <c r="U1179" i="4" s="1"/>
  <c r="S1180" i="4"/>
  <c r="U1180" i="4" s="1"/>
  <c r="S1181" i="4"/>
  <c r="U1181" i="4" s="1"/>
  <c r="S1182" i="4"/>
  <c r="U1182" i="4" s="1"/>
  <c r="S1183" i="4"/>
  <c r="U1183" i="4" s="1"/>
  <c r="S1184" i="4"/>
  <c r="U1184" i="4" s="1"/>
  <c r="S1185" i="4"/>
  <c r="U1185" i="4" s="1"/>
  <c r="S1186" i="4"/>
  <c r="U1186" i="4" s="1"/>
  <c r="S1187" i="4"/>
  <c r="U1187" i="4" s="1"/>
  <c r="S1188" i="4"/>
  <c r="U1188" i="4" s="1"/>
  <c r="S1189" i="4"/>
  <c r="U1189" i="4" s="1"/>
  <c r="S1190" i="4"/>
  <c r="U1190" i="4" s="1"/>
  <c r="S1191" i="4"/>
  <c r="U1191" i="4" s="1"/>
  <c r="S1192" i="4"/>
  <c r="U1192" i="4" s="1"/>
  <c r="S1193" i="4"/>
  <c r="U1193" i="4" s="1"/>
  <c r="S1194" i="4"/>
  <c r="U1194" i="4" s="1"/>
  <c r="S1195" i="4"/>
  <c r="U1195" i="4" s="1"/>
  <c r="S1196" i="4"/>
  <c r="U1196" i="4" s="1"/>
  <c r="S1197" i="4"/>
  <c r="U1197" i="4" s="1"/>
  <c r="S1198" i="4"/>
  <c r="U1198" i="4" s="1"/>
  <c r="S1199" i="4"/>
  <c r="U1199" i="4" s="1"/>
  <c r="S1200" i="4"/>
  <c r="U1200" i="4" s="1"/>
  <c r="S1201" i="4"/>
  <c r="U1201" i="4" s="1"/>
  <c r="S1202" i="4"/>
  <c r="U1202" i="4" s="1"/>
  <c r="S1203" i="4"/>
  <c r="U1203" i="4" s="1"/>
  <c r="S1204" i="4"/>
  <c r="U1204" i="4" s="1"/>
  <c r="S1205" i="4"/>
  <c r="U1205" i="4" s="1"/>
  <c r="S1206" i="4"/>
  <c r="U1206" i="4" s="1"/>
  <c r="S1207" i="4"/>
  <c r="U1207" i="4" s="1"/>
  <c r="S1208" i="4"/>
  <c r="U1208" i="4" s="1"/>
  <c r="S1209" i="4"/>
  <c r="U1209" i="4" s="1"/>
  <c r="S1210" i="4"/>
  <c r="U1210" i="4" s="1"/>
  <c r="S1211" i="4"/>
  <c r="U1211" i="4" s="1"/>
  <c r="S1212" i="4"/>
  <c r="U1212" i="4" s="1"/>
  <c r="S1213" i="4"/>
  <c r="U1213" i="4" s="1"/>
  <c r="S1214" i="4"/>
  <c r="U1214" i="4" s="1"/>
  <c r="S1215" i="4"/>
  <c r="U1215" i="4" s="1"/>
  <c r="S1216" i="4"/>
  <c r="U1216" i="4" s="1"/>
  <c r="S1217" i="4"/>
  <c r="U1217" i="4" s="1"/>
  <c r="S1218" i="4"/>
  <c r="U1218" i="4" s="1"/>
  <c r="S1219" i="4"/>
  <c r="U1219" i="4" s="1"/>
  <c r="S1220" i="4"/>
  <c r="U1220" i="4" s="1"/>
  <c r="S1221" i="4"/>
  <c r="U1221" i="4" s="1"/>
  <c r="S1222" i="4"/>
  <c r="U1222" i="4" s="1"/>
  <c r="S1223" i="4"/>
  <c r="U1223" i="4" s="1"/>
  <c r="S1224" i="4"/>
  <c r="U1224" i="4" s="1"/>
  <c r="S1225" i="4"/>
  <c r="U1225" i="4" s="1"/>
  <c r="S1226" i="4"/>
  <c r="U1226" i="4" s="1"/>
  <c r="S1227" i="4"/>
  <c r="U1227" i="4" s="1"/>
  <c r="S1228" i="4"/>
  <c r="U1228" i="4" s="1"/>
  <c r="S1229" i="4"/>
  <c r="U1229" i="4" s="1"/>
  <c r="S1230" i="4"/>
  <c r="U1230" i="4" s="1"/>
  <c r="S1231" i="4"/>
  <c r="U1231" i="4" s="1"/>
  <c r="S1232" i="4"/>
  <c r="U1232" i="4" s="1"/>
  <c r="S1233" i="4"/>
  <c r="U1233" i="4" s="1"/>
  <c r="S1234" i="4"/>
  <c r="U1234" i="4" s="1"/>
  <c r="S1235" i="4"/>
  <c r="U1235" i="4" s="1"/>
  <c r="S1236" i="4"/>
  <c r="U1236" i="4" s="1"/>
  <c r="S1237" i="4"/>
  <c r="U1237" i="4" s="1"/>
  <c r="S1238" i="4"/>
  <c r="U1238" i="4" s="1"/>
  <c r="S1239" i="4"/>
  <c r="U1239" i="4" s="1"/>
  <c r="S1240" i="4"/>
  <c r="U1240" i="4" s="1"/>
  <c r="S1241" i="4"/>
  <c r="U1241" i="4" s="1"/>
  <c r="S1242" i="4"/>
  <c r="U1242" i="4" s="1"/>
  <c r="S1243" i="4"/>
  <c r="U1243" i="4" s="1"/>
  <c r="S1244" i="4"/>
  <c r="U1244" i="4" s="1"/>
  <c r="S1245" i="4"/>
  <c r="U1245" i="4" s="1"/>
  <c r="S1246" i="4"/>
  <c r="U1246" i="4" s="1"/>
  <c r="S1247" i="4"/>
  <c r="U1247" i="4" s="1"/>
  <c r="S1248" i="4"/>
  <c r="U1248" i="4" s="1"/>
  <c r="S1249" i="4"/>
  <c r="U1249" i="4" s="1"/>
  <c r="S1250" i="4"/>
  <c r="U1250" i="4" s="1"/>
  <c r="S1251" i="4"/>
  <c r="U1251" i="4" s="1"/>
  <c r="S1252" i="4"/>
  <c r="U1252" i="4" s="1"/>
  <c r="S1253" i="4"/>
  <c r="U1253" i="4" s="1"/>
  <c r="S1254" i="4"/>
  <c r="U1254" i="4" s="1"/>
  <c r="S1255" i="4"/>
  <c r="U1255" i="4" s="1"/>
  <c r="S1256" i="4"/>
  <c r="U1256" i="4" s="1"/>
  <c r="S1257" i="4"/>
  <c r="U1257" i="4" s="1"/>
  <c r="S1258" i="4"/>
  <c r="U1258" i="4" s="1"/>
  <c r="S1259" i="4"/>
  <c r="U1259" i="4" s="1"/>
  <c r="S1260" i="4"/>
  <c r="U1260" i="4" s="1"/>
  <c r="S1261" i="4"/>
  <c r="U1261" i="4" s="1"/>
  <c r="S1262" i="4"/>
  <c r="U1262" i="4" s="1"/>
  <c r="S1263" i="4"/>
  <c r="U1263" i="4" s="1"/>
  <c r="S1264" i="4"/>
  <c r="U1264" i="4" s="1"/>
  <c r="S1265" i="4"/>
  <c r="U1265" i="4" s="1"/>
  <c r="S1266" i="4"/>
  <c r="U1266" i="4" s="1"/>
  <c r="S1267" i="4"/>
  <c r="U1267" i="4" s="1"/>
  <c r="S1268" i="4"/>
  <c r="U1268" i="4" s="1"/>
  <c r="S1269" i="4"/>
  <c r="U1269" i="4" s="1"/>
  <c r="S1270" i="4"/>
  <c r="U1270" i="4" s="1"/>
  <c r="S1271" i="4"/>
  <c r="U1271" i="4" s="1"/>
  <c r="S1272" i="4"/>
  <c r="U1272" i="4" s="1"/>
  <c r="S1273" i="4"/>
  <c r="U1273" i="4" s="1"/>
  <c r="S1274" i="4"/>
  <c r="U1274" i="4" s="1"/>
  <c r="S1275" i="4"/>
  <c r="U1275" i="4" s="1"/>
  <c r="S1276" i="4"/>
  <c r="U1276" i="4" s="1"/>
  <c r="S1277" i="4"/>
  <c r="U1277" i="4" s="1"/>
  <c r="S1278" i="4"/>
  <c r="U1278" i="4" s="1"/>
  <c r="S1279" i="4"/>
  <c r="U1279" i="4" s="1"/>
  <c r="S1280" i="4"/>
  <c r="U1280" i="4" s="1"/>
  <c r="S1281" i="4"/>
  <c r="U1281" i="4" s="1"/>
  <c r="S1282" i="4"/>
  <c r="U1282" i="4" s="1"/>
  <c r="S1283" i="4"/>
  <c r="U1283" i="4" s="1"/>
  <c r="S1284" i="4"/>
  <c r="U1284" i="4" s="1"/>
  <c r="S1285" i="4"/>
  <c r="U1285" i="4" s="1"/>
  <c r="S1286" i="4"/>
  <c r="U1286" i="4" s="1"/>
  <c r="S1287" i="4"/>
  <c r="U1287" i="4" s="1"/>
  <c r="S1288" i="4"/>
  <c r="U1288" i="4" s="1"/>
  <c r="S1289" i="4"/>
  <c r="U1289" i="4" s="1"/>
  <c r="S1290" i="4"/>
  <c r="U1290" i="4" s="1"/>
  <c r="S1291" i="4"/>
  <c r="U1291" i="4" s="1"/>
  <c r="S1292" i="4"/>
  <c r="U1292" i="4" s="1"/>
  <c r="S1293" i="4"/>
  <c r="U1293" i="4" s="1"/>
  <c r="S1294" i="4"/>
  <c r="U1294" i="4" s="1"/>
  <c r="S1295" i="4"/>
  <c r="U1295" i="4" s="1"/>
  <c r="S1296" i="4"/>
  <c r="U1296" i="4" s="1"/>
  <c r="S1297" i="4"/>
  <c r="U1297" i="4" s="1"/>
  <c r="S1298" i="4"/>
  <c r="U1298" i="4" s="1"/>
  <c r="S1299" i="4"/>
  <c r="U1299" i="4" s="1"/>
  <c r="S1300" i="4"/>
  <c r="U1300" i="4" s="1"/>
  <c r="S1301" i="4"/>
  <c r="U1301" i="4" s="1"/>
  <c r="S1302" i="4"/>
  <c r="U1302" i="4" s="1"/>
  <c r="S1303" i="4"/>
  <c r="U1303" i="4" s="1"/>
  <c r="S1304" i="4"/>
  <c r="U1304" i="4" s="1"/>
  <c r="S1305" i="4"/>
  <c r="U1305" i="4" s="1"/>
  <c r="S1306" i="4"/>
  <c r="U1306" i="4" s="1"/>
  <c r="S1307" i="4"/>
  <c r="U1307" i="4" s="1"/>
  <c r="S1308" i="4"/>
  <c r="U1308" i="4" s="1"/>
  <c r="S1309" i="4"/>
  <c r="U1309" i="4" s="1"/>
  <c r="S1310" i="4"/>
  <c r="U1310" i="4" s="1"/>
  <c r="S1311" i="4"/>
  <c r="U1311" i="4" s="1"/>
  <c r="S1312" i="4"/>
  <c r="U1312" i="4" s="1"/>
  <c r="S1313" i="4"/>
  <c r="U1313" i="4" s="1"/>
  <c r="S1314" i="4"/>
  <c r="U1314" i="4" s="1"/>
  <c r="S1315" i="4"/>
  <c r="U1315" i="4" s="1"/>
  <c r="S1316" i="4"/>
  <c r="U1316" i="4" s="1"/>
  <c r="S1317" i="4"/>
  <c r="U1317" i="4" s="1"/>
  <c r="S1318" i="4"/>
  <c r="U1318" i="4" s="1"/>
  <c r="S1319" i="4"/>
  <c r="U1319" i="4" s="1"/>
  <c r="S1320" i="4"/>
  <c r="U1320" i="4" s="1"/>
  <c r="S1321" i="4"/>
  <c r="U1321" i="4" s="1"/>
  <c r="S1322" i="4"/>
  <c r="U1322" i="4" s="1"/>
  <c r="S1323" i="4"/>
  <c r="U1323" i="4" s="1"/>
  <c r="S1324" i="4"/>
  <c r="U1324" i="4" s="1"/>
  <c r="S1325" i="4"/>
  <c r="U1325" i="4" s="1"/>
  <c r="S1326" i="4"/>
  <c r="U1326" i="4" s="1"/>
  <c r="S1327" i="4"/>
  <c r="U1327" i="4" s="1"/>
  <c r="S1328" i="4"/>
  <c r="U1328" i="4" s="1"/>
  <c r="S1329" i="4"/>
  <c r="U1329" i="4" s="1"/>
  <c r="S1330" i="4"/>
  <c r="U1330" i="4" s="1"/>
  <c r="S1331" i="4"/>
  <c r="U1331" i="4" s="1"/>
  <c r="S1332" i="4"/>
  <c r="U1332" i="4" s="1"/>
  <c r="S1333" i="4"/>
  <c r="U1333" i="4" s="1"/>
  <c r="S1334" i="4"/>
  <c r="U1334" i="4" s="1"/>
  <c r="S1335" i="4"/>
  <c r="U1335" i="4" s="1"/>
  <c r="S1336" i="4"/>
  <c r="U1336" i="4" s="1"/>
  <c r="S1337" i="4"/>
  <c r="U1337" i="4" s="1"/>
  <c r="S1338" i="4"/>
  <c r="U1338" i="4" s="1"/>
  <c r="S1339" i="4"/>
  <c r="U1339" i="4" s="1"/>
  <c r="S1340" i="4"/>
  <c r="U1340" i="4" s="1"/>
  <c r="S1341" i="4"/>
  <c r="U1341" i="4" s="1"/>
  <c r="S1342" i="4"/>
  <c r="U1342" i="4" s="1"/>
  <c r="S1343" i="4"/>
  <c r="U1343" i="4" s="1"/>
  <c r="S1344" i="4"/>
  <c r="U1344" i="4" s="1"/>
  <c r="S1345" i="4"/>
  <c r="U1345" i="4" s="1"/>
  <c r="S1346" i="4"/>
  <c r="U1346" i="4" s="1"/>
  <c r="S1347" i="4"/>
  <c r="U1347" i="4" s="1"/>
  <c r="S1348" i="4"/>
  <c r="U1348" i="4" s="1"/>
  <c r="S1349" i="4"/>
  <c r="U1349" i="4" s="1"/>
  <c r="S1350" i="4"/>
  <c r="U1350" i="4" s="1"/>
  <c r="S1351" i="4"/>
  <c r="U1351" i="4" s="1"/>
  <c r="S1352" i="4"/>
  <c r="U1352" i="4" s="1"/>
  <c r="S1353" i="4"/>
  <c r="U1353" i="4" s="1"/>
  <c r="S1354" i="4"/>
  <c r="U1354" i="4" s="1"/>
  <c r="S1355" i="4"/>
  <c r="U1355" i="4" s="1"/>
  <c r="S1356" i="4"/>
  <c r="U1356" i="4" s="1"/>
  <c r="S1357" i="4"/>
  <c r="U1357" i="4" s="1"/>
  <c r="S1358" i="4"/>
  <c r="U1358" i="4" s="1"/>
  <c r="S1359" i="4"/>
  <c r="U1359" i="4" s="1"/>
  <c r="S1360" i="4"/>
  <c r="U1360" i="4" s="1"/>
  <c r="S1361" i="4"/>
  <c r="U1361" i="4" s="1"/>
  <c r="S1362" i="4"/>
  <c r="U1362" i="4" s="1"/>
  <c r="S1363" i="4"/>
  <c r="U1363" i="4" s="1"/>
  <c r="S1364" i="4"/>
  <c r="U1364" i="4" s="1"/>
  <c r="S1365" i="4"/>
  <c r="U1365" i="4" s="1"/>
  <c r="S1366" i="4"/>
  <c r="U1366" i="4" s="1"/>
  <c r="S1367" i="4"/>
  <c r="U1367" i="4" s="1"/>
  <c r="S1368" i="4"/>
  <c r="U1368" i="4" s="1"/>
  <c r="S1369" i="4"/>
  <c r="U1369" i="4" s="1"/>
  <c r="S1370" i="4"/>
  <c r="U1370" i="4" s="1"/>
  <c r="S1371" i="4"/>
  <c r="U1371" i="4" s="1"/>
  <c r="S1372" i="4"/>
  <c r="U1372" i="4" s="1"/>
  <c r="S1373" i="4"/>
  <c r="U1373" i="4" s="1"/>
  <c r="S1374" i="4"/>
  <c r="U1374" i="4" s="1"/>
  <c r="S1375" i="4"/>
  <c r="U1375" i="4" s="1"/>
  <c r="S1376" i="4"/>
  <c r="U1376" i="4" s="1"/>
  <c r="S1377" i="4"/>
  <c r="U1377" i="4" s="1"/>
  <c r="S1378" i="4"/>
  <c r="U1378" i="4" s="1"/>
  <c r="S1379" i="4"/>
  <c r="U1379" i="4" s="1"/>
  <c r="S1380" i="4"/>
  <c r="U1380" i="4" s="1"/>
  <c r="S1381" i="4"/>
  <c r="U1381" i="4" s="1"/>
  <c r="S1382" i="4"/>
  <c r="U1382" i="4" s="1"/>
  <c r="S1383" i="4"/>
  <c r="U1383" i="4" s="1"/>
  <c r="S1384" i="4"/>
  <c r="U1384" i="4" s="1"/>
  <c r="S1385" i="4"/>
  <c r="U1385" i="4" s="1"/>
  <c r="S1386" i="4"/>
  <c r="U1386" i="4" s="1"/>
  <c r="S1387" i="4"/>
  <c r="U1387" i="4" s="1"/>
  <c r="S1388" i="4"/>
  <c r="U1388" i="4" s="1"/>
  <c r="S1389" i="4"/>
  <c r="U1389" i="4" s="1"/>
  <c r="S1390" i="4"/>
  <c r="U1390" i="4" s="1"/>
  <c r="S1391" i="4"/>
  <c r="U1391" i="4" s="1"/>
  <c r="S1392" i="4"/>
  <c r="U1392" i="4" s="1"/>
  <c r="S1393" i="4"/>
  <c r="U1393" i="4" s="1"/>
  <c r="S1394" i="4"/>
  <c r="U1394" i="4" s="1"/>
  <c r="S1395" i="4"/>
  <c r="U1395" i="4" s="1"/>
  <c r="S1396" i="4"/>
  <c r="U1396" i="4" s="1"/>
  <c r="S1397" i="4"/>
  <c r="U1397" i="4" s="1"/>
  <c r="S1398" i="4"/>
  <c r="U1398" i="4" s="1"/>
  <c r="S1399" i="4"/>
  <c r="U1399" i="4" s="1"/>
  <c r="S1400" i="4"/>
  <c r="U1400" i="4" s="1"/>
  <c r="S1401" i="4"/>
  <c r="U1401" i="4" s="1"/>
  <c r="S1402" i="4"/>
  <c r="U1402" i="4" s="1"/>
  <c r="S1403" i="4"/>
  <c r="U1403" i="4" s="1"/>
  <c r="S1404" i="4"/>
  <c r="U1404" i="4" s="1"/>
  <c r="S1405" i="4"/>
  <c r="U1405" i="4" s="1"/>
  <c r="S1406" i="4"/>
  <c r="U1406" i="4" s="1"/>
  <c r="S1407" i="4"/>
  <c r="U1407" i="4" s="1"/>
  <c r="S1408" i="4"/>
  <c r="U1408" i="4" s="1"/>
  <c r="S1409" i="4"/>
  <c r="U1409" i="4" s="1"/>
  <c r="S1410" i="4"/>
  <c r="U1410" i="4" s="1"/>
  <c r="S1411" i="4"/>
  <c r="U1411" i="4" s="1"/>
  <c r="S1412" i="4"/>
  <c r="U1412" i="4" s="1"/>
  <c r="S1413" i="4"/>
  <c r="U1413" i="4" s="1"/>
  <c r="S1414" i="4"/>
  <c r="U1414" i="4" s="1"/>
  <c r="S1415" i="4"/>
  <c r="U1415" i="4" s="1"/>
  <c r="S1416" i="4"/>
  <c r="U1416" i="4" s="1"/>
  <c r="S1417" i="4"/>
  <c r="U1417" i="4" s="1"/>
  <c r="S1418" i="4"/>
  <c r="U1418" i="4" s="1"/>
  <c r="S1419" i="4"/>
  <c r="U1419" i="4" s="1"/>
  <c r="S1420" i="4"/>
  <c r="U1420" i="4" s="1"/>
  <c r="S1421" i="4"/>
  <c r="U1421" i="4" s="1"/>
  <c r="S1422" i="4"/>
  <c r="U1422" i="4" s="1"/>
  <c r="S1423" i="4"/>
  <c r="U1423" i="4" s="1"/>
  <c r="S1424" i="4"/>
  <c r="U1424" i="4" s="1"/>
  <c r="S1425" i="4"/>
  <c r="U1425" i="4" s="1"/>
  <c r="S1426" i="4"/>
  <c r="U1426" i="4" s="1"/>
  <c r="S1427" i="4"/>
  <c r="U1427" i="4" s="1"/>
  <c r="S1428" i="4"/>
  <c r="U1428" i="4" s="1"/>
  <c r="S1429" i="4"/>
  <c r="U1429" i="4" s="1"/>
  <c r="S1430" i="4"/>
  <c r="U1430" i="4" s="1"/>
  <c r="S1431" i="4"/>
  <c r="U1431" i="4" s="1"/>
  <c r="S1432" i="4"/>
  <c r="U1432" i="4" s="1"/>
  <c r="S1433" i="4"/>
  <c r="U1433" i="4" s="1"/>
  <c r="S1434" i="4"/>
  <c r="U1434" i="4" s="1"/>
  <c r="S1435" i="4"/>
  <c r="U1435" i="4" s="1"/>
  <c r="S1436" i="4"/>
  <c r="U1436" i="4" s="1"/>
  <c r="S1437" i="4"/>
  <c r="U1437" i="4" s="1"/>
  <c r="S1438" i="4"/>
  <c r="U1438" i="4" s="1"/>
  <c r="S1439" i="4"/>
  <c r="U1439" i="4" s="1"/>
  <c r="S1440" i="4"/>
  <c r="U1440" i="4" s="1"/>
  <c r="S1441" i="4"/>
  <c r="U1441" i="4" s="1"/>
  <c r="S1442" i="4"/>
  <c r="U1442" i="4" s="1"/>
  <c r="S1443" i="4"/>
  <c r="U1443" i="4" s="1"/>
  <c r="S1444" i="4"/>
  <c r="U1444" i="4" s="1"/>
  <c r="S1445" i="4"/>
  <c r="U1445" i="4" s="1"/>
  <c r="S1446" i="4"/>
  <c r="U1446" i="4" s="1"/>
  <c r="S1447" i="4"/>
  <c r="U1447" i="4" s="1"/>
  <c r="S1448" i="4"/>
  <c r="U1448" i="4" s="1"/>
  <c r="S1449" i="4"/>
  <c r="U1449" i="4" s="1"/>
  <c r="S1450" i="4"/>
  <c r="U1450" i="4" s="1"/>
  <c r="S1451" i="4"/>
  <c r="U1451" i="4" s="1"/>
  <c r="S1452" i="4"/>
  <c r="U1452" i="4" s="1"/>
  <c r="S1453" i="4"/>
  <c r="U1453" i="4" s="1"/>
  <c r="S1454" i="4"/>
  <c r="U1454" i="4" s="1"/>
  <c r="S1455" i="4"/>
  <c r="U1455" i="4" s="1"/>
  <c r="S1456" i="4"/>
  <c r="U1456" i="4" s="1"/>
  <c r="S1457" i="4"/>
  <c r="U1457" i="4" s="1"/>
  <c r="S1458" i="4"/>
  <c r="U1458" i="4" s="1"/>
  <c r="S1459" i="4"/>
  <c r="U1459" i="4" s="1"/>
  <c r="S1460" i="4"/>
  <c r="U1460" i="4" s="1"/>
  <c r="S1461" i="4"/>
  <c r="U1461" i="4" s="1"/>
  <c r="S1462" i="4"/>
  <c r="U1462" i="4" s="1"/>
  <c r="S1463" i="4"/>
  <c r="U1463" i="4" s="1"/>
  <c r="S1464" i="4"/>
  <c r="U1464" i="4" s="1"/>
  <c r="S1465" i="4"/>
  <c r="U1465" i="4" s="1"/>
  <c r="S1466" i="4"/>
  <c r="U1466" i="4" s="1"/>
  <c r="S1467" i="4"/>
  <c r="U1467" i="4" s="1"/>
  <c r="S1468" i="4"/>
  <c r="U1468" i="4" s="1"/>
  <c r="S1469" i="4"/>
  <c r="U1469" i="4" s="1"/>
  <c r="S1470" i="4"/>
  <c r="U1470" i="4" s="1"/>
  <c r="S1471" i="4"/>
  <c r="U1471" i="4" s="1"/>
  <c r="S1472" i="4"/>
  <c r="U1472" i="4" s="1"/>
  <c r="S1473" i="4"/>
  <c r="U1473" i="4" s="1"/>
  <c r="S1474" i="4"/>
  <c r="U1474" i="4" s="1"/>
  <c r="S1475" i="4"/>
  <c r="U1475" i="4" s="1"/>
  <c r="S1476" i="4"/>
  <c r="U1476" i="4" s="1"/>
  <c r="S1477" i="4"/>
  <c r="U1477" i="4" s="1"/>
  <c r="S1478" i="4"/>
  <c r="U1478" i="4" s="1"/>
  <c r="S1479" i="4"/>
  <c r="U1479" i="4" s="1"/>
  <c r="S1480" i="4"/>
  <c r="U1480" i="4" s="1"/>
  <c r="S1481" i="4"/>
  <c r="U1481" i="4" s="1"/>
  <c r="S1482" i="4"/>
  <c r="U1482" i="4" s="1"/>
  <c r="S1483" i="4"/>
  <c r="U1483" i="4" s="1"/>
  <c r="S1484" i="4"/>
  <c r="U1484" i="4" s="1"/>
  <c r="S1485" i="4"/>
  <c r="U1485" i="4" s="1"/>
  <c r="S1486" i="4"/>
  <c r="U1486" i="4" s="1"/>
  <c r="S1487" i="4"/>
  <c r="U1487" i="4" s="1"/>
  <c r="S1488" i="4"/>
  <c r="U1488" i="4" s="1"/>
  <c r="S1489" i="4"/>
  <c r="U1489" i="4" s="1"/>
  <c r="S1490" i="4"/>
  <c r="U1490" i="4" s="1"/>
  <c r="S1491" i="4"/>
  <c r="U1491" i="4" s="1"/>
  <c r="S1492" i="4"/>
  <c r="U1492" i="4" s="1"/>
  <c r="S1493" i="4"/>
  <c r="U1493" i="4" s="1"/>
  <c r="S1494" i="4"/>
  <c r="U1494" i="4" s="1"/>
  <c r="S1495" i="4"/>
  <c r="U1495" i="4" s="1"/>
  <c r="S1496" i="4"/>
  <c r="U1496" i="4" s="1"/>
  <c r="S1497" i="4"/>
  <c r="U1497" i="4" s="1"/>
  <c r="S1498" i="4"/>
  <c r="U1498" i="4" s="1"/>
  <c r="S1499" i="4"/>
  <c r="U1499" i="4" s="1"/>
  <c r="S1500" i="4"/>
  <c r="U1500" i="4" s="1"/>
  <c r="S1501" i="4"/>
  <c r="U1501" i="4" s="1"/>
  <c r="S1502" i="4"/>
  <c r="U1502" i="4" s="1"/>
  <c r="S1503" i="4"/>
  <c r="U1503" i="4" s="1"/>
  <c r="S1504" i="4"/>
  <c r="U1504" i="4" s="1"/>
  <c r="S1505" i="4"/>
  <c r="U1505" i="4" s="1"/>
  <c r="S1506" i="4"/>
  <c r="U1506" i="4" s="1"/>
  <c r="S1507" i="4"/>
  <c r="U1507" i="4" s="1"/>
  <c r="S1508" i="4"/>
  <c r="U1508" i="4" s="1"/>
  <c r="S1509" i="4"/>
  <c r="U1509" i="4" s="1"/>
  <c r="S1510" i="4"/>
  <c r="U1510" i="4" s="1"/>
  <c r="S1511" i="4"/>
  <c r="U1511" i="4" s="1"/>
  <c r="S1512" i="4"/>
  <c r="U1512" i="4" s="1"/>
  <c r="S1513" i="4"/>
  <c r="U1513" i="4" s="1"/>
  <c r="S1514" i="4"/>
  <c r="U1514" i="4" s="1"/>
  <c r="S1515" i="4"/>
  <c r="U1515" i="4" s="1"/>
  <c r="S1516" i="4"/>
  <c r="U1516" i="4" s="1"/>
  <c r="S1517" i="4"/>
  <c r="U1517" i="4" s="1"/>
  <c r="S1518" i="4"/>
  <c r="U1518" i="4" s="1"/>
  <c r="S1519" i="4"/>
  <c r="U1519" i="4" s="1"/>
  <c r="S1520" i="4"/>
  <c r="U1520" i="4" s="1"/>
  <c r="S1521" i="4"/>
  <c r="U1521" i="4" s="1"/>
  <c r="S1522" i="4"/>
  <c r="U1522" i="4" s="1"/>
  <c r="S1523" i="4"/>
  <c r="U1523" i="4" s="1"/>
  <c r="S1524" i="4"/>
  <c r="U1524" i="4" s="1"/>
  <c r="S1525" i="4"/>
  <c r="U1525" i="4" s="1"/>
  <c r="S1526" i="4"/>
  <c r="U1526" i="4" s="1"/>
  <c r="S1527" i="4"/>
  <c r="U1527" i="4" s="1"/>
  <c r="S1528" i="4"/>
  <c r="U1528" i="4" s="1"/>
  <c r="S1529" i="4"/>
  <c r="U1529" i="4" s="1"/>
  <c r="S1530" i="4"/>
  <c r="U1530" i="4" s="1"/>
  <c r="S1531" i="4"/>
  <c r="U1531" i="4" s="1"/>
  <c r="S1532" i="4"/>
  <c r="U1532" i="4" s="1"/>
  <c r="S1533" i="4"/>
  <c r="U1533" i="4" s="1"/>
  <c r="S1534" i="4"/>
  <c r="U1534" i="4" s="1"/>
  <c r="S1535" i="4"/>
  <c r="U1535" i="4" s="1"/>
  <c r="S1536" i="4"/>
  <c r="U1536" i="4" s="1"/>
  <c r="S1537" i="4"/>
  <c r="U1537" i="4" s="1"/>
  <c r="S1538" i="4"/>
  <c r="U1538" i="4" s="1"/>
  <c r="S1539" i="4"/>
  <c r="U1539" i="4" s="1"/>
  <c r="S1540" i="4"/>
  <c r="U1540" i="4" s="1"/>
  <c r="S1541" i="4"/>
  <c r="U1541" i="4" s="1"/>
  <c r="S1542" i="4"/>
  <c r="U1542" i="4" s="1"/>
  <c r="S1543" i="4"/>
  <c r="U1543" i="4" s="1"/>
  <c r="S1544" i="4"/>
  <c r="U1544" i="4" s="1"/>
  <c r="S1545" i="4"/>
  <c r="U1545" i="4" s="1"/>
  <c r="S1546" i="4"/>
  <c r="U1546" i="4" s="1"/>
  <c r="S1547" i="4"/>
  <c r="U1547" i="4" s="1"/>
  <c r="S1548" i="4"/>
  <c r="U1548" i="4" s="1"/>
  <c r="S1549" i="4"/>
  <c r="U1549" i="4" s="1"/>
  <c r="S1550" i="4"/>
  <c r="U1550" i="4" s="1"/>
  <c r="S1551" i="4"/>
  <c r="U1551" i="4" s="1"/>
  <c r="S1552" i="4"/>
  <c r="U1552" i="4" s="1"/>
  <c r="S1553" i="4"/>
  <c r="U1553" i="4" s="1"/>
  <c r="S1554" i="4"/>
  <c r="U1554" i="4" s="1"/>
  <c r="S1555" i="4"/>
  <c r="U1555" i="4" s="1"/>
  <c r="S1556" i="4"/>
  <c r="U1556" i="4" s="1"/>
  <c r="S1557" i="4"/>
  <c r="U1557" i="4" s="1"/>
  <c r="S1558" i="4"/>
  <c r="U1558" i="4" s="1"/>
  <c r="S1559" i="4"/>
  <c r="U1559" i="4" s="1"/>
  <c r="S1560" i="4"/>
  <c r="U1560" i="4" s="1"/>
  <c r="S1561" i="4"/>
  <c r="U1561" i="4" s="1"/>
  <c r="S1562" i="4"/>
  <c r="U1562" i="4" s="1"/>
  <c r="S1563" i="4"/>
  <c r="U1563" i="4" s="1"/>
  <c r="S1564" i="4"/>
  <c r="U1564" i="4" s="1"/>
  <c r="S1565" i="4"/>
  <c r="U1565" i="4" s="1"/>
  <c r="S1566" i="4"/>
  <c r="U1566" i="4" s="1"/>
  <c r="S1567" i="4"/>
  <c r="U1567" i="4" s="1"/>
  <c r="S1568" i="4"/>
  <c r="U1568" i="4" s="1"/>
  <c r="S1569" i="4"/>
  <c r="U1569" i="4" s="1"/>
  <c r="S1570" i="4"/>
  <c r="U1570" i="4" s="1"/>
  <c r="S1571" i="4"/>
  <c r="U1571" i="4" s="1"/>
  <c r="S1572" i="4"/>
  <c r="U1572" i="4" s="1"/>
  <c r="S1573" i="4"/>
  <c r="U1573" i="4" s="1"/>
  <c r="S1574" i="4"/>
  <c r="U1574" i="4" s="1"/>
  <c r="S1575" i="4"/>
  <c r="U1575" i="4" s="1"/>
  <c r="S1576" i="4"/>
  <c r="U1576" i="4" s="1"/>
  <c r="S1577" i="4"/>
  <c r="U1577" i="4" s="1"/>
  <c r="S1578" i="4"/>
  <c r="U1578" i="4" s="1"/>
  <c r="S1579" i="4"/>
  <c r="U1579" i="4" s="1"/>
  <c r="S1580" i="4"/>
  <c r="U1580" i="4" s="1"/>
  <c r="S1581" i="4"/>
  <c r="U1581" i="4" s="1"/>
  <c r="S1582" i="4"/>
  <c r="U1582" i="4" s="1"/>
  <c r="S1583" i="4"/>
  <c r="U1583" i="4" s="1"/>
  <c r="S1584" i="4"/>
  <c r="U1584" i="4" s="1"/>
  <c r="S1585" i="4"/>
  <c r="U1585" i="4" s="1"/>
  <c r="S1586" i="4"/>
  <c r="U1586" i="4" s="1"/>
  <c r="S1587" i="4"/>
  <c r="U1587" i="4" s="1"/>
  <c r="S1588" i="4"/>
  <c r="U1588" i="4" s="1"/>
  <c r="S1589" i="4"/>
  <c r="U1589" i="4" s="1"/>
  <c r="S1590" i="4"/>
  <c r="U1590" i="4" s="1"/>
  <c r="S1591" i="4"/>
  <c r="U1591" i="4" s="1"/>
  <c r="S1592" i="4"/>
  <c r="U1592" i="4" s="1"/>
  <c r="S1593" i="4"/>
  <c r="U1593" i="4" s="1"/>
  <c r="S1594" i="4"/>
  <c r="U1594" i="4" s="1"/>
  <c r="S1595" i="4"/>
  <c r="U1595" i="4" s="1"/>
  <c r="S1596" i="4"/>
  <c r="U1596" i="4" s="1"/>
  <c r="S1597" i="4"/>
  <c r="U1597" i="4" s="1"/>
  <c r="S1598" i="4"/>
  <c r="U1598" i="4" s="1"/>
  <c r="S1599" i="4"/>
  <c r="U1599" i="4" s="1"/>
  <c r="S1600" i="4"/>
  <c r="U1600" i="4" s="1"/>
  <c r="S1601" i="4"/>
  <c r="U1601" i="4" s="1"/>
  <c r="S1602" i="4"/>
  <c r="U1602" i="4" s="1"/>
  <c r="S1603" i="4"/>
  <c r="U1603" i="4" s="1"/>
  <c r="S1604" i="4"/>
  <c r="U1604" i="4" s="1"/>
  <c r="S1605" i="4"/>
  <c r="U1605" i="4" s="1"/>
  <c r="S1606" i="4"/>
  <c r="U1606" i="4" s="1"/>
  <c r="S1607" i="4"/>
  <c r="U1607" i="4" s="1"/>
  <c r="S1608" i="4"/>
  <c r="U1608" i="4" s="1"/>
  <c r="S1609" i="4"/>
  <c r="U1609" i="4" s="1"/>
  <c r="S1610" i="4"/>
  <c r="U1610" i="4" s="1"/>
  <c r="S1611" i="4"/>
  <c r="U1611" i="4" s="1"/>
  <c r="S1612" i="4"/>
  <c r="U1612" i="4" s="1"/>
  <c r="S1613" i="4"/>
  <c r="U1613" i="4" s="1"/>
  <c r="S1614" i="4"/>
  <c r="U1614" i="4" s="1"/>
  <c r="S1615" i="4"/>
  <c r="U1615" i="4" s="1"/>
  <c r="S1616" i="4"/>
  <c r="U1616" i="4" s="1"/>
  <c r="S1617" i="4"/>
  <c r="U1617" i="4" s="1"/>
  <c r="S1618" i="4"/>
  <c r="U1618" i="4" s="1"/>
  <c r="S1619" i="4"/>
  <c r="U1619" i="4" s="1"/>
  <c r="S1620" i="4"/>
  <c r="U1620" i="4" s="1"/>
  <c r="S1621" i="4"/>
  <c r="U1621" i="4" s="1"/>
  <c r="S1622" i="4"/>
  <c r="U1622" i="4" s="1"/>
  <c r="S1623" i="4"/>
  <c r="U1623" i="4" s="1"/>
  <c r="S1624" i="4"/>
  <c r="U1624" i="4" s="1"/>
  <c r="S1625" i="4"/>
  <c r="U1625" i="4" s="1"/>
  <c r="S1626" i="4"/>
  <c r="U1626" i="4" s="1"/>
  <c r="S1627" i="4"/>
  <c r="U1627" i="4" s="1"/>
  <c r="S1628" i="4"/>
  <c r="U1628" i="4" s="1"/>
  <c r="S1629" i="4"/>
  <c r="U1629" i="4" s="1"/>
  <c r="S1630" i="4"/>
  <c r="U1630" i="4" s="1"/>
  <c r="S1631" i="4"/>
  <c r="U1631" i="4" s="1"/>
  <c r="S1632" i="4"/>
  <c r="U1632" i="4" s="1"/>
  <c r="S1633" i="4"/>
  <c r="U1633" i="4" s="1"/>
  <c r="S1634" i="4"/>
  <c r="U1634" i="4" s="1"/>
  <c r="S1635" i="4"/>
  <c r="U1635" i="4" s="1"/>
  <c r="S1636" i="4"/>
  <c r="U1636" i="4" s="1"/>
  <c r="S1637" i="4"/>
  <c r="U1637" i="4" s="1"/>
  <c r="S1638" i="4"/>
  <c r="U1638" i="4" s="1"/>
  <c r="S1639" i="4"/>
  <c r="U1639" i="4" s="1"/>
  <c r="S1640" i="4"/>
  <c r="U1640" i="4" s="1"/>
  <c r="S1641" i="4"/>
  <c r="U1641" i="4" s="1"/>
  <c r="S1642" i="4"/>
  <c r="U1642" i="4" s="1"/>
  <c r="S1643" i="4"/>
  <c r="U1643" i="4" s="1"/>
  <c r="S1644" i="4"/>
  <c r="U1644" i="4" s="1"/>
  <c r="S1645" i="4"/>
  <c r="U1645" i="4" s="1"/>
  <c r="S1646" i="4"/>
  <c r="U1646" i="4" s="1"/>
  <c r="S1647" i="4"/>
  <c r="U1647" i="4" s="1"/>
  <c r="S1648" i="4"/>
  <c r="U1648" i="4" s="1"/>
  <c r="S1649" i="4"/>
  <c r="U1649" i="4" s="1"/>
  <c r="S1650" i="4"/>
  <c r="U1650" i="4" s="1"/>
  <c r="S1651" i="4"/>
  <c r="U1651" i="4" s="1"/>
  <c r="S1652" i="4"/>
  <c r="U1652" i="4" s="1"/>
  <c r="S1653" i="4"/>
  <c r="U1653" i="4" s="1"/>
  <c r="S1654" i="4"/>
  <c r="U1654" i="4" s="1"/>
  <c r="S1655" i="4"/>
  <c r="U1655" i="4" s="1"/>
  <c r="S1656" i="4"/>
  <c r="U1656" i="4" s="1"/>
  <c r="S1657" i="4"/>
  <c r="U1657" i="4" s="1"/>
  <c r="S1658" i="4"/>
  <c r="U1658" i="4" s="1"/>
  <c r="S1659" i="4"/>
  <c r="U1659" i="4" s="1"/>
  <c r="S1660" i="4"/>
  <c r="U1660" i="4" s="1"/>
  <c r="S1661" i="4"/>
  <c r="U1661" i="4" s="1"/>
  <c r="S1662" i="4"/>
  <c r="U1662" i="4" s="1"/>
  <c r="S1663" i="4"/>
  <c r="U1663" i="4" s="1"/>
  <c r="S1664" i="4"/>
  <c r="U1664" i="4" s="1"/>
  <c r="S1665" i="4"/>
  <c r="U1665" i="4" s="1"/>
  <c r="S1666" i="4"/>
  <c r="U1666" i="4" s="1"/>
  <c r="S1667" i="4"/>
  <c r="U1667" i="4" s="1"/>
  <c r="S1668" i="4"/>
  <c r="U1668" i="4" s="1"/>
  <c r="S1669" i="4"/>
  <c r="U1669" i="4" s="1"/>
  <c r="S1670" i="4"/>
  <c r="U1670" i="4" s="1"/>
  <c r="S1671" i="4"/>
  <c r="U1671" i="4" s="1"/>
  <c r="S1672" i="4"/>
  <c r="U1672" i="4" s="1"/>
  <c r="S1673" i="4"/>
  <c r="U1673" i="4" s="1"/>
  <c r="S1674" i="4"/>
  <c r="U1674" i="4" s="1"/>
  <c r="S1675" i="4"/>
  <c r="U1675" i="4" s="1"/>
  <c r="S1676" i="4"/>
  <c r="U1676" i="4" s="1"/>
  <c r="S1677" i="4"/>
  <c r="U1677" i="4" s="1"/>
  <c r="S1678" i="4"/>
  <c r="U1678" i="4" s="1"/>
  <c r="S1679" i="4"/>
  <c r="U1679" i="4" s="1"/>
  <c r="S1680" i="4"/>
  <c r="U1680" i="4" s="1"/>
  <c r="S1681" i="4"/>
  <c r="U1681" i="4" s="1"/>
  <c r="S1682" i="4"/>
  <c r="U1682" i="4" s="1"/>
  <c r="S1683" i="4"/>
  <c r="U1683" i="4" s="1"/>
  <c r="S1684" i="4"/>
  <c r="U1684" i="4" s="1"/>
  <c r="S1685" i="4"/>
  <c r="U1685" i="4" s="1"/>
  <c r="S1686" i="4"/>
  <c r="U1686" i="4" s="1"/>
  <c r="S1687" i="4"/>
  <c r="U1687" i="4" s="1"/>
  <c r="S1688" i="4"/>
  <c r="U1688" i="4" s="1"/>
  <c r="S1689" i="4"/>
  <c r="U1689" i="4" s="1"/>
  <c r="S1690" i="4"/>
  <c r="U1690" i="4" s="1"/>
  <c r="S1691" i="4"/>
  <c r="U1691" i="4" s="1"/>
  <c r="S1692" i="4"/>
  <c r="U1692" i="4" s="1"/>
  <c r="S1693" i="4"/>
  <c r="U1693" i="4" s="1"/>
  <c r="S1694" i="4"/>
  <c r="U1694" i="4" s="1"/>
  <c r="S1695" i="4"/>
  <c r="U1695" i="4" s="1"/>
  <c r="S1696" i="4"/>
  <c r="U1696" i="4" s="1"/>
  <c r="S1697" i="4"/>
  <c r="U1697" i="4" s="1"/>
  <c r="S1698" i="4"/>
  <c r="U1698" i="4" s="1"/>
  <c r="S1699" i="4"/>
  <c r="U1699" i="4" s="1"/>
  <c r="S1700" i="4"/>
  <c r="U1700" i="4" s="1"/>
  <c r="S1701" i="4"/>
  <c r="U1701" i="4" s="1"/>
  <c r="S1702" i="4"/>
  <c r="U1702" i="4" s="1"/>
  <c r="S1703" i="4"/>
  <c r="U1703" i="4" s="1"/>
  <c r="S1704" i="4"/>
  <c r="U1704" i="4" s="1"/>
  <c r="S1705" i="4"/>
  <c r="U1705" i="4" s="1"/>
  <c r="S1706" i="4"/>
  <c r="U1706" i="4" s="1"/>
  <c r="S1707" i="4"/>
  <c r="U1707" i="4" s="1"/>
  <c r="S1708" i="4"/>
  <c r="U1708" i="4" s="1"/>
  <c r="S1709" i="4"/>
  <c r="U1709" i="4" s="1"/>
  <c r="S1710" i="4"/>
  <c r="U1710" i="4" s="1"/>
  <c r="S1711" i="4"/>
  <c r="U1711" i="4" s="1"/>
  <c r="S1712" i="4"/>
  <c r="U1712" i="4" s="1"/>
  <c r="S1713" i="4"/>
  <c r="U1713" i="4" s="1"/>
  <c r="S1714" i="4"/>
  <c r="U1714" i="4" s="1"/>
  <c r="S1715" i="4"/>
  <c r="U1715" i="4" s="1"/>
  <c r="S1716" i="4"/>
  <c r="U1716" i="4" s="1"/>
  <c r="S1717" i="4"/>
  <c r="U1717" i="4" s="1"/>
  <c r="S1718" i="4"/>
  <c r="U1718" i="4" s="1"/>
  <c r="S1719" i="4"/>
  <c r="U1719" i="4" s="1"/>
  <c r="S1720" i="4"/>
  <c r="U1720" i="4" s="1"/>
  <c r="S1721" i="4"/>
  <c r="U1721" i="4" s="1"/>
  <c r="S1722" i="4"/>
  <c r="U1722" i="4" s="1"/>
  <c r="S1723" i="4"/>
  <c r="U1723" i="4" s="1"/>
  <c r="S1724" i="4"/>
  <c r="U1724" i="4" s="1"/>
  <c r="S1725" i="4"/>
  <c r="U1725" i="4" s="1"/>
  <c r="S1726" i="4"/>
  <c r="U1726" i="4" s="1"/>
  <c r="S1727" i="4"/>
  <c r="U1727" i="4" s="1"/>
  <c r="S1728" i="4"/>
  <c r="U1728" i="4" s="1"/>
  <c r="S1729" i="4"/>
  <c r="U1729" i="4" s="1"/>
  <c r="S1730" i="4"/>
  <c r="U1730" i="4" s="1"/>
  <c r="S1731" i="4"/>
  <c r="U1731" i="4" s="1"/>
  <c r="S1732" i="4"/>
  <c r="U1732" i="4" s="1"/>
  <c r="S1733" i="4"/>
  <c r="U1733" i="4" s="1"/>
  <c r="S1734" i="4"/>
  <c r="U1734" i="4" s="1"/>
  <c r="S1735" i="4"/>
  <c r="U1735" i="4" s="1"/>
  <c r="S1736" i="4"/>
  <c r="U1736" i="4" s="1"/>
  <c r="S1737" i="4"/>
  <c r="U1737" i="4" s="1"/>
  <c r="S1738" i="4"/>
  <c r="U1738" i="4" s="1"/>
  <c r="S1739" i="4"/>
  <c r="U1739" i="4" s="1"/>
  <c r="S1740" i="4"/>
  <c r="U1740" i="4" s="1"/>
  <c r="S1741" i="4"/>
  <c r="U1741" i="4" s="1"/>
  <c r="S1742" i="4"/>
  <c r="U1742" i="4" s="1"/>
  <c r="S1743" i="4"/>
  <c r="U1743" i="4" s="1"/>
  <c r="S1744" i="4"/>
  <c r="U1744" i="4" s="1"/>
  <c r="S1745" i="4"/>
  <c r="U1745" i="4" s="1"/>
  <c r="S1746" i="4"/>
  <c r="U1746" i="4" s="1"/>
  <c r="S1747" i="4"/>
  <c r="U1747" i="4" s="1"/>
  <c r="S1748" i="4"/>
  <c r="U1748" i="4" s="1"/>
  <c r="S1749" i="4"/>
  <c r="U1749" i="4" s="1"/>
  <c r="S1750" i="4"/>
  <c r="U1750" i="4" s="1"/>
  <c r="S1751" i="4"/>
  <c r="U1751" i="4" s="1"/>
  <c r="S1752" i="4"/>
  <c r="U1752" i="4" s="1"/>
  <c r="S1753" i="4"/>
  <c r="U1753" i="4" s="1"/>
  <c r="S1754" i="4"/>
  <c r="U1754" i="4" s="1"/>
  <c r="S1755" i="4"/>
  <c r="U1755" i="4" s="1"/>
  <c r="S1756" i="4"/>
  <c r="U1756" i="4" s="1"/>
  <c r="S1757" i="4"/>
  <c r="U1757" i="4" s="1"/>
  <c r="S1758" i="4"/>
  <c r="U1758" i="4" s="1"/>
  <c r="S1759" i="4"/>
  <c r="U1759" i="4" s="1"/>
  <c r="S1760" i="4"/>
  <c r="U1760" i="4" s="1"/>
  <c r="S1761" i="4"/>
  <c r="U1761" i="4" s="1"/>
  <c r="S1762" i="4"/>
  <c r="U1762" i="4" s="1"/>
  <c r="S1763" i="4"/>
  <c r="U1763" i="4" s="1"/>
  <c r="S1764" i="4"/>
  <c r="U1764" i="4" s="1"/>
  <c r="S1765" i="4"/>
  <c r="U1765" i="4" s="1"/>
  <c r="S1766" i="4"/>
  <c r="U1766" i="4" s="1"/>
  <c r="S1767" i="4"/>
  <c r="U1767" i="4" s="1"/>
  <c r="S1768" i="4"/>
  <c r="U1768" i="4" s="1"/>
  <c r="S1769" i="4"/>
  <c r="U1769" i="4" s="1"/>
  <c r="S1770" i="4"/>
  <c r="U1770" i="4" s="1"/>
  <c r="S1771" i="4"/>
  <c r="U1771" i="4" s="1"/>
  <c r="S1772" i="4"/>
  <c r="U1772" i="4" s="1"/>
  <c r="S1773" i="4"/>
  <c r="U1773" i="4" s="1"/>
  <c r="S1774" i="4"/>
  <c r="U1774" i="4" s="1"/>
  <c r="S1775" i="4"/>
  <c r="U1775" i="4" s="1"/>
  <c r="S1776" i="4"/>
  <c r="U1776" i="4" s="1"/>
  <c r="S1777" i="4"/>
  <c r="U1777" i="4" s="1"/>
  <c r="S1778" i="4"/>
  <c r="U1778" i="4" s="1"/>
  <c r="S1779" i="4"/>
  <c r="U1779" i="4" s="1"/>
  <c r="S1780" i="4"/>
  <c r="U1780" i="4" s="1"/>
  <c r="S1781" i="4"/>
  <c r="U1781" i="4" s="1"/>
  <c r="S1782" i="4"/>
  <c r="U1782" i="4" s="1"/>
  <c r="S1783" i="4"/>
  <c r="U1783" i="4" s="1"/>
  <c r="S1784" i="4"/>
  <c r="U1784" i="4" s="1"/>
  <c r="S1785" i="4"/>
  <c r="U1785" i="4" s="1"/>
  <c r="S1786" i="4"/>
  <c r="U1786" i="4" s="1"/>
  <c r="S1787" i="4"/>
  <c r="U1787" i="4" s="1"/>
  <c r="S1788" i="4"/>
  <c r="U1788" i="4" s="1"/>
  <c r="S1789" i="4"/>
  <c r="U1789" i="4" s="1"/>
  <c r="S1790" i="4"/>
  <c r="U1790" i="4" s="1"/>
  <c r="S1791" i="4"/>
  <c r="U1791" i="4" s="1"/>
  <c r="S1792" i="4"/>
  <c r="U1792" i="4" s="1"/>
  <c r="S1793" i="4"/>
  <c r="U1793" i="4" s="1"/>
  <c r="S1794" i="4"/>
  <c r="U1794" i="4" s="1"/>
  <c r="S1795" i="4"/>
  <c r="U1795" i="4" s="1"/>
  <c r="S1796" i="4"/>
  <c r="U1796" i="4" s="1"/>
  <c r="S1797" i="4"/>
  <c r="U1797" i="4" s="1"/>
  <c r="S1798" i="4"/>
  <c r="U1798" i="4" s="1"/>
  <c r="S1799" i="4"/>
  <c r="U1799" i="4" s="1"/>
  <c r="S1800" i="4"/>
  <c r="U1800" i="4" s="1"/>
  <c r="S1801" i="4"/>
  <c r="U1801" i="4" s="1"/>
  <c r="S1802" i="4"/>
  <c r="U1802" i="4" s="1"/>
  <c r="S1803" i="4"/>
  <c r="U1803" i="4" s="1"/>
  <c r="S1804" i="4"/>
  <c r="U1804" i="4" s="1"/>
  <c r="S1805" i="4"/>
  <c r="U1805" i="4" s="1"/>
  <c r="S1806" i="4"/>
  <c r="U1806" i="4" s="1"/>
  <c r="S1807" i="4"/>
  <c r="U1807" i="4" s="1"/>
  <c r="S1808" i="4"/>
  <c r="U1808" i="4" s="1"/>
  <c r="S1809" i="4"/>
  <c r="U1809" i="4" s="1"/>
  <c r="S1810" i="4"/>
  <c r="U1810" i="4" s="1"/>
  <c r="S1811" i="4"/>
  <c r="U1811" i="4" s="1"/>
  <c r="S1812" i="4"/>
  <c r="U1812" i="4" s="1"/>
  <c r="S1813" i="4"/>
  <c r="U1813" i="4" s="1"/>
  <c r="S1814" i="4"/>
  <c r="U1814" i="4" s="1"/>
  <c r="S1815" i="4"/>
  <c r="U1815" i="4" s="1"/>
  <c r="S1816" i="4"/>
  <c r="U1816" i="4" s="1"/>
  <c r="S1817" i="4"/>
  <c r="U1817" i="4" s="1"/>
  <c r="S1818" i="4"/>
  <c r="U1818" i="4" s="1"/>
  <c r="S1819" i="4"/>
  <c r="U1819" i="4" s="1"/>
  <c r="S1820" i="4"/>
  <c r="U1820" i="4" s="1"/>
  <c r="S1821" i="4"/>
  <c r="U1821" i="4" s="1"/>
  <c r="S1822" i="4"/>
  <c r="U1822" i="4" s="1"/>
  <c r="S1823" i="4"/>
  <c r="U1823" i="4" s="1"/>
  <c r="S1824" i="4"/>
  <c r="U1824" i="4" s="1"/>
  <c r="S1825" i="4"/>
  <c r="U1825" i="4" s="1"/>
  <c r="S1826" i="4"/>
  <c r="U1826" i="4" s="1"/>
  <c r="S1827" i="4"/>
  <c r="U1827" i="4" s="1"/>
  <c r="S1828" i="4"/>
  <c r="U1828" i="4" s="1"/>
  <c r="S1829" i="4"/>
  <c r="U1829" i="4" s="1"/>
  <c r="S1830" i="4"/>
  <c r="U1830" i="4" s="1"/>
  <c r="S1831" i="4"/>
  <c r="U1831" i="4" s="1"/>
  <c r="S1832" i="4"/>
  <c r="U1832" i="4" s="1"/>
  <c r="S1833" i="4"/>
  <c r="U1833" i="4" s="1"/>
  <c r="S1834" i="4"/>
  <c r="U1834" i="4" s="1"/>
  <c r="S1835" i="4"/>
  <c r="U1835" i="4" s="1"/>
  <c r="S1836" i="4"/>
  <c r="U1836" i="4" s="1"/>
  <c r="S1837" i="4"/>
  <c r="U1837" i="4" s="1"/>
  <c r="S1838" i="4"/>
  <c r="U1838" i="4" s="1"/>
  <c r="S1839" i="4"/>
  <c r="U1839" i="4" s="1"/>
  <c r="S1840" i="4"/>
  <c r="U1840" i="4" s="1"/>
  <c r="S1841" i="4"/>
  <c r="U1841" i="4" s="1"/>
  <c r="S1842" i="4"/>
  <c r="U1842" i="4" s="1"/>
  <c r="S1843" i="4"/>
  <c r="U1843" i="4" s="1"/>
  <c r="S1844" i="4"/>
  <c r="U1844" i="4" s="1"/>
  <c r="S1845" i="4"/>
  <c r="U1845" i="4" s="1"/>
  <c r="S1846" i="4"/>
  <c r="U1846" i="4" s="1"/>
  <c r="S1847" i="4"/>
  <c r="U1847" i="4" s="1"/>
  <c r="S1848" i="4"/>
  <c r="U1848" i="4" s="1"/>
  <c r="S1849" i="4"/>
  <c r="U1849" i="4" s="1"/>
  <c r="S1850" i="4"/>
  <c r="U1850" i="4" s="1"/>
  <c r="S1851" i="4"/>
  <c r="U1851" i="4" s="1"/>
  <c r="S1852" i="4"/>
  <c r="U1852" i="4" s="1"/>
  <c r="S1853" i="4"/>
  <c r="U1853" i="4" s="1"/>
  <c r="S1854" i="4"/>
  <c r="U1854" i="4" s="1"/>
  <c r="S1855" i="4"/>
  <c r="U1855" i="4" s="1"/>
  <c r="S1856" i="4"/>
  <c r="U1856" i="4" s="1"/>
  <c r="S1857" i="4"/>
  <c r="U1857" i="4" s="1"/>
  <c r="S1858" i="4"/>
  <c r="U1858" i="4" s="1"/>
  <c r="S1859" i="4"/>
  <c r="U1859" i="4" s="1"/>
  <c r="S1860" i="4"/>
  <c r="U1860" i="4" s="1"/>
  <c r="S1861" i="4"/>
  <c r="U1861" i="4" s="1"/>
  <c r="S1862" i="4"/>
  <c r="U1862" i="4" s="1"/>
  <c r="S1863" i="4"/>
  <c r="U1863" i="4" s="1"/>
  <c r="S1864" i="4"/>
  <c r="U1864" i="4" s="1"/>
  <c r="S1865" i="4"/>
  <c r="U1865" i="4" s="1"/>
  <c r="S1866" i="4"/>
  <c r="U1866" i="4" s="1"/>
  <c r="S1867" i="4"/>
  <c r="U1867" i="4" s="1"/>
  <c r="S1868" i="4"/>
  <c r="U1868" i="4" s="1"/>
  <c r="S1869" i="4"/>
  <c r="U1869" i="4" s="1"/>
  <c r="S1870" i="4"/>
  <c r="U1870" i="4" s="1"/>
  <c r="S1871" i="4"/>
  <c r="U1871" i="4" s="1"/>
  <c r="S1872" i="4"/>
  <c r="U1872" i="4" s="1"/>
  <c r="S1873" i="4"/>
  <c r="U1873" i="4" s="1"/>
  <c r="S1874" i="4"/>
  <c r="U1874" i="4" s="1"/>
  <c r="S1875" i="4"/>
  <c r="U1875" i="4" s="1"/>
  <c r="S1876" i="4"/>
  <c r="U1876" i="4" s="1"/>
  <c r="S1877" i="4"/>
  <c r="U1877" i="4" s="1"/>
  <c r="S1878" i="4"/>
  <c r="U1878" i="4" s="1"/>
  <c r="S1879" i="4"/>
  <c r="U1879" i="4" s="1"/>
  <c r="S1880" i="4"/>
  <c r="U1880" i="4" s="1"/>
  <c r="S1881" i="4"/>
  <c r="U1881" i="4" s="1"/>
  <c r="S1882" i="4"/>
  <c r="U1882" i="4" s="1"/>
  <c r="S1883" i="4"/>
  <c r="U1883" i="4" s="1"/>
  <c r="S1884" i="4"/>
  <c r="U1884" i="4" s="1"/>
  <c r="S1885" i="4"/>
  <c r="U1885" i="4" s="1"/>
  <c r="S1886" i="4"/>
  <c r="U1886" i="4" s="1"/>
  <c r="S1887" i="4"/>
  <c r="U1887" i="4" s="1"/>
  <c r="S1888" i="4"/>
  <c r="U1888" i="4" s="1"/>
  <c r="S1889" i="4"/>
  <c r="U1889" i="4" s="1"/>
  <c r="S1890" i="4"/>
  <c r="U1890" i="4" s="1"/>
  <c r="S1891" i="4"/>
  <c r="U1891" i="4" s="1"/>
  <c r="S1892" i="4"/>
  <c r="U1892" i="4" s="1"/>
  <c r="S1893" i="4"/>
  <c r="U1893" i="4" s="1"/>
  <c r="S1894" i="4"/>
  <c r="U1894" i="4" s="1"/>
  <c r="S1895" i="4"/>
  <c r="U1895" i="4" s="1"/>
  <c r="S1896" i="4"/>
  <c r="U1896" i="4" s="1"/>
  <c r="S1897" i="4"/>
  <c r="U1897" i="4" s="1"/>
  <c r="S1898" i="4"/>
  <c r="U1898" i="4" s="1"/>
  <c r="S1899" i="4"/>
  <c r="U1899" i="4" s="1"/>
  <c r="S1900" i="4"/>
  <c r="U1900" i="4" s="1"/>
  <c r="S1901" i="4"/>
  <c r="U1901" i="4" s="1"/>
  <c r="S1902" i="4"/>
  <c r="U1902" i="4" s="1"/>
  <c r="S1903" i="4"/>
  <c r="U1903" i="4" s="1"/>
  <c r="S1904" i="4"/>
  <c r="U1904" i="4" s="1"/>
  <c r="S1905" i="4"/>
  <c r="U1905" i="4" s="1"/>
  <c r="S1906" i="4"/>
  <c r="U1906" i="4" s="1"/>
  <c r="S1907" i="4"/>
  <c r="U1907" i="4" s="1"/>
  <c r="S1908" i="4"/>
  <c r="U1908" i="4" s="1"/>
  <c r="S1909" i="4"/>
  <c r="U1909" i="4" s="1"/>
  <c r="S1910" i="4"/>
  <c r="U1910" i="4" s="1"/>
  <c r="S1911" i="4"/>
  <c r="U1911" i="4" s="1"/>
  <c r="S1912" i="4"/>
  <c r="U1912" i="4" s="1"/>
  <c r="S1913" i="4"/>
  <c r="U1913" i="4" s="1"/>
  <c r="S1914" i="4"/>
  <c r="U1914" i="4" s="1"/>
  <c r="S1915" i="4"/>
  <c r="U1915" i="4" s="1"/>
  <c r="S1916" i="4"/>
  <c r="U1916" i="4" s="1"/>
  <c r="S1917" i="4"/>
  <c r="U1917" i="4" s="1"/>
  <c r="S1918" i="4"/>
  <c r="U1918" i="4" s="1"/>
  <c r="S1919" i="4"/>
  <c r="U1919" i="4" s="1"/>
  <c r="S1920" i="4"/>
  <c r="U1920" i="4" s="1"/>
  <c r="S1921" i="4"/>
  <c r="U1921" i="4" s="1"/>
  <c r="S1922" i="4"/>
  <c r="U1922" i="4" s="1"/>
  <c r="S1923" i="4"/>
  <c r="U1923" i="4" s="1"/>
  <c r="S1924" i="4"/>
  <c r="U1924" i="4" s="1"/>
  <c r="S1925" i="4"/>
  <c r="U1925" i="4" s="1"/>
  <c r="S1926" i="4"/>
  <c r="U1926" i="4" s="1"/>
  <c r="S1927" i="4"/>
  <c r="U1927" i="4" s="1"/>
  <c r="S1928" i="4"/>
  <c r="U1928" i="4" s="1"/>
  <c r="S1929" i="4"/>
  <c r="U1929" i="4" s="1"/>
  <c r="S1930" i="4"/>
  <c r="U1930" i="4" s="1"/>
  <c r="S1931" i="4"/>
  <c r="U1931" i="4" s="1"/>
  <c r="S1932" i="4"/>
  <c r="U1932" i="4" s="1"/>
  <c r="S1933" i="4"/>
  <c r="U1933" i="4" s="1"/>
  <c r="S1934" i="4"/>
  <c r="U1934" i="4" s="1"/>
  <c r="S1935" i="4"/>
  <c r="U1935" i="4" s="1"/>
  <c r="S1936" i="4"/>
  <c r="U1936" i="4" s="1"/>
  <c r="S1937" i="4"/>
  <c r="U1937" i="4" s="1"/>
  <c r="S1938" i="4"/>
  <c r="U1938" i="4" s="1"/>
  <c r="S1939" i="4"/>
  <c r="U1939" i="4" s="1"/>
  <c r="S1940" i="4"/>
  <c r="U1940" i="4" s="1"/>
  <c r="S1941" i="4"/>
  <c r="U1941" i="4" s="1"/>
  <c r="S1942" i="4"/>
  <c r="U1942" i="4" s="1"/>
  <c r="S1943" i="4"/>
  <c r="U1943" i="4" s="1"/>
  <c r="S1944" i="4"/>
  <c r="U1944" i="4" s="1"/>
  <c r="S1945" i="4"/>
  <c r="U1945" i="4" s="1"/>
  <c r="S1946" i="4"/>
  <c r="U1946" i="4" s="1"/>
  <c r="S1947" i="4"/>
  <c r="U1947" i="4" s="1"/>
  <c r="S1948" i="4"/>
  <c r="U1948" i="4" s="1"/>
  <c r="S1949" i="4"/>
  <c r="U1949" i="4" s="1"/>
  <c r="S1950" i="4"/>
  <c r="U1950" i="4" s="1"/>
  <c r="S1951" i="4"/>
  <c r="U1951" i="4" s="1"/>
  <c r="S1952" i="4"/>
  <c r="U1952" i="4" s="1"/>
  <c r="S1953" i="4"/>
  <c r="U1953" i="4" s="1"/>
  <c r="S1954" i="4"/>
  <c r="U1954" i="4" s="1"/>
  <c r="S1955" i="4"/>
  <c r="U1955" i="4" s="1"/>
  <c r="S1956" i="4"/>
  <c r="U1956" i="4" s="1"/>
  <c r="S1957" i="4"/>
  <c r="U1957" i="4" s="1"/>
  <c r="S1958" i="4"/>
  <c r="U1958" i="4" s="1"/>
  <c r="S1959" i="4"/>
  <c r="U1959" i="4" s="1"/>
  <c r="S1960" i="4"/>
  <c r="U1960" i="4" s="1"/>
  <c r="S1961" i="4"/>
  <c r="U1961" i="4" s="1"/>
  <c r="S1962" i="4"/>
  <c r="U1962" i="4" s="1"/>
  <c r="S1963" i="4"/>
  <c r="U1963" i="4" s="1"/>
  <c r="S1964" i="4"/>
  <c r="U1964" i="4" s="1"/>
  <c r="S1965" i="4"/>
  <c r="U1965" i="4" s="1"/>
  <c r="S1966" i="4"/>
  <c r="U1966" i="4" s="1"/>
  <c r="S1967" i="4"/>
  <c r="U1967" i="4" s="1"/>
  <c r="S1968" i="4"/>
  <c r="U1968" i="4" s="1"/>
  <c r="S1969" i="4"/>
  <c r="U1969" i="4" s="1"/>
  <c r="S1970" i="4"/>
  <c r="U1970" i="4" s="1"/>
  <c r="S1971" i="4"/>
  <c r="U1971" i="4" s="1"/>
  <c r="S1972" i="4"/>
  <c r="U1972" i="4" s="1"/>
  <c r="S1973" i="4"/>
  <c r="U1973" i="4" s="1"/>
  <c r="S1974" i="4"/>
  <c r="U1974" i="4" s="1"/>
  <c r="S1975" i="4"/>
  <c r="U1975" i="4" s="1"/>
  <c r="S1976" i="4"/>
  <c r="U1976" i="4" s="1"/>
  <c r="S1977" i="4"/>
  <c r="U1977" i="4" s="1"/>
  <c r="S1978" i="4"/>
  <c r="U1978" i="4" s="1"/>
  <c r="S1979" i="4"/>
  <c r="U1979" i="4" s="1"/>
  <c r="S1980" i="4"/>
  <c r="U1980" i="4" s="1"/>
  <c r="S1981" i="4"/>
  <c r="U1981" i="4" s="1"/>
  <c r="S1982" i="4"/>
  <c r="U1982" i="4" s="1"/>
  <c r="S1983" i="4"/>
  <c r="U1983" i="4" s="1"/>
  <c r="S1984" i="4"/>
  <c r="U1984" i="4" s="1"/>
  <c r="S1985" i="4"/>
  <c r="U1985" i="4" s="1"/>
  <c r="S1986" i="4"/>
  <c r="U1986" i="4" s="1"/>
  <c r="S1987" i="4"/>
  <c r="U1987" i="4" s="1"/>
  <c r="S1988" i="4"/>
  <c r="U1988" i="4" s="1"/>
  <c r="S1989" i="4"/>
  <c r="U1989" i="4" s="1"/>
  <c r="S1990" i="4"/>
  <c r="U1990" i="4" s="1"/>
  <c r="S1991" i="4"/>
  <c r="U1991" i="4" s="1"/>
  <c r="S1992" i="4"/>
  <c r="U1992" i="4" s="1"/>
  <c r="S1993" i="4"/>
  <c r="U1993" i="4" s="1"/>
  <c r="S1994" i="4"/>
  <c r="U1994" i="4" s="1"/>
  <c r="S1995" i="4"/>
  <c r="U1995" i="4" s="1"/>
  <c r="S1996" i="4"/>
  <c r="U1996" i="4" s="1"/>
  <c r="S1997" i="4"/>
  <c r="U1997" i="4" s="1"/>
  <c r="S1998" i="4"/>
  <c r="U1998" i="4" s="1"/>
  <c r="S1999" i="4"/>
  <c r="U1999" i="4" s="1"/>
  <c r="S2000" i="4"/>
  <c r="U2000" i="4" s="1"/>
  <c r="S2001" i="4"/>
  <c r="U2001" i="4" s="1"/>
  <c r="S2002" i="4"/>
  <c r="U2002" i="4" s="1"/>
  <c r="S2003" i="4"/>
  <c r="U2003" i="4" s="1"/>
  <c r="S2004" i="4"/>
  <c r="U2004" i="4" s="1"/>
  <c r="S2005" i="4"/>
  <c r="U2005" i="4" s="1"/>
  <c r="S2006" i="4"/>
  <c r="U2006" i="4" s="1"/>
  <c r="S2007" i="4"/>
  <c r="U2007" i="4" s="1"/>
  <c r="S2008" i="4"/>
  <c r="U2008" i="4" s="1"/>
  <c r="S2009" i="4"/>
  <c r="U2009" i="4" s="1"/>
  <c r="S2010" i="4"/>
  <c r="U2010" i="4" s="1"/>
  <c r="S2011" i="4"/>
  <c r="U2011" i="4" s="1"/>
  <c r="S2012" i="4"/>
  <c r="U2012" i="4" s="1"/>
  <c r="S2013" i="4"/>
  <c r="U2013" i="4" s="1"/>
  <c r="S2014" i="4"/>
  <c r="U2014" i="4" s="1"/>
  <c r="S2015" i="4"/>
  <c r="U2015" i="4" s="1"/>
  <c r="S2016" i="4"/>
  <c r="U2016" i="4" s="1"/>
  <c r="S2017" i="4"/>
  <c r="U2017" i="4" s="1"/>
  <c r="S2018" i="4"/>
  <c r="U2018" i="4" s="1"/>
  <c r="S2019" i="4"/>
  <c r="U2019" i="4" s="1"/>
  <c r="S2020" i="4"/>
  <c r="U2020" i="4" s="1"/>
  <c r="S2021" i="4"/>
  <c r="U2021" i="4" s="1"/>
  <c r="S2022" i="4"/>
  <c r="U2022" i="4" s="1"/>
  <c r="S2023" i="4"/>
  <c r="U2023" i="4" s="1"/>
  <c r="S2024" i="4"/>
  <c r="U2024" i="4" s="1"/>
  <c r="S2025" i="4"/>
  <c r="U2025" i="4" s="1"/>
  <c r="S2026" i="4"/>
  <c r="U2026" i="4" s="1"/>
  <c r="S2027" i="4"/>
  <c r="U2027" i="4" s="1"/>
  <c r="S2028" i="4"/>
  <c r="U2028" i="4" s="1"/>
  <c r="S2029" i="4"/>
  <c r="U2029" i="4" s="1"/>
  <c r="S2030" i="4"/>
  <c r="U2030" i="4" s="1"/>
  <c r="S2031" i="4"/>
  <c r="U2031" i="4" s="1"/>
  <c r="S2032" i="4"/>
  <c r="U2032" i="4" s="1"/>
  <c r="S2033" i="4"/>
  <c r="U2033" i="4" s="1"/>
  <c r="S2034" i="4"/>
  <c r="U2034" i="4" s="1"/>
  <c r="S2035" i="4"/>
  <c r="U2035" i="4" s="1"/>
  <c r="S2036" i="4"/>
  <c r="U2036" i="4" s="1"/>
  <c r="S2037" i="4"/>
  <c r="U2037" i="4" s="1"/>
  <c r="S2038" i="4"/>
  <c r="U2038" i="4" s="1"/>
  <c r="S2039" i="4"/>
  <c r="U2039" i="4" s="1"/>
  <c r="S2040" i="4"/>
  <c r="U2040" i="4" s="1"/>
  <c r="S2041" i="4"/>
  <c r="U2041" i="4" s="1"/>
  <c r="S2042" i="4"/>
  <c r="U2042" i="4" s="1"/>
  <c r="S2043" i="4"/>
  <c r="U2043" i="4" s="1"/>
  <c r="S2044" i="4"/>
  <c r="U2044" i="4" s="1"/>
  <c r="S2045" i="4"/>
  <c r="U2045" i="4" s="1"/>
  <c r="S2046" i="4"/>
  <c r="U2046" i="4" s="1"/>
  <c r="S2047" i="4"/>
  <c r="U2047" i="4" s="1"/>
  <c r="S2048" i="4"/>
  <c r="U2048" i="4" s="1"/>
  <c r="S2049" i="4"/>
  <c r="U2049" i="4" s="1"/>
  <c r="S2050" i="4"/>
  <c r="U2050" i="4" s="1"/>
  <c r="S2051" i="4"/>
  <c r="U2051" i="4" s="1"/>
  <c r="S2052" i="4"/>
  <c r="U2052" i="4" s="1"/>
  <c r="S2053" i="4"/>
  <c r="U2053" i="4" s="1"/>
  <c r="S2054" i="4"/>
  <c r="U2054" i="4" s="1"/>
  <c r="S2055" i="4"/>
  <c r="U2055" i="4" s="1"/>
  <c r="S2056" i="4"/>
  <c r="U2056" i="4" s="1"/>
  <c r="S2057" i="4"/>
  <c r="U2057" i="4" s="1"/>
  <c r="S2058" i="4"/>
  <c r="U2058" i="4" s="1"/>
  <c r="S2059" i="4"/>
  <c r="U2059" i="4" s="1"/>
  <c r="S2060" i="4"/>
  <c r="U2060" i="4" s="1"/>
  <c r="S2061" i="4"/>
  <c r="U2061" i="4" s="1"/>
  <c r="S2062" i="4"/>
  <c r="U2062" i="4" s="1"/>
  <c r="S2063" i="4"/>
  <c r="U2063" i="4" s="1"/>
  <c r="S2064" i="4"/>
  <c r="U2064" i="4" s="1"/>
  <c r="S2065" i="4"/>
  <c r="U2065" i="4" s="1"/>
  <c r="S2066" i="4"/>
  <c r="U2066" i="4" s="1"/>
  <c r="S2067" i="4"/>
  <c r="U2067" i="4" s="1"/>
  <c r="S2068" i="4"/>
  <c r="U2068" i="4" s="1"/>
  <c r="S2069" i="4"/>
  <c r="U2069" i="4" s="1"/>
  <c r="S2070" i="4"/>
  <c r="U2070" i="4" s="1"/>
  <c r="S2071" i="4"/>
  <c r="U2071" i="4" s="1"/>
  <c r="S2072" i="4"/>
  <c r="U2072" i="4" s="1"/>
  <c r="S2073" i="4"/>
  <c r="U2073" i="4" s="1"/>
  <c r="S2074" i="4"/>
  <c r="U2074" i="4" s="1"/>
  <c r="S2075" i="4"/>
  <c r="U2075" i="4" s="1"/>
  <c r="S2076" i="4"/>
  <c r="U2076" i="4" s="1"/>
  <c r="S2077" i="4"/>
  <c r="U2077" i="4" s="1"/>
  <c r="S2078" i="4"/>
  <c r="U2078" i="4" s="1"/>
  <c r="S2079" i="4"/>
  <c r="U2079" i="4" s="1"/>
  <c r="S2080" i="4"/>
  <c r="U2080" i="4" s="1"/>
  <c r="S2081" i="4"/>
  <c r="U2081" i="4" s="1"/>
  <c r="S2082" i="4"/>
  <c r="U2082" i="4" s="1"/>
  <c r="S2083" i="4"/>
  <c r="U2083" i="4" s="1"/>
  <c r="S2084" i="4"/>
  <c r="U2084" i="4" s="1"/>
  <c r="S2085" i="4"/>
  <c r="U2085" i="4" s="1"/>
  <c r="S2086" i="4"/>
  <c r="U2086" i="4" s="1"/>
  <c r="S2087" i="4"/>
  <c r="U2087" i="4" s="1"/>
  <c r="S2088" i="4"/>
  <c r="U2088" i="4" s="1"/>
  <c r="S2089" i="4"/>
  <c r="U2089" i="4" s="1"/>
  <c r="S2090" i="4"/>
  <c r="U2090" i="4" s="1"/>
  <c r="S2091" i="4"/>
  <c r="U2091" i="4" s="1"/>
  <c r="S2092" i="4"/>
  <c r="U2092" i="4" s="1"/>
  <c r="S2093" i="4"/>
  <c r="U2093" i="4" s="1"/>
  <c r="S2094" i="4"/>
  <c r="U2094" i="4" s="1"/>
  <c r="S2095" i="4"/>
  <c r="U2095" i="4" s="1"/>
  <c r="S2096" i="4"/>
  <c r="U2096" i="4" s="1"/>
  <c r="S2097" i="4"/>
  <c r="U2097" i="4" s="1"/>
  <c r="S2098" i="4"/>
  <c r="U2098" i="4" s="1"/>
  <c r="S2099" i="4"/>
  <c r="U2099" i="4" s="1"/>
  <c r="S2100" i="4"/>
  <c r="U2100" i="4" s="1"/>
  <c r="S2101" i="4"/>
  <c r="U2101" i="4" s="1"/>
  <c r="S2102" i="4"/>
  <c r="U2102" i="4" s="1"/>
  <c r="S2103" i="4"/>
  <c r="U2103" i="4" s="1"/>
  <c r="S2104" i="4"/>
  <c r="U2104" i="4" s="1"/>
  <c r="S2105" i="4"/>
  <c r="U2105" i="4" s="1"/>
  <c r="S2106" i="4"/>
  <c r="U2106" i="4" s="1"/>
  <c r="S2107" i="4"/>
  <c r="U2107" i="4" s="1"/>
  <c r="S2108" i="4"/>
  <c r="U2108" i="4" s="1"/>
  <c r="S2109" i="4"/>
  <c r="U2109" i="4" s="1"/>
  <c r="S2110" i="4"/>
  <c r="U2110" i="4" s="1"/>
  <c r="S2111" i="4"/>
  <c r="U2111" i="4" s="1"/>
  <c r="S2112" i="4"/>
  <c r="U2112" i="4" s="1"/>
  <c r="S2113" i="4"/>
  <c r="U2113" i="4" s="1"/>
  <c r="S2114" i="4"/>
  <c r="U2114" i="4" s="1"/>
  <c r="S2115" i="4"/>
  <c r="U2115" i="4" s="1"/>
  <c r="S2116" i="4"/>
  <c r="U2116" i="4" s="1"/>
  <c r="S2117" i="4"/>
  <c r="U2117" i="4" s="1"/>
  <c r="S2118" i="4"/>
  <c r="U2118" i="4" s="1"/>
  <c r="S2119" i="4"/>
  <c r="U2119" i="4" s="1"/>
  <c r="S2120" i="4"/>
  <c r="U2120" i="4" s="1"/>
  <c r="S2121" i="4"/>
  <c r="U2121" i="4" s="1"/>
  <c r="S2122" i="4"/>
  <c r="U2122" i="4" s="1"/>
  <c r="S2123" i="4"/>
  <c r="U2123" i="4" s="1"/>
  <c r="S2124" i="4"/>
  <c r="U2124" i="4" s="1"/>
  <c r="S2125" i="4"/>
  <c r="U2125" i="4" s="1"/>
  <c r="S2126" i="4"/>
  <c r="U2126" i="4" s="1"/>
  <c r="S2127" i="4"/>
  <c r="U2127" i="4" s="1"/>
  <c r="S2128" i="4"/>
  <c r="U2128" i="4" s="1"/>
  <c r="S2129" i="4"/>
  <c r="U2129" i="4" s="1"/>
  <c r="S2130" i="4"/>
  <c r="U2130" i="4" s="1"/>
  <c r="S2131" i="4"/>
  <c r="U2131" i="4" s="1"/>
  <c r="S2132" i="4"/>
  <c r="U2132" i="4" s="1"/>
  <c r="S2133" i="4"/>
  <c r="U2133" i="4" s="1"/>
  <c r="S2134" i="4"/>
  <c r="U2134" i="4" s="1"/>
  <c r="S2135" i="4"/>
  <c r="U2135" i="4" s="1"/>
  <c r="S2136" i="4"/>
  <c r="U2136" i="4" s="1"/>
  <c r="S2137" i="4"/>
  <c r="U2137" i="4" s="1"/>
  <c r="S2138" i="4"/>
  <c r="U2138" i="4" s="1"/>
  <c r="S2139" i="4"/>
  <c r="U2139" i="4" s="1"/>
  <c r="S2140" i="4"/>
  <c r="U2140" i="4" s="1"/>
  <c r="S2141" i="4"/>
  <c r="U2141" i="4" s="1"/>
  <c r="S2142" i="4"/>
  <c r="U2142" i="4" s="1"/>
  <c r="S2143" i="4"/>
  <c r="U2143" i="4" s="1"/>
  <c r="S2144" i="4"/>
  <c r="U2144" i="4" s="1"/>
  <c r="S2145" i="4"/>
  <c r="U2145" i="4" s="1"/>
  <c r="S2146" i="4"/>
  <c r="U2146" i="4" s="1"/>
  <c r="S2147" i="4"/>
  <c r="U2147" i="4" s="1"/>
  <c r="S2148" i="4"/>
  <c r="U2148" i="4" s="1"/>
  <c r="S2149" i="4"/>
  <c r="U2149" i="4" s="1"/>
  <c r="S2150" i="4"/>
  <c r="U2150" i="4" s="1"/>
  <c r="S2151" i="4"/>
  <c r="U2151" i="4" s="1"/>
  <c r="S2152" i="4"/>
  <c r="U2152" i="4" s="1"/>
  <c r="S2153" i="4"/>
  <c r="U2153" i="4" s="1"/>
  <c r="S2154" i="4"/>
  <c r="U2154" i="4" s="1"/>
  <c r="S2155" i="4"/>
  <c r="U2155" i="4" s="1"/>
  <c r="S2156" i="4"/>
  <c r="U2156" i="4" s="1"/>
  <c r="S2157" i="4"/>
  <c r="U2157" i="4" s="1"/>
  <c r="S2158" i="4"/>
  <c r="U2158" i="4" s="1"/>
  <c r="S2159" i="4"/>
  <c r="U2159" i="4" s="1"/>
  <c r="S2160" i="4"/>
  <c r="U2160" i="4" s="1"/>
  <c r="S2161" i="4"/>
  <c r="U2161" i="4" s="1"/>
  <c r="S2162" i="4"/>
  <c r="U2162" i="4" s="1"/>
  <c r="S2163" i="4"/>
  <c r="U2163" i="4" s="1"/>
  <c r="S2164" i="4"/>
  <c r="U2164" i="4" s="1"/>
  <c r="S2165" i="4"/>
  <c r="U2165" i="4" s="1"/>
  <c r="S2166" i="4"/>
  <c r="U2166" i="4" s="1"/>
  <c r="S2167" i="4"/>
  <c r="U2167" i="4" s="1"/>
  <c r="S2168" i="4"/>
  <c r="U2168" i="4" s="1"/>
  <c r="S2169" i="4"/>
  <c r="U2169" i="4" s="1"/>
  <c r="S2170" i="4"/>
  <c r="U2170" i="4" s="1"/>
  <c r="S2171" i="4"/>
  <c r="U2171" i="4" s="1"/>
  <c r="S2172" i="4"/>
  <c r="U2172" i="4" s="1"/>
  <c r="S2173" i="4"/>
  <c r="U2173" i="4" s="1"/>
  <c r="S2174" i="4"/>
  <c r="U2174" i="4" s="1"/>
  <c r="S2175" i="4"/>
  <c r="U2175" i="4" s="1"/>
  <c r="S2176" i="4"/>
  <c r="U2176" i="4" s="1"/>
  <c r="S2177" i="4"/>
  <c r="U2177" i="4" s="1"/>
  <c r="S2178" i="4"/>
  <c r="U2178" i="4" s="1"/>
  <c r="S2179" i="4"/>
  <c r="U2179" i="4" s="1"/>
  <c r="S2180" i="4"/>
  <c r="U2180" i="4" s="1"/>
  <c r="S2181" i="4"/>
  <c r="U2181" i="4" s="1"/>
  <c r="S2182" i="4"/>
  <c r="U2182" i="4" s="1"/>
  <c r="S2183" i="4"/>
  <c r="U2183" i="4" s="1"/>
  <c r="S2184" i="4"/>
  <c r="U2184" i="4" s="1"/>
  <c r="S2185" i="4"/>
  <c r="U2185" i="4" s="1"/>
  <c r="S2186" i="4"/>
  <c r="U2186" i="4" s="1"/>
  <c r="S2187" i="4"/>
  <c r="U2187" i="4" s="1"/>
  <c r="S2188" i="4"/>
  <c r="U2188" i="4" s="1"/>
  <c r="S2189" i="4"/>
  <c r="U2189" i="4" s="1"/>
  <c r="S2190" i="4"/>
  <c r="U2190" i="4" s="1"/>
  <c r="S2191" i="4"/>
  <c r="U2191" i="4" s="1"/>
  <c r="S2192" i="4"/>
  <c r="U2192" i="4" s="1"/>
  <c r="S2193" i="4"/>
  <c r="U2193" i="4" s="1"/>
  <c r="S2194" i="4"/>
  <c r="U2194" i="4" s="1"/>
  <c r="S2195" i="4"/>
  <c r="U2195" i="4" s="1"/>
  <c r="S2196" i="4"/>
  <c r="U2196" i="4" s="1"/>
  <c r="S2197" i="4"/>
  <c r="U2197" i="4" s="1"/>
  <c r="S2198" i="4"/>
  <c r="U2198" i="4" s="1"/>
  <c r="S2199" i="4"/>
  <c r="U2199" i="4" s="1"/>
  <c r="S2200" i="4"/>
  <c r="U2200" i="4" s="1"/>
  <c r="S2201" i="4"/>
  <c r="U2201" i="4" s="1"/>
  <c r="S2202" i="4"/>
  <c r="U2202" i="4" s="1"/>
  <c r="S2203" i="4"/>
  <c r="U2203" i="4" s="1"/>
  <c r="S2204" i="4"/>
  <c r="U2204" i="4" s="1"/>
  <c r="S2205" i="4"/>
  <c r="U2205" i="4" s="1"/>
  <c r="S2206" i="4"/>
  <c r="U2206" i="4" s="1"/>
  <c r="S2207" i="4"/>
  <c r="U2207" i="4" s="1"/>
  <c r="S2208" i="4"/>
  <c r="U2208" i="4" s="1"/>
  <c r="S2209" i="4"/>
  <c r="U2209" i="4" s="1"/>
  <c r="S2210" i="4"/>
  <c r="U2210" i="4" s="1"/>
  <c r="S2211" i="4"/>
  <c r="U2211" i="4" s="1"/>
  <c r="S2212" i="4"/>
  <c r="U2212" i="4" s="1"/>
  <c r="S2213" i="4"/>
  <c r="U2213" i="4" s="1"/>
  <c r="S2214" i="4"/>
  <c r="U2214" i="4" s="1"/>
  <c r="S2215" i="4"/>
  <c r="U2215" i="4" s="1"/>
  <c r="S2216" i="4"/>
  <c r="U2216" i="4" s="1"/>
  <c r="S2217" i="4"/>
  <c r="U2217" i="4" s="1"/>
  <c r="S2218" i="4"/>
  <c r="U2218" i="4" s="1"/>
  <c r="S2219" i="4"/>
  <c r="U2219" i="4" s="1"/>
  <c r="S2220" i="4"/>
  <c r="U2220" i="4" s="1"/>
  <c r="S2221" i="4"/>
  <c r="U2221" i="4" s="1"/>
  <c r="S2222" i="4"/>
  <c r="U2222" i="4" s="1"/>
  <c r="S2223" i="4"/>
  <c r="U2223" i="4" s="1"/>
  <c r="S2224" i="4"/>
  <c r="U2224" i="4" s="1"/>
  <c r="S2225" i="4"/>
  <c r="U2225" i="4" s="1"/>
  <c r="S2226" i="4"/>
  <c r="U2226" i="4" s="1"/>
  <c r="S2227" i="4"/>
  <c r="U2227" i="4" s="1"/>
  <c r="S2228" i="4"/>
  <c r="U2228" i="4" s="1"/>
  <c r="S2229" i="4"/>
  <c r="U2229" i="4" s="1"/>
  <c r="S2230" i="4"/>
  <c r="U2230" i="4" s="1"/>
  <c r="S2231" i="4"/>
  <c r="U2231" i="4" s="1"/>
  <c r="S2232" i="4"/>
  <c r="U2232" i="4" s="1"/>
  <c r="S2233" i="4"/>
  <c r="U2233" i="4" s="1"/>
  <c r="S2234" i="4"/>
  <c r="U2234" i="4" s="1"/>
  <c r="S2235" i="4"/>
  <c r="U2235" i="4" s="1"/>
  <c r="S2236" i="4"/>
  <c r="U2236" i="4" s="1"/>
  <c r="S2237" i="4"/>
  <c r="U2237" i="4" s="1"/>
  <c r="S2238" i="4"/>
  <c r="U2238" i="4" s="1"/>
  <c r="S2239" i="4"/>
  <c r="U2239" i="4" s="1"/>
  <c r="S2240" i="4"/>
  <c r="U2240" i="4" s="1"/>
  <c r="S2241" i="4"/>
  <c r="U2241" i="4" s="1"/>
  <c r="S2242" i="4"/>
  <c r="U2242" i="4" s="1"/>
  <c r="S2243" i="4"/>
  <c r="U2243" i="4" s="1"/>
  <c r="S2244" i="4"/>
  <c r="U2244" i="4" s="1"/>
  <c r="S2245" i="4"/>
  <c r="U2245" i="4" s="1"/>
  <c r="S2246" i="4"/>
  <c r="U2246" i="4" s="1"/>
  <c r="S2247" i="4"/>
  <c r="U2247" i="4" s="1"/>
  <c r="S2248" i="4"/>
  <c r="U2248" i="4" s="1"/>
  <c r="S2249" i="4"/>
  <c r="U2249" i="4" s="1"/>
  <c r="S2250" i="4"/>
  <c r="U2250" i="4" s="1"/>
  <c r="S2251" i="4"/>
  <c r="U2251" i="4" s="1"/>
  <c r="S2252" i="4"/>
  <c r="U2252" i="4" s="1"/>
  <c r="S2253" i="4"/>
  <c r="U2253" i="4" s="1"/>
  <c r="S2254" i="4"/>
  <c r="U2254" i="4" s="1"/>
  <c r="S2255" i="4"/>
  <c r="U2255" i="4" s="1"/>
  <c r="S2256" i="4"/>
  <c r="U2256" i="4" s="1"/>
  <c r="S2257" i="4"/>
  <c r="U2257" i="4" s="1"/>
  <c r="S2258" i="4"/>
  <c r="U2258" i="4" s="1"/>
  <c r="S2259" i="4"/>
  <c r="U2259" i="4" s="1"/>
  <c r="S2260" i="4"/>
  <c r="U2260" i="4" s="1"/>
  <c r="S2261" i="4"/>
  <c r="U2261" i="4" s="1"/>
  <c r="S2262" i="4"/>
  <c r="U2262" i="4" s="1"/>
  <c r="S2263" i="4"/>
  <c r="U2263" i="4" s="1"/>
  <c r="S2264" i="4"/>
  <c r="U2264" i="4" s="1"/>
  <c r="S2265" i="4"/>
  <c r="U2265" i="4" s="1"/>
  <c r="S2266" i="4"/>
  <c r="U2266" i="4" s="1"/>
  <c r="S2267" i="4"/>
  <c r="U2267" i="4" s="1"/>
  <c r="S2268" i="4"/>
  <c r="U2268" i="4" s="1"/>
  <c r="S2269" i="4"/>
  <c r="U2269" i="4" s="1"/>
  <c r="S2270" i="4"/>
  <c r="U2270" i="4" s="1"/>
  <c r="S2271" i="4"/>
  <c r="U2271" i="4" s="1"/>
  <c r="S2272" i="4"/>
  <c r="U2272" i="4" s="1"/>
  <c r="S2273" i="4"/>
  <c r="U2273" i="4" s="1"/>
  <c r="S2274" i="4"/>
  <c r="U2274" i="4" s="1"/>
  <c r="S2275" i="4"/>
  <c r="U2275" i="4" s="1"/>
  <c r="S2276" i="4"/>
  <c r="U2276" i="4" s="1"/>
  <c r="S2277" i="4"/>
  <c r="U2277" i="4" s="1"/>
  <c r="S2278" i="4"/>
  <c r="U2278" i="4" s="1"/>
  <c r="S2279" i="4"/>
  <c r="U2279" i="4" s="1"/>
  <c r="S2280" i="4"/>
  <c r="U2280" i="4" s="1"/>
  <c r="S2281" i="4"/>
  <c r="U2281" i="4" s="1"/>
  <c r="S2282" i="4"/>
  <c r="U2282" i="4" s="1"/>
  <c r="S2283" i="4"/>
  <c r="U2283" i="4" s="1"/>
  <c r="S2284" i="4"/>
  <c r="U2284" i="4" s="1"/>
  <c r="S2285" i="4"/>
  <c r="U2285" i="4" s="1"/>
  <c r="S2286" i="4"/>
  <c r="U2286" i="4" s="1"/>
  <c r="S2287" i="4"/>
  <c r="U2287" i="4" s="1"/>
  <c r="S2288" i="4"/>
  <c r="U2288" i="4" s="1"/>
  <c r="S2289" i="4"/>
  <c r="U2289" i="4" s="1"/>
  <c r="S2290" i="4"/>
  <c r="U2290" i="4" s="1"/>
  <c r="S2291" i="4"/>
  <c r="U2291" i="4" s="1"/>
  <c r="S2292" i="4"/>
  <c r="U2292" i="4" s="1"/>
  <c r="S2293" i="4"/>
  <c r="U2293" i="4" s="1"/>
  <c r="S2294" i="4"/>
  <c r="U2294" i="4" s="1"/>
  <c r="S2295" i="4"/>
  <c r="U2295" i="4" s="1"/>
  <c r="S2296" i="4"/>
  <c r="U2296" i="4" s="1"/>
  <c r="S2297" i="4"/>
  <c r="U2297" i="4" s="1"/>
  <c r="S2298" i="4"/>
  <c r="U2298" i="4" s="1"/>
  <c r="S2299" i="4"/>
  <c r="U2299" i="4" s="1"/>
  <c r="S2300" i="4"/>
  <c r="U2300" i="4" s="1"/>
  <c r="S2301" i="4"/>
  <c r="U2301" i="4" s="1"/>
  <c r="S2302" i="4"/>
  <c r="U2302" i="4" s="1"/>
  <c r="S2303" i="4"/>
  <c r="U2303" i="4" s="1"/>
  <c r="S2304" i="4"/>
  <c r="U2304" i="4" s="1"/>
  <c r="S2305" i="4"/>
  <c r="U2305" i="4" s="1"/>
  <c r="S2306" i="4"/>
  <c r="U2306" i="4" s="1"/>
  <c r="S2307" i="4"/>
  <c r="U2307" i="4" s="1"/>
  <c r="S2308" i="4"/>
  <c r="U2308" i="4" s="1"/>
  <c r="S2309" i="4"/>
  <c r="U2309" i="4" s="1"/>
  <c r="S2310" i="4"/>
  <c r="U2310" i="4" s="1"/>
  <c r="S2311" i="4"/>
  <c r="U2311" i="4" s="1"/>
  <c r="S2312" i="4"/>
  <c r="U2312" i="4" s="1"/>
  <c r="S2313" i="4"/>
  <c r="U2313" i="4" s="1"/>
  <c r="S2314" i="4"/>
  <c r="U2314" i="4" s="1"/>
  <c r="S2315" i="4"/>
  <c r="U2315" i="4" s="1"/>
  <c r="S2316" i="4"/>
  <c r="U2316" i="4" s="1"/>
  <c r="S2317" i="4"/>
  <c r="U2317" i="4" s="1"/>
  <c r="S2318" i="4"/>
  <c r="U2318" i="4" s="1"/>
  <c r="S2319" i="4"/>
  <c r="U2319" i="4" s="1"/>
  <c r="S2320" i="4"/>
  <c r="U2320" i="4" s="1"/>
  <c r="S2321" i="4"/>
  <c r="U2321" i="4" s="1"/>
  <c r="S2322" i="4"/>
  <c r="U2322" i="4" s="1"/>
  <c r="S2323" i="4"/>
  <c r="U2323" i="4" s="1"/>
  <c r="S2324" i="4"/>
  <c r="U2324" i="4" s="1"/>
  <c r="S2325" i="4"/>
  <c r="U2325" i="4" s="1"/>
  <c r="S2326" i="4"/>
  <c r="U2326" i="4" s="1"/>
  <c r="S2327" i="4"/>
  <c r="U2327" i="4" s="1"/>
  <c r="S2328" i="4"/>
  <c r="U2328" i="4" s="1"/>
  <c r="S2329" i="4"/>
  <c r="U2329" i="4" s="1"/>
  <c r="S2330" i="4"/>
  <c r="U2330" i="4" s="1"/>
  <c r="S2331" i="4"/>
  <c r="U2331" i="4" s="1"/>
  <c r="S2332" i="4"/>
  <c r="U2332" i="4" s="1"/>
  <c r="S2333" i="4"/>
  <c r="U2333" i="4" s="1"/>
  <c r="S2334" i="4"/>
  <c r="U2334" i="4" s="1"/>
  <c r="S2335" i="4"/>
  <c r="U2335" i="4" s="1"/>
  <c r="S2336" i="4"/>
  <c r="U2336" i="4" s="1"/>
  <c r="S2337" i="4"/>
  <c r="U2337" i="4" s="1"/>
  <c r="S2338" i="4"/>
  <c r="U2338" i="4" s="1"/>
  <c r="S2339" i="4"/>
  <c r="U2339" i="4" s="1"/>
  <c r="S2340" i="4"/>
  <c r="U2340" i="4" s="1"/>
  <c r="S2341" i="4"/>
  <c r="U2341" i="4" s="1"/>
  <c r="S2342" i="4"/>
  <c r="U2342" i="4" s="1"/>
  <c r="S2343" i="4"/>
  <c r="U2343" i="4" s="1"/>
  <c r="S2344" i="4"/>
  <c r="U2344" i="4" s="1"/>
  <c r="S2345" i="4"/>
  <c r="U2345" i="4" s="1"/>
  <c r="S2346" i="4"/>
  <c r="U2346" i="4" s="1"/>
  <c r="S2347" i="4"/>
  <c r="U2347" i="4" s="1"/>
  <c r="S2348" i="4"/>
  <c r="U2348" i="4" s="1"/>
  <c r="S2349" i="4"/>
  <c r="U2349" i="4" s="1"/>
  <c r="S2350" i="4"/>
  <c r="U2350" i="4" s="1"/>
  <c r="S2351" i="4"/>
  <c r="U2351" i="4" s="1"/>
  <c r="S2352" i="4"/>
  <c r="U2352" i="4" s="1"/>
  <c r="S2353" i="4"/>
  <c r="U2353" i="4" s="1"/>
  <c r="S2354" i="4"/>
  <c r="U2354" i="4" s="1"/>
  <c r="S2355" i="4"/>
  <c r="U2355" i="4" s="1"/>
  <c r="S2356" i="4"/>
  <c r="U2356" i="4" s="1"/>
  <c r="S2357" i="4"/>
  <c r="U2357" i="4" s="1"/>
  <c r="S2358" i="4"/>
  <c r="U2358" i="4" s="1"/>
  <c r="S2359" i="4"/>
  <c r="U2359" i="4" s="1"/>
  <c r="S2360" i="4"/>
  <c r="U2360" i="4" s="1"/>
  <c r="S2361" i="4"/>
  <c r="U2361" i="4" s="1"/>
  <c r="S2362" i="4"/>
  <c r="U2362" i="4" s="1"/>
  <c r="S2363" i="4"/>
  <c r="U2363" i="4" s="1"/>
  <c r="S2364" i="4"/>
  <c r="U2364" i="4" s="1"/>
  <c r="S2365" i="4"/>
  <c r="U2365" i="4" s="1"/>
  <c r="S2366" i="4"/>
  <c r="U2366" i="4" s="1"/>
  <c r="S2367" i="4"/>
  <c r="U2367" i="4" s="1"/>
  <c r="S2368" i="4"/>
  <c r="U2368" i="4" s="1"/>
  <c r="S2369" i="4"/>
  <c r="U2369" i="4" s="1"/>
  <c r="S2370" i="4"/>
  <c r="U2370" i="4" s="1"/>
  <c r="S2371" i="4"/>
  <c r="U2371" i="4" s="1"/>
  <c r="S2372" i="4"/>
  <c r="U2372" i="4" s="1"/>
  <c r="S2373" i="4"/>
  <c r="U2373" i="4" s="1"/>
  <c r="S2374" i="4"/>
  <c r="U2374" i="4" s="1"/>
  <c r="S2375" i="4"/>
  <c r="U2375" i="4" s="1"/>
  <c r="S2376" i="4"/>
  <c r="U2376" i="4" s="1"/>
  <c r="S2377" i="4"/>
  <c r="U2377" i="4" s="1"/>
  <c r="S2378" i="4"/>
  <c r="U2378" i="4" s="1"/>
  <c r="S2379" i="4"/>
  <c r="U2379" i="4" s="1"/>
  <c r="S2380" i="4"/>
  <c r="U2380" i="4" s="1"/>
  <c r="S2381" i="4"/>
  <c r="U2381" i="4" s="1"/>
  <c r="S2382" i="4"/>
  <c r="U2382" i="4" s="1"/>
  <c r="S2383" i="4"/>
  <c r="U2383" i="4" s="1"/>
  <c r="S2384" i="4"/>
  <c r="U2384" i="4" s="1"/>
  <c r="S2385" i="4"/>
  <c r="U2385" i="4" s="1"/>
  <c r="S2386" i="4"/>
  <c r="U2386" i="4" s="1"/>
  <c r="S2387" i="4"/>
  <c r="U2387" i="4" s="1"/>
  <c r="S2388" i="4"/>
  <c r="U2388" i="4" s="1"/>
  <c r="S2389" i="4"/>
  <c r="U2389" i="4" s="1"/>
  <c r="S2390" i="4"/>
  <c r="U2390" i="4" s="1"/>
  <c r="S2391" i="4"/>
  <c r="U2391" i="4" s="1"/>
  <c r="S2392" i="4"/>
  <c r="U2392" i="4" s="1"/>
  <c r="S2393" i="4"/>
  <c r="U2393" i="4" s="1"/>
  <c r="S2394" i="4"/>
  <c r="U2394" i="4" s="1"/>
  <c r="S2395" i="4"/>
  <c r="U2395" i="4" s="1"/>
  <c r="S2396" i="4"/>
  <c r="U2396" i="4" s="1"/>
  <c r="S2397" i="4"/>
  <c r="U2397" i="4" s="1"/>
  <c r="S2398" i="4"/>
  <c r="U2398" i="4" s="1"/>
  <c r="S2399" i="4"/>
  <c r="U2399" i="4" s="1"/>
  <c r="S2400" i="4"/>
  <c r="U2400" i="4" s="1"/>
  <c r="S2401" i="4"/>
  <c r="U2401" i="4" s="1"/>
  <c r="S2402" i="4"/>
  <c r="U2402" i="4" s="1"/>
  <c r="S2403" i="4"/>
  <c r="U2403" i="4" s="1"/>
  <c r="S2404" i="4"/>
  <c r="U2404" i="4" s="1"/>
  <c r="S2405" i="4"/>
  <c r="U2405" i="4" s="1"/>
  <c r="S2406" i="4"/>
  <c r="U2406" i="4" s="1"/>
  <c r="S2407" i="4"/>
  <c r="U2407" i="4" s="1"/>
  <c r="S2408" i="4"/>
  <c r="U2408" i="4" s="1"/>
  <c r="S2409" i="4"/>
  <c r="U2409" i="4" s="1"/>
  <c r="S2410" i="4"/>
  <c r="U2410" i="4" s="1"/>
  <c r="S2411" i="4"/>
  <c r="U2411" i="4" s="1"/>
  <c r="S2412" i="4"/>
  <c r="U2412" i="4" s="1"/>
  <c r="S2413" i="4"/>
  <c r="U2413" i="4" s="1"/>
  <c r="S2414" i="4"/>
  <c r="U2414" i="4" s="1"/>
  <c r="S2415" i="4"/>
  <c r="U2415" i="4" s="1"/>
  <c r="S2416" i="4"/>
  <c r="U2416" i="4" s="1"/>
  <c r="S2417" i="4"/>
  <c r="U2417" i="4" s="1"/>
  <c r="S2418" i="4"/>
  <c r="U2418" i="4" s="1"/>
  <c r="S2419" i="4"/>
  <c r="U2419" i="4" s="1"/>
  <c r="S2420" i="4"/>
  <c r="U2420" i="4" s="1"/>
  <c r="S2421" i="4"/>
  <c r="U2421" i="4" s="1"/>
  <c r="S2422" i="4"/>
  <c r="U2422" i="4" s="1"/>
  <c r="S2423" i="4"/>
  <c r="U2423" i="4" s="1"/>
  <c r="S2424" i="4"/>
  <c r="U2424" i="4" s="1"/>
  <c r="S2425" i="4"/>
  <c r="U2425" i="4" s="1"/>
  <c r="S2426" i="4"/>
  <c r="U2426" i="4" s="1"/>
  <c r="S2427" i="4"/>
  <c r="U2427" i="4" s="1"/>
  <c r="S2428" i="4"/>
  <c r="U2428" i="4" s="1"/>
  <c r="S2429" i="4"/>
  <c r="U2429" i="4" s="1"/>
  <c r="S2430" i="4"/>
  <c r="U2430" i="4" s="1"/>
  <c r="S2431" i="4"/>
  <c r="U2431" i="4" s="1"/>
  <c r="S2432" i="4"/>
  <c r="U2432" i="4" s="1"/>
  <c r="S2433" i="4"/>
  <c r="U2433" i="4" s="1"/>
  <c r="S2434" i="4"/>
  <c r="U2434" i="4" s="1"/>
  <c r="S2435" i="4"/>
  <c r="U2435" i="4" s="1"/>
  <c r="S2436" i="4"/>
  <c r="U2436" i="4" s="1"/>
  <c r="S2437" i="4"/>
  <c r="U2437" i="4" s="1"/>
  <c r="S2438" i="4"/>
  <c r="U2438" i="4" s="1"/>
  <c r="S2439" i="4"/>
  <c r="U2439" i="4" s="1"/>
  <c r="S2440" i="4"/>
  <c r="U2440" i="4" s="1"/>
  <c r="S2441" i="4"/>
  <c r="U2441" i="4" s="1"/>
  <c r="S2442" i="4"/>
  <c r="U2442" i="4" s="1"/>
  <c r="S2443" i="4"/>
  <c r="U2443" i="4" s="1"/>
  <c r="S2444" i="4"/>
  <c r="U2444" i="4" s="1"/>
  <c r="S2445" i="4"/>
  <c r="U2445" i="4" s="1"/>
  <c r="S2446" i="4"/>
  <c r="U2446" i="4" s="1"/>
  <c r="S2447" i="4"/>
  <c r="U2447" i="4" s="1"/>
  <c r="S2448" i="4"/>
  <c r="U2448" i="4" s="1"/>
  <c r="S2449" i="4"/>
  <c r="U2449" i="4" s="1"/>
  <c r="S2450" i="4"/>
  <c r="U2450" i="4" s="1"/>
  <c r="S2451" i="4"/>
  <c r="U2451" i="4" s="1"/>
  <c r="S2452" i="4"/>
  <c r="U2452" i="4" s="1"/>
  <c r="S2453" i="4"/>
  <c r="U2453" i="4" s="1"/>
  <c r="S2454" i="4"/>
  <c r="U2454" i="4" s="1"/>
  <c r="S2455" i="4"/>
  <c r="U2455" i="4" s="1"/>
  <c r="S2456" i="4"/>
  <c r="U2456" i="4" s="1"/>
  <c r="S2457" i="4"/>
  <c r="U2457" i="4" s="1"/>
  <c r="S2458" i="4"/>
  <c r="U2458" i="4" s="1"/>
  <c r="S2459" i="4"/>
  <c r="U2459" i="4" s="1"/>
  <c r="S2460" i="4"/>
  <c r="U2460" i="4" s="1"/>
  <c r="S2461" i="4"/>
  <c r="U2461" i="4" s="1"/>
  <c r="S2462" i="4"/>
  <c r="U2462" i="4" s="1"/>
  <c r="S2463" i="4"/>
  <c r="U2463" i="4" s="1"/>
  <c r="S2464" i="4"/>
  <c r="U2464" i="4" s="1"/>
  <c r="S2465" i="4"/>
  <c r="U2465" i="4" s="1"/>
  <c r="S2466" i="4"/>
  <c r="U2466" i="4" s="1"/>
  <c r="S2467" i="4"/>
  <c r="U2467" i="4" s="1"/>
  <c r="S2468" i="4"/>
  <c r="U2468" i="4" s="1"/>
  <c r="S2469" i="4"/>
  <c r="U2469" i="4" s="1"/>
  <c r="S2470" i="4"/>
  <c r="U2470" i="4" s="1"/>
  <c r="S2471" i="4"/>
  <c r="U2471" i="4" s="1"/>
  <c r="S2472" i="4"/>
  <c r="U2472" i="4" s="1"/>
  <c r="S2473" i="4"/>
  <c r="U2473" i="4" s="1"/>
  <c r="S2474" i="4"/>
  <c r="U2474" i="4" s="1"/>
  <c r="S2475" i="4"/>
  <c r="U2475" i="4" s="1"/>
  <c r="S2476" i="4"/>
  <c r="U2476" i="4" s="1"/>
  <c r="S2477" i="4"/>
  <c r="U2477" i="4" s="1"/>
  <c r="S2478" i="4"/>
  <c r="U2478" i="4" s="1"/>
  <c r="S2479" i="4"/>
  <c r="U2479" i="4" s="1"/>
  <c r="S2480" i="4"/>
  <c r="U2480" i="4" s="1"/>
  <c r="S2481" i="4"/>
  <c r="U2481" i="4" s="1"/>
  <c r="S2482" i="4"/>
  <c r="U2482" i="4" s="1"/>
  <c r="S2483" i="4"/>
  <c r="U2483" i="4" s="1"/>
  <c r="S2484" i="4"/>
  <c r="U2484" i="4" s="1"/>
  <c r="S2485" i="4"/>
  <c r="U2485" i="4" s="1"/>
  <c r="S2486" i="4"/>
  <c r="U2486" i="4" s="1"/>
  <c r="S2487" i="4"/>
  <c r="U2487" i="4" s="1"/>
  <c r="S2488" i="4"/>
  <c r="U2488" i="4" s="1"/>
  <c r="S2489" i="4"/>
  <c r="U2489" i="4" s="1"/>
  <c r="S2490" i="4"/>
  <c r="U2490" i="4" s="1"/>
  <c r="S2491" i="4"/>
  <c r="U2491" i="4" s="1"/>
  <c r="S2492" i="4"/>
  <c r="U2492" i="4" s="1"/>
  <c r="S2493" i="4"/>
  <c r="U2493" i="4" s="1"/>
  <c r="S2494" i="4"/>
  <c r="U2494" i="4" s="1"/>
  <c r="S2495" i="4"/>
  <c r="U2495" i="4" s="1"/>
  <c r="S2496" i="4"/>
  <c r="U2496" i="4" s="1"/>
  <c r="S2497" i="4"/>
  <c r="U2497" i="4" s="1"/>
  <c r="S2498" i="4"/>
  <c r="U2498" i="4" s="1"/>
  <c r="S2499" i="4"/>
  <c r="U2499" i="4" s="1"/>
  <c r="S2500" i="4"/>
  <c r="U2500" i="4" s="1"/>
  <c r="S2501" i="4"/>
  <c r="U2501" i="4" s="1"/>
  <c r="S2502" i="4"/>
  <c r="U2502" i="4" s="1"/>
  <c r="S2503" i="4"/>
  <c r="U2503" i="4" s="1"/>
  <c r="S2504" i="4"/>
  <c r="U2504" i="4" s="1"/>
  <c r="S2505" i="4"/>
  <c r="U2505" i="4" s="1"/>
  <c r="S2506" i="4"/>
  <c r="U2506" i="4" s="1"/>
  <c r="S2507" i="4"/>
  <c r="U2507" i="4" s="1"/>
  <c r="S2508" i="4"/>
  <c r="U2508" i="4" s="1"/>
  <c r="S2509" i="4"/>
  <c r="U2509" i="4" s="1"/>
  <c r="S2510" i="4"/>
  <c r="U2510" i="4" s="1"/>
  <c r="S2511" i="4"/>
  <c r="U2511" i="4" s="1"/>
  <c r="S2512" i="4"/>
  <c r="U2512" i="4" s="1"/>
  <c r="S2513" i="4"/>
  <c r="U2513" i="4" s="1"/>
  <c r="S2514" i="4"/>
  <c r="U2514" i="4" s="1"/>
  <c r="S2515" i="4"/>
  <c r="U2515" i="4" s="1"/>
  <c r="S2516" i="4"/>
  <c r="U2516" i="4" s="1"/>
  <c r="S2517" i="4"/>
  <c r="U2517" i="4" s="1"/>
  <c r="S2518" i="4"/>
  <c r="U2518" i="4" s="1"/>
  <c r="S2519" i="4"/>
  <c r="U2519" i="4" s="1"/>
  <c r="S2520" i="4"/>
  <c r="U2520" i="4" s="1"/>
  <c r="S2521" i="4"/>
  <c r="U2521" i="4" s="1"/>
  <c r="S2522" i="4"/>
  <c r="U2522" i="4" s="1"/>
  <c r="S2523" i="4"/>
  <c r="U2523" i="4" s="1"/>
  <c r="S2524" i="4"/>
  <c r="U2524" i="4" s="1"/>
  <c r="S2525" i="4"/>
  <c r="U2525" i="4" s="1"/>
  <c r="S2526" i="4"/>
  <c r="U2526" i="4" s="1"/>
  <c r="S2527" i="4"/>
  <c r="U2527" i="4" s="1"/>
  <c r="S2528" i="4"/>
  <c r="U2528" i="4" s="1"/>
  <c r="S2529" i="4"/>
  <c r="U2529" i="4" s="1"/>
  <c r="S2530" i="4"/>
  <c r="U2530" i="4" s="1"/>
  <c r="S2531" i="4"/>
  <c r="U2531" i="4" s="1"/>
  <c r="S2532" i="4"/>
  <c r="U2532" i="4" s="1"/>
  <c r="S2533" i="4"/>
  <c r="U2533" i="4" s="1"/>
  <c r="S2534" i="4"/>
  <c r="U2534" i="4" s="1"/>
  <c r="S2535" i="4"/>
  <c r="U2535" i="4" s="1"/>
  <c r="S2536" i="4"/>
  <c r="U2536" i="4" s="1"/>
  <c r="S2537" i="4"/>
  <c r="U2537" i="4" s="1"/>
  <c r="S2538" i="4"/>
  <c r="U2538" i="4" s="1"/>
  <c r="S2539" i="4"/>
  <c r="U2539" i="4" s="1"/>
  <c r="S2540" i="4"/>
  <c r="U2540" i="4" s="1"/>
  <c r="S2541" i="4"/>
  <c r="U2541" i="4" s="1"/>
  <c r="S2542" i="4"/>
  <c r="U2542" i="4" s="1"/>
  <c r="S2543" i="4"/>
  <c r="U2543" i="4" s="1"/>
  <c r="S2544" i="4"/>
  <c r="U2544" i="4" s="1"/>
  <c r="S2545" i="4"/>
  <c r="U2545" i="4" s="1"/>
  <c r="S2546" i="4"/>
  <c r="U2546" i="4" s="1"/>
  <c r="S2547" i="4"/>
  <c r="U2547" i="4" s="1"/>
  <c r="S2548" i="4"/>
  <c r="U2548" i="4" s="1"/>
  <c r="S2549" i="4"/>
  <c r="U2549" i="4" s="1"/>
  <c r="S2550" i="4"/>
  <c r="U2550" i="4" s="1"/>
  <c r="S2551" i="4"/>
  <c r="U2551" i="4" s="1"/>
  <c r="S2552" i="4"/>
  <c r="U2552" i="4" s="1"/>
  <c r="S2553" i="4"/>
  <c r="U2553" i="4" s="1"/>
  <c r="S2554" i="4"/>
  <c r="U2554" i="4" s="1"/>
  <c r="S2555" i="4"/>
  <c r="U2555" i="4" s="1"/>
  <c r="S2556" i="4"/>
  <c r="U2556" i="4" s="1"/>
  <c r="S2557" i="4"/>
  <c r="U2557" i="4" s="1"/>
  <c r="S2558" i="4"/>
  <c r="U2558" i="4" s="1"/>
  <c r="S2559" i="4"/>
  <c r="U2559" i="4" s="1"/>
  <c r="S2560" i="4"/>
  <c r="U2560" i="4" s="1"/>
  <c r="S2561" i="4"/>
  <c r="U2561" i="4" s="1"/>
  <c r="S2562" i="4"/>
  <c r="U2562" i="4" s="1"/>
  <c r="S2563" i="4"/>
  <c r="U2563" i="4" s="1"/>
  <c r="S2564" i="4"/>
  <c r="U2564" i="4" s="1"/>
  <c r="S2565" i="4"/>
  <c r="U2565" i="4" s="1"/>
  <c r="S2566" i="4"/>
  <c r="U2566" i="4" s="1"/>
  <c r="S2567" i="4"/>
  <c r="U2567" i="4" s="1"/>
  <c r="S2568" i="4"/>
  <c r="U2568" i="4" s="1"/>
  <c r="S2569" i="4"/>
  <c r="U2569" i="4" s="1"/>
  <c r="S2570" i="4"/>
  <c r="U2570" i="4" s="1"/>
  <c r="S2571" i="4"/>
  <c r="U2571" i="4" s="1"/>
  <c r="S2572" i="4"/>
  <c r="U2572" i="4" s="1"/>
  <c r="S2573" i="4"/>
  <c r="U2573" i="4" s="1"/>
  <c r="S2574" i="4"/>
  <c r="U2574" i="4" s="1"/>
  <c r="S2575" i="4"/>
  <c r="U2575" i="4" s="1"/>
  <c r="S2576" i="4"/>
  <c r="U2576" i="4" s="1"/>
  <c r="S2577" i="4"/>
  <c r="U2577" i="4" s="1"/>
  <c r="S2578" i="4"/>
  <c r="U2578" i="4" s="1"/>
  <c r="S2579" i="4"/>
  <c r="U2579" i="4" s="1"/>
  <c r="S2580" i="4"/>
  <c r="U2580" i="4" s="1"/>
  <c r="S2581" i="4"/>
  <c r="U2581" i="4" s="1"/>
  <c r="S2582" i="4"/>
  <c r="U2582" i="4" s="1"/>
  <c r="S2583" i="4"/>
  <c r="U2583" i="4" s="1"/>
  <c r="S2584" i="4"/>
  <c r="U2584" i="4" s="1"/>
  <c r="S2585" i="4"/>
  <c r="U2585" i="4" s="1"/>
  <c r="S2586" i="4"/>
  <c r="U2586" i="4" s="1"/>
  <c r="S2587" i="4"/>
  <c r="U2587" i="4" s="1"/>
  <c r="S2588" i="4"/>
  <c r="U2588" i="4" s="1"/>
  <c r="S2589" i="4"/>
  <c r="U2589" i="4" s="1"/>
  <c r="S2590" i="4"/>
  <c r="U2590" i="4" s="1"/>
  <c r="S2591" i="4"/>
  <c r="U2591" i="4" s="1"/>
  <c r="S2592" i="4"/>
  <c r="U2592" i="4" s="1"/>
  <c r="S2593" i="4"/>
  <c r="U2593" i="4" s="1"/>
  <c r="S2594" i="4"/>
  <c r="U2594" i="4" s="1"/>
  <c r="S2595" i="4"/>
  <c r="U2595" i="4" s="1"/>
  <c r="S2596" i="4"/>
  <c r="U2596" i="4" s="1"/>
  <c r="S2597" i="4"/>
  <c r="U2597" i="4" s="1"/>
  <c r="S2598" i="4"/>
  <c r="U2598" i="4" s="1"/>
  <c r="S2599" i="4"/>
  <c r="U2599" i="4" s="1"/>
  <c r="S2600" i="4"/>
  <c r="U2600" i="4" s="1"/>
  <c r="S2601" i="4"/>
  <c r="U2601" i="4" s="1"/>
  <c r="S2602" i="4"/>
  <c r="U2602" i="4" s="1"/>
  <c r="S2603" i="4"/>
  <c r="U2603" i="4" s="1"/>
  <c r="S2604" i="4"/>
  <c r="U2604" i="4" s="1"/>
  <c r="S2605" i="4"/>
  <c r="U2605" i="4" s="1"/>
  <c r="S2606" i="4"/>
  <c r="U2606" i="4" s="1"/>
  <c r="S2607" i="4"/>
  <c r="U2607" i="4" s="1"/>
  <c r="S2608" i="4"/>
  <c r="U2608" i="4" s="1"/>
  <c r="S2609" i="4"/>
  <c r="U2609" i="4" s="1"/>
  <c r="S2610" i="4"/>
  <c r="U2610" i="4" s="1"/>
  <c r="S2611" i="4"/>
  <c r="U2611" i="4" s="1"/>
  <c r="S2612" i="4"/>
  <c r="U2612" i="4" s="1"/>
  <c r="S2613" i="4"/>
  <c r="U2613" i="4" s="1"/>
  <c r="S2614" i="4"/>
  <c r="U2614" i="4" s="1"/>
  <c r="S2615" i="4"/>
  <c r="U2615" i="4" s="1"/>
  <c r="S2616" i="4"/>
  <c r="U2616" i="4" s="1"/>
  <c r="S2617" i="4"/>
  <c r="U2617" i="4" s="1"/>
  <c r="S2618" i="4"/>
  <c r="U2618" i="4" s="1"/>
  <c r="S2619" i="4"/>
  <c r="U2619" i="4" s="1"/>
  <c r="S2620" i="4"/>
  <c r="U2620" i="4" s="1"/>
  <c r="S2621" i="4"/>
  <c r="U2621" i="4" s="1"/>
  <c r="S2622" i="4"/>
  <c r="U2622" i="4" s="1"/>
  <c r="S2623" i="4"/>
  <c r="U2623" i="4" s="1"/>
  <c r="S2624" i="4"/>
  <c r="U2624" i="4" s="1"/>
  <c r="S2625" i="4"/>
  <c r="U2625" i="4" s="1"/>
  <c r="S2626" i="4"/>
  <c r="U2626" i="4" s="1"/>
  <c r="S2627" i="4"/>
  <c r="U2627" i="4" s="1"/>
  <c r="S2628" i="4"/>
  <c r="U2628" i="4" s="1"/>
  <c r="S2629" i="4"/>
  <c r="U2629" i="4" s="1"/>
  <c r="S2630" i="4"/>
  <c r="U2630" i="4" s="1"/>
  <c r="S2631" i="4"/>
  <c r="U2631" i="4" s="1"/>
  <c r="S2632" i="4"/>
  <c r="U2632" i="4" s="1"/>
  <c r="S2633" i="4"/>
  <c r="U2633" i="4" s="1"/>
  <c r="S2634" i="4"/>
  <c r="U2634" i="4" s="1"/>
  <c r="S2635" i="4"/>
  <c r="U2635" i="4" s="1"/>
  <c r="S2636" i="4"/>
  <c r="U2636" i="4" s="1"/>
  <c r="S2637" i="4"/>
  <c r="U2637" i="4" s="1"/>
  <c r="S2638" i="4"/>
  <c r="U2638" i="4" s="1"/>
  <c r="S2639" i="4"/>
  <c r="U2639" i="4" s="1"/>
  <c r="S2640" i="4"/>
  <c r="U2640" i="4" s="1"/>
  <c r="S2641" i="4"/>
  <c r="U2641" i="4" s="1"/>
  <c r="S2642" i="4"/>
  <c r="U2642" i="4" s="1"/>
  <c r="S2643" i="4"/>
  <c r="U2643" i="4" s="1"/>
  <c r="S2644" i="4"/>
  <c r="U2644" i="4" s="1"/>
  <c r="S2645" i="4"/>
  <c r="U2645" i="4" s="1"/>
  <c r="S2646" i="4"/>
  <c r="U2646" i="4" s="1"/>
  <c r="S2647" i="4"/>
  <c r="U2647" i="4" s="1"/>
  <c r="S2648" i="4"/>
  <c r="U2648" i="4" s="1"/>
  <c r="S2649" i="4"/>
  <c r="U2649" i="4" s="1"/>
  <c r="S2650" i="4"/>
  <c r="U2650" i="4" s="1"/>
  <c r="S2651" i="4"/>
  <c r="U2651" i="4" s="1"/>
  <c r="S2652" i="4"/>
  <c r="U2652" i="4" s="1"/>
  <c r="S2653" i="4"/>
  <c r="U2653" i="4" s="1"/>
  <c r="S2654" i="4"/>
  <c r="U2654" i="4" s="1"/>
  <c r="S2655" i="4"/>
  <c r="U2655" i="4" s="1"/>
  <c r="S2656" i="4"/>
  <c r="U2656" i="4" s="1"/>
  <c r="S2657" i="4"/>
  <c r="U2657" i="4" s="1"/>
  <c r="S2658" i="4"/>
  <c r="U2658" i="4" s="1"/>
  <c r="S2659" i="4"/>
  <c r="U2659" i="4" s="1"/>
  <c r="S2660" i="4"/>
  <c r="U2660" i="4" s="1"/>
  <c r="S2661" i="4"/>
  <c r="U2661" i="4" s="1"/>
  <c r="S2662" i="4"/>
  <c r="U2662" i="4" s="1"/>
  <c r="S2663" i="4"/>
  <c r="U2663" i="4" s="1"/>
  <c r="S2664" i="4"/>
  <c r="U2664" i="4" s="1"/>
  <c r="S2665" i="4"/>
  <c r="U2665" i="4" s="1"/>
  <c r="S2666" i="4"/>
  <c r="U2666" i="4" s="1"/>
  <c r="S2667" i="4"/>
  <c r="U2667" i="4" s="1"/>
  <c r="S2668" i="4"/>
  <c r="U2668" i="4" s="1"/>
  <c r="S2669" i="4"/>
  <c r="U2669" i="4" s="1"/>
  <c r="S2670" i="4"/>
  <c r="U2670" i="4" s="1"/>
  <c r="S2671" i="4"/>
  <c r="U2671" i="4" s="1"/>
  <c r="S2672" i="4"/>
  <c r="U2672" i="4" s="1"/>
  <c r="S2673" i="4"/>
  <c r="U2673" i="4" s="1"/>
  <c r="S2674" i="4"/>
  <c r="U2674" i="4" s="1"/>
  <c r="S2675" i="4"/>
  <c r="U2675" i="4" s="1"/>
  <c r="S2676" i="4"/>
  <c r="U2676" i="4" s="1"/>
  <c r="S2677" i="4"/>
  <c r="U2677" i="4" s="1"/>
  <c r="S2678" i="4"/>
  <c r="U2678" i="4" s="1"/>
  <c r="S2679" i="4"/>
  <c r="U2679" i="4" s="1"/>
  <c r="S2680" i="4"/>
  <c r="U2680" i="4" s="1"/>
  <c r="S2681" i="4"/>
  <c r="U2681" i="4" s="1"/>
  <c r="S2682" i="4"/>
  <c r="U2682" i="4" s="1"/>
  <c r="S2683" i="4"/>
  <c r="U2683" i="4" s="1"/>
  <c r="S2684" i="4"/>
  <c r="U2684" i="4" s="1"/>
  <c r="S2685" i="4"/>
  <c r="U2685" i="4" s="1"/>
  <c r="S2686" i="4"/>
  <c r="U2686" i="4" s="1"/>
  <c r="S2687" i="4"/>
  <c r="U2687" i="4" s="1"/>
  <c r="S2688" i="4"/>
  <c r="U2688" i="4" s="1"/>
  <c r="S2689" i="4"/>
  <c r="U2689" i="4" s="1"/>
  <c r="S2690" i="4"/>
  <c r="U2690" i="4" s="1"/>
  <c r="S2691" i="4"/>
  <c r="U2691" i="4" s="1"/>
  <c r="S2692" i="4"/>
  <c r="U2692" i="4" s="1"/>
  <c r="S2693" i="4"/>
  <c r="U2693" i="4" s="1"/>
  <c r="S2694" i="4"/>
  <c r="U2694" i="4" s="1"/>
  <c r="S2695" i="4"/>
  <c r="U2695" i="4" s="1"/>
  <c r="S2696" i="4"/>
  <c r="U2696" i="4" s="1"/>
  <c r="S2697" i="4"/>
  <c r="U2697" i="4" s="1"/>
  <c r="S2698" i="4"/>
  <c r="U2698" i="4" s="1"/>
  <c r="S2699" i="4"/>
  <c r="U2699" i="4" s="1"/>
  <c r="S2700" i="4"/>
  <c r="U2700" i="4" s="1"/>
  <c r="S2701" i="4"/>
  <c r="U2701" i="4" s="1"/>
  <c r="S2702" i="4"/>
  <c r="U2702" i="4" s="1"/>
  <c r="S2703" i="4"/>
  <c r="U2703" i="4" s="1"/>
  <c r="S2704" i="4"/>
  <c r="U2704" i="4" s="1"/>
  <c r="S2705" i="4"/>
  <c r="U2705" i="4" s="1"/>
  <c r="S2706" i="4"/>
  <c r="U2706" i="4" s="1"/>
  <c r="S2707" i="4"/>
  <c r="U2707" i="4" s="1"/>
  <c r="S2708" i="4"/>
  <c r="U2708" i="4" s="1"/>
  <c r="S2709" i="4"/>
  <c r="U2709" i="4" s="1"/>
  <c r="S2710" i="4"/>
  <c r="U2710" i="4" s="1"/>
  <c r="S2711" i="4"/>
  <c r="U2711" i="4" s="1"/>
  <c r="S2712" i="4"/>
  <c r="U2712" i="4" s="1"/>
  <c r="S2713" i="4"/>
  <c r="U2713" i="4" s="1"/>
  <c r="S2714" i="4"/>
  <c r="U2714" i="4" s="1"/>
  <c r="S2715" i="4"/>
  <c r="U2715" i="4" s="1"/>
  <c r="S2716" i="4"/>
  <c r="U2716" i="4" s="1"/>
  <c r="S2717" i="4"/>
  <c r="U2717" i="4" s="1"/>
  <c r="S2718" i="4"/>
  <c r="U2718" i="4" s="1"/>
  <c r="S2719" i="4"/>
  <c r="U2719" i="4" s="1"/>
  <c r="S2720" i="4"/>
  <c r="U2720" i="4" s="1"/>
  <c r="S2721" i="4"/>
  <c r="U2721" i="4" s="1"/>
  <c r="S2722" i="4"/>
  <c r="U2722" i="4" s="1"/>
  <c r="S2723" i="4"/>
  <c r="U2723" i="4" s="1"/>
  <c r="S2724" i="4"/>
  <c r="U2724" i="4" s="1"/>
  <c r="S2725" i="4"/>
  <c r="U2725" i="4" s="1"/>
  <c r="S2726" i="4"/>
  <c r="U2726" i="4" s="1"/>
  <c r="S2727" i="4"/>
  <c r="U2727" i="4" s="1"/>
  <c r="S2728" i="4"/>
  <c r="U2728" i="4" s="1"/>
  <c r="S2729" i="4"/>
  <c r="U2729" i="4" s="1"/>
  <c r="S2730" i="4"/>
  <c r="U2730" i="4" s="1"/>
  <c r="S2731" i="4"/>
  <c r="U2731" i="4" s="1"/>
  <c r="S2732" i="4"/>
  <c r="U2732" i="4" s="1"/>
  <c r="S2733" i="4"/>
  <c r="U2733" i="4" s="1"/>
  <c r="S2734" i="4"/>
  <c r="U2734" i="4" s="1"/>
  <c r="S2735" i="4"/>
  <c r="U2735" i="4" s="1"/>
  <c r="S2736" i="4"/>
  <c r="U2736" i="4" s="1"/>
  <c r="S2737" i="4"/>
  <c r="U2737" i="4" s="1"/>
  <c r="S2738" i="4"/>
  <c r="U2738" i="4" s="1"/>
  <c r="S2739" i="4"/>
  <c r="U2739" i="4" s="1"/>
  <c r="S2740" i="4"/>
  <c r="U2740" i="4" s="1"/>
  <c r="S2741" i="4"/>
  <c r="U2741" i="4" s="1"/>
  <c r="S2742" i="4"/>
  <c r="U2742" i="4" s="1"/>
  <c r="S2743" i="4"/>
  <c r="U2743" i="4" s="1"/>
  <c r="S2744" i="4"/>
  <c r="U2744" i="4" s="1"/>
  <c r="S2745" i="4"/>
  <c r="U2745" i="4" s="1"/>
  <c r="S2746" i="4"/>
  <c r="U2746" i="4" s="1"/>
  <c r="S2747" i="4"/>
  <c r="U2747" i="4" s="1"/>
  <c r="S2748" i="4"/>
  <c r="U2748" i="4" s="1"/>
  <c r="S2749" i="4"/>
  <c r="U2749" i="4" s="1"/>
  <c r="S2750" i="4"/>
  <c r="U2750" i="4" s="1"/>
  <c r="S2751" i="4"/>
  <c r="U2751" i="4" s="1"/>
  <c r="S2752" i="4"/>
  <c r="U2752" i="4" s="1"/>
  <c r="S2753" i="4"/>
  <c r="U2753" i="4" s="1"/>
  <c r="S2754" i="4"/>
  <c r="U2754" i="4" s="1"/>
  <c r="S2755" i="4"/>
  <c r="U2755" i="4" s="1"/>
  <c r="S2756" i="4"/>
  <c r="U2756" i="4" s="1"/>
  <c r="S2757" i="4"/>
  <c r="U2757" i="4" s="1"/>
  <c r="S2758" i="4"/>
  <c r="U2758" i="4" s="1"/>
  <c r="S2759" i="4"/>
  <c r="U2759" i="4" s="1"/>
  <c r="S2760" i="4"/>
  <c r="U2760" i="4" s="1"/>
  <c r="S2761" i="4"/>
  <c r="U2761" i="4" s="1"/>
  <c r="S2762" i="4"/>
  <c r="U2762" i="4" s="1"/>
  <c r="S2763" i="4"/>
  <c r="U2763" i="4" s="1"/>
  <c r="S2764" i="4"/>
  <c r="U2764" i="4" s="1"/>
  <c r="S2765" i="4"/>
  <c r="U2765" i="4" s="1"/>
  <c r="S2766" i="4"/>
  <c r="U2766" i="4" s="1"/>
  <c r="S2767" i="4"/>
  <c r="U2767" i="4" s="1"/>
  <c r="S2768" i="4"/>
  <c r="U2768" i="4" s="1"/>
  <c r="S2769" i="4"/>
  <c r="U2769" i="4" s="1"/>
  <c r="S2770" i="4"/>
  <c r="U2770" i="4" s="1"/>
  <c r="S2771" i="4"/>
  <c r="U2771" i="4" s="1"/>
  <c r="S2772" i="4"/>
  <c r="U2772" i="4" s="1"/>
  <c r="S2773" i="4"/>
  <c r="U2773" i="4" s="1"/>
  <c r="S2774" i="4"/>
  <c r="U2774" i="4" s="1"/>
  <c r="S2775" i="4"/>
  <c r="U2775" i="4" s="1"/>
  <c r="S2776" i="4"/>
  <c r="U2776" i="4" s="1"/>
  <c r="S2777" i="4"/>
  <c r="U2777" i="4" s="1"/>
  <c r="S2778" i="4"/>
  <c r="U2778" i="4" s="1"/>
  <c r="S2779" i="4"/>
  <c r="U2779" i="4" s="1"/>
  <c r="S2780" i="4"/>
  <c r="U2780" i="4" s="1"/>
  <c r="S2781" i="4"/>
  <c r="U2781" i="4" s="1"/>
  <c r="S2782" i="4"/>
  <c r="U2782" i="4" s="1"/>
  <c r="S2783" i="4"/>
  <c r="U2783" i="4" s="1"/>
  <c r="S2784" i="4"/>
  <c r="U2784" i="4" s="1"/>
  <c r="S2785" i="4"/>
  <c r="U2785" i="4" s="1"/>
  <c r="S2786" i="4"/>
  <c r="U2786" i="4" s="1"/>
  <c r="S2787" i="4"/>
  <c r="U2787" i="4" s="1"/>
  <c r="S2788" i="4"/>
  <c r="U2788" i="4" s="1"/>
  <c r="S2789" i="4"/>
  <c r="U2789" i="4" s="1"/>
  <c r="S2790" i="4"/>
  <c r="U2790" i="4" s="1"/>
  <c r="S2791" i="4"/>
  <c r="U2791" i="4" s="1"/>
  <c r="S2792" i="4"/>
  <c r="U2792" i="4" s="1"/>
  <c r="S2793" i="4"/>
  <c r="U2793" i="4" s="1"/>
  <c r="S2794" i="4"/>
  <c r="U2794" i="4" s="1"/>
  <c r="S2795" i="4"/>
  <c r="U2795" i="4" s="1"/>
  <c r="S2796" i="4"/>
  <c r="U2796" i="4" s="1"/>
  <c r="S2797" i="4"/>
  <c r="U2797" i="4" s="1"/>
  <c r="S2798" i="4"/>
  <c r="U2798" i="4" s="1"/>
  <c r="S2799" i="4"/>
  <c r="U2799" i="4" s="1"/>
  <c r="S2800" i="4"/>
  <c r="U2800" i="4" s="1"/>
  <c r="S2801" i="4"/>
  <c r="U2801" i="4" s="1"/>
  <c r="S2802" i="4"/>
  <c r="U2802" i="4" s="1"/>
  <c r="S2803" i="4"/>
  <c r="U2803" i="4" s="1"/>
  <c r="S2804" i="4"/>
  <c r="U2804" i="4" s="1"/>
  <c r="S2805" i="4"/>
  <c r="U2805" i="4" s="1"/>
  <c r="S2806" i="4"/>
  <c r="U2806" i="4" s="1"/>
  <c r="S2807" i="4"/>
  <c r="U2807" i="4" s="1"/>
  <c r="S2808" i="4"/>
  <c r="U2808" i="4" s="1"/>
  <c r="S2809" i="4"/>
  <c r="U2809" i="4" s="1"/>
  <c r="S2810" i="4"/>
  <c r="U2810" i="4" s="1"/>
  <c r="S2811" i="4"/>
  <c r="U2811" i="4" s="1"/>
  <c r="S2812" i="4"/>
  <c r="U2812" i="4" s="1"/>
  <c r="S2813" i="4"/>
  <c r="U2813" i="4" s="1"/>
  <c r="S2814" i="4"/>
  <c r="U2814" i="4" s="1"/>
  <c r="S2815" i="4"/>
  <c r="U2815" i="4" s="1"/>
  <c r="S2816" i="4"/>
  <c r="U2816" i="4" s="1"/>
  <c r="S2817" i="4"/>
  <c r="U2817" i="4" s="1"/>
  <c r="S2818" i="4"/>
  <c r="U2818" i="4" s="1"/>
  <c r="S2819" i="4"/>
  <c r="U2819" i="4" s="1"/>
  <c r="S2820" i="4"/>
  <c r="U2820" i="4" s="1"/>
  <c r="S2821" i="4"/>
  <c r="U2821" i="4" s="1"/>
  <c r="S2822" i="4"/>
  <c r="U2822" i="4" s="1"/>
  <c r="S2823" i="4"/>
  <c r="U2823" i="4" s="1"/>
  <c r="S2824" i="4"/>
  <c r="U2824" i="4" s="1"/>
  <c r="S2825" i="4"/>
  <c r="U2825" i="4" s="1"/>
  <c r="S2826" i="4"/>
  <c r="U2826" i="4" s="1"/>
  <c r="S2827" i="4"/>
  <c r="U2827" i="4" s="1"/>
  <c r="S2828" i="4"/>
  <c r="U2828" i="4" s="1"/>
  <c r="S2829" i="4"/>
  <c r="U2829" i="4" s="1"/>
  <c r="S2830" i="4"/>
  <c r="U2830" i="4" s="1"/>
  <c r="S2831" i="4"/>
  <c r="U2831" i="4" s="1"/>
  <c r="S2832" i="4"/>
  <c r="U2832" i="4" s="1"/>
  <c r="S2833" i="4"/>
  <c r="U2833" i="4" s="1"/>
  <c r="S2834" i="4"/>
  <c r="U2834" i="4" s="1"/>
  <c r="S2835" i="4"/>
  <c r="U2835" i="4" s="1"/>
  <c r="S2836" i="4"/>
  <c r="U2836" i="4" s="1"/>
  <c r="S2837" i="4"/>
  <c r="U2837" i="4" s="1"/>
  <c r="S2838" i="4"/>
  <c r="U2838" i="4" s="1"/>
  <c r="S2839" i="4"/>
  <c r="U2839" i="4" s="1"/>
  <c r="S2840" i="4"/>
  <c r="U2840" i="4" s="1"/>
  <c r="S2841" i="4"/>
  <c r="U2841" i="4" s="1"/>
  <c r="S2842" i="4"/>
  <c r="U2842" i="4" s="1"/>
  <c r="S2843" i="4"/>
  <c r="U2843" i="4" s="1"/>
  <c r="S2844" i="4"/>
  <c r="U2844" i="4" s="1"/>
  <c r="S2845" i="4"/>
  <c r="U2845" i="4" s="1"/>
  <c r="S2846" i="4"/>
  <c r="U2846" i="4" s="1"/>
  <c r="S2847" i="4"/>
  <c r="U2847" i="4" s="1"/>
  <c r="S2848" i="4"/>
  <c r="U2848" i="4" s="1"/>
  <c r="S2849" i="4"/>
  <c r="U2849" i="4" s="1"/>
  <c r="S2850" i="4"/>
  <c r="U2850" i="4" s="1"/>
  <c r="S2851" i="4"/>
  <c r="U2851" i="4" s="1"/>
  <c r="S2852" i="4"/>
  <c r="U2852" i="4" s="1"/>
  <c r="S2853" i="4"/>
  <c r="U2853" i="4" s="1"/>
  <c r="S2854" i="4"/>
  <c r="U2854" i="4" s="1"/>
  <c r="S2855" i="4"/>
  <c r="U2855" i="4" s="1"/>
  <c r="S2856" i="4"/>
  <c r="U2856" i="4" s="1"/>
  <c r="S2857" i="4"/>
  <c r="U2857" i="4" s="1"/>
  <c r="S2858" i="4"/>
  <c r="U2858" i="4" s="1"/>
  <c r="S2859" i="4"/>
  <c r="U2859" i="4" s="1"/>
  <c r="S2860" i="4"/>
  <c r="U2860" i="4" s="1"/>
  <c r="S2861" i="4"/>
  <c r="U2861" i="4" s="1"/>
  <c r="S2862" i="4"/>
  <c r="U2862" i="4" s="1"/>
  <c r="S2863" i="4"/>
  <c r="U2863" i="4" s="1"/>
  <c r="S2864" i="4"/>
  <c r="U2864" i="4" s="1"/>
  <c r="S2865" i="4"/>
  <c r="U2865" i="4" s="1"/>
  <c r="S2866" i="4"/>
  <c r="U2866" i="4" s="1"/>
  <c r="S2867" i="4"/>
  <c r="U2867" i="4" s="1"/>
  <c r="S2868" i="4"/>
  <c r="U2868" i="4" s="1"/>
  <c r="S2869" i="4"/>
  <c r="U2869" i="4" s="1"/>
  <c r="S2870" i="4"/>
  <c r="U2870" i="4" s="1"/>
  <c r="S2871" i="4"/>
  <c r="U2871" i="4" s="1"/>
  <c r="S2872" i="4"/>
  <c r="U2872" i="4" s="1"/>
  <c r="S2873" i="4"/>
  <c r="U2873" i="4" s="1"/>
  <c r="S2874" i="4"/>
  <c r="U2874" i="4" s="1"/>
  <c r="S2875" i="4"/>
  <c r="U2875" i="4" s="1"/>
  <c r="S2876" i="4"/>
  <c r="U2876" i="4" s="1"/>
  <c r="S2877" i="4"/>
  <c r="U2877" i="4" s="1"/>
  <c r="S2878" i="4"/>
  <c r="U2878" i="4" s="1"/>
  <c r="S2879" i="4"/>
  <c r="U2879" i="4" s="1"/>
  <c r="S2880" i="4"/>
  <c r="U2880" i="4" s="1"/>
  <c r="S2881" i="4"/>
  <c r="U2881" i="4" s="1"/>
  <c r="S2882" i="4"/>
  <c r="U2882" i="4" s="1"/>
  <c r="S2883" i="4"/>
  <c r="U2883" i="4" s="1"/>
  <c r="S2884" i="4"/>
  <c r="U2884" i="4" s="1"/>
  <c r="S2885" i="4"/>
  <c r="U2885" i="4" s="1"/>
  <c r="S2886" i="4"/>
  <c r="U2886" i="4" s="1"/>
  <c r="S2887" i="4"/>
  <c r="U2887" i="4" s="1"/>
  <c r="S2888" i="4"/>
  <c r="U2888" i="4" s="1"/>
  <c r="S2889" i="4"/>
  <c r="U2889" i="4" s="1"/>
  <c r="S2890" i="4"/>
  <c r="U2890" i="4" s="1"/>
  <c r="S2891" i="4"/>
  <c r="U2891" i="4" s="1"/>
  <c r="S2892" i="4"/>
  <c r="U2892" i="4" s="1"/>
  <c r="S2893" i="4"/>
  <c r="U2893" i="4" s="1"/>
  <c r="S2894" i="4"/>
  <c r="U2894" i="4" s="1"/>
  <c r="S2895" i="4"/>
  <c r="U2895" i="4" s="1"/>
  <c r="S2896" i="4"/>
  <c r="U2896" i="4" s="1"/>
  <c r="S2897" i="4"/>
  <c r="U2897" i="4" s="1"/>
  <c r="S2898" i="4"/>
  <c r="U2898" i="4" s="1"/>
  <c r="S2899" i="4"/>
  <c r="U2899" i="4" s="1"/>
  <c r="S2900" i="4"/>
  <c r="U2900" i="4" s="1"/>
  <c r="S2901" i="4"/>
  <c r="U2901" i="4" s="1"/>
  <c r="S2902" i="4"/>
  <c r="U2902" i="4" s="1"/>
  <c r="S2903" i="4"/>
  <c r="U2903" i="4" s="1"/>
  <c r="S2904" i="4"/>
  <c r="U2904" i="4" s="1"/>
  <c r="S2905" i="4"/>
  <c r="U2905" i="4" s="1"/>
  <c r="S2906" i="4"/>
  <c r="U2906" i="4" s="1"/>
  <c r="S2907" i="4"/>
  <c r="U2907" i="4" s="1"/>
  <c r="S2908" i="4"/>
  <c r="U2908" i="4" s="1"/>
  <c r="S2909" i="4"/>
  <c r="U2909" i="4" s="1"/>
  <c r="S2910" i="4"/>
  <c r="U2910" i="4" s="1"/>
  <c r="S2911" i="4"/>
  <c r="U2911" i="4" s="1"/>
  <c r="S2912" i="4"/>
  <c r="U2912" i="4" s="1"/>
  <c r="S2913" i="4"/>
  <c r="U2913" i="4" s="1"/>
  <c r="S2914" i="4"/>
  <c r="U2914" i="4" s="1"/>
  <c r="S2915" i="4"/>
  <c r="U2915" i="4" s="1"/>
  <c r="S2916" i="4"/>
  <c r="U2916" i="4" s="1"/>
  <c r="S2917" i="4"/>
  <c r="U2917" i="4" s="1"/>
  <c r="S2918" i="4"/>
  <c r="U2918" i="4" s="1"/>
  <c r="S2919" i="4"/>
  <c r="U2919" i="4" s="1"/>
  <c r="S2920" i="4"/>
  <c r="U2920" i="4" s="1"/>
  <c r="S2921" i="4"/>
  <c r="U2921" i="4" s="1"/>
  <c r="S2922" i="4"/>
  <c r="U2922" i="4" s="1"/>
  <c r="S2923" i="4"/>
  <c r="U2923" i="4" s="1"/>
  <c r="S2924" i="4"/>
  <c r="U2924" i="4" s="1"/>
  <c r="S2925" i="4"/>
  <c r="U2925" i="4" s="1"/>
  <c r="S2926" i="4"/>
  <c r="U2926" i="4" s="1"/>
  <c r="S2927" i="4"/>
  <c r="U2927" i="4" s="1"/>
  <c r="S2928" i="4"/>
  <c r="U2928" i="4" s="1"/>
  <c r="S2929" i="4"/>
  <c r="U2929" i="4" s="1"/>
  <c r="S2930" i="4"/>
  <c r="U2930" i="4" s="1"/>
  <c r="S2931" i="4"/>
  <c r="U2931" i="4" s="1"/>
  <c r="S2932" i="4"/>
  <c r="U2932" i="4" s="1"/>
  <c r="S2933" i="4"/>
  <c r="U2933" i="4" s="1"/>
  <c r="S2934" i="4"/>
  <c r="U2934" i="4" s="1"/>
  <c r="S2935" i="4"/>
  <c r="U2935" i="4" s="1"/>
  <c r="S2936" i="4"/>
  <c r="U2936" i="4" s="1"/>
  <c r="S2937" i="4"/>
  <c r="U2937" i="4" s="1"/>
  <c r="S2938" i="4"/>
  <c r="U2938" i="4" s="1"/>
  <c r="S2939" i="4"/>
  <c r="U2939" i="4" s="1"/>
  <c r="S2940" i="4"/>
  <c r="U2940" i="4" s="1"/>
  <c r="S2941" i="4"/>
  <c r="U2941" i="4" s="1"/>
  <c r="S2942" i="4"/>
  <c r="U2942" i="4" s="1"/>
  <c r="S2943" i="4"/>
  <c r="U2943" i="4" s="1"/>
  <c r="S2944" i="4"/>
  <c r="U2944" i="4" s="1"/>
  <c r="S2945" i="4"/>
  <c r="U2945" i="4" s="1"/>
  <c r="S2946" i="4"/>
  <c r="U2946" i="4" s="1"/>
  <c r="S2947" i="4"/>
  <c r="U2947" i="4" s="1"/>
  <c r="S2948" i="4"/>
  <c r="U2948" i="4" s="1"/>
  <c r="S2949" i="4"/>
  <c r="U2949" i="4" s="1"/>
  <c r="S2950" i="4"/>
  <c r="U2950" i="4" s="1"/>
  <c r="S2951" i="4"/>
  <c r="U2951" i="4" s="1"/>
  <c r="S2952" i="4"/>
  <c r="U2952" i="4" s="1"/>
  <c r="S2953" i="4"/>
  <c r="U2953" i="4" s="1"/>
  <c r="S2954" i="4"/>
  <c r="U2954" i="4" s="1"/>
  <c r="S2955" i="4"/>
  <c r="U2955" i="4" s="1"/>
  <c r="S2956" i="4"/>
  <c r="U2956" i="4" s="1"/>
  <c r="S2957" i="4"/>
  <c r="U2957" i="4" s="1"/>
  <c r="S2958" i="4"/>
  <c r="U2958" i="4" s="1"/>
  <c r="S2959" i="4"/>
  <c r="U2959" i="4" s="1"/>
  <c r="S2960" i="4"/>
  <c r="U2960" i="4" s="1"/>
  <c r="S2961" i="4"/>
  <c r="U2961" i="4" s="1"/>
  <c r="S2962" i="4"/>
  <c r="U2962" i="4" s="1"/>
  <c r="S2963" i="4"/>
  <c r="U2963" i="4" s="1"/>
  <c r="S2964" i="4"/>
  <c r="U2964" i="4" s="1"/>
  <c r="S2965" i="4"/>
  <c r="U2965" i="4" s="1"/>
  <c r="S2966" i="4"/>
  <c r="U2966" i="4" s="1"/>
  <c r="S2967" i="4"/>
  <c r="U2967" i="4" s="1"/>
  <c r="S2968" i="4"/>
  <c r="U2968" i="4" s="1"/>
  <c r="S2969" i="4"/>
  <c r="U2969" i="4" s="1"/>
  <c r="S2970" i="4"/>
  <c r="U2970" i="4" s="1"/>
  <c r="S2971" i="4"/>
  <c r="U2971" i="4" s="1"/>
  <c r="S2972" i="4"/>
  <c r="U2972" i="4" s="1"/>
  <c r="S2973" i="4"/>
  <c r="U2973" i="4" s="1"/>
  <c r="S2974" i="4"/>
  <c r="U2974" i="4" s="1"/>
  <c r="S2975" i="4"/>
  <c r="U2975" i="4" s="1"/>
  <c r="S2976" i="4"/>
  <c r="U2976" i="4" s="1"/>
  <c r="S2977" i="4"/>
  <c r="U2977" i="4" s="1"/>
  <c r="S2978" i="4"/>
  <c r="U2978" i="4" s="1"/>
  <c r="S2979" i="4"/>
  <c r="U2979" i="4" s="1"/>
  <c r="S2980" i="4"/>
  <c r="U2980" i="4" s="1"/>
  <c r="S2981" i="4"/>
  <c r="U2981" i="4" s="1"/>
  <c r="S2982" i="4"/>
  <c r="U2982" i="4" s="1"/>
  <c r="S2983" i="4"/>
  <c r="U2983" i="4" s="1"/>
  <c r="S2984" i="4"/>
  <c r="U2984" i="4" s="1"/>
  <c r="S2985" i="4"/>
  <c r="U2985" i="4" s="1"/>
  <c r="S2986" i="4"/>
  <c r="U2986" i="4" s="1"/>
  <c r="S2987" i="4"/>
  <c r="U2987" i="4" s="1"/>
  <c r="S2988" i="4"/>
  <c r="U2988" i="4" s="1"/>
  <c r="S2989" i="4"/>
  <c r="U2989" i="4" s="1"/>
  <c r="S2990" i="4"/>
  <c r="U2990" i="4" s="1"/>
  <c r="S2991" i="4"/>
  <c r="U2991" i="4" s="1"/>
  <c r="S2992" i="4"/>
  <c r="U2992" i="4" s="1"/>
  <c r="S2993" i="4"/>
  <c r="U2993" i="4" s="1"/>
  <c r="S2994" i="4"/>
  <c r="U2994" i="4" s="1"/>
  <c r="S2995" i="4"/>
  <c r="U2995" i="4" s="1"/>
  <c r="S2996" i="4"/>
  <c r="U2996" i="4" s="1"/>
  <c r="S2997" i="4"/>
  <c r="U2997" i="4" s="1"/>
  <c r="S2998" i="4"/>
  <c r="U2998" i="4" s="1"/>
  <c r="S2999" i="4"/>
  <c r="U2999" i="4" s="1"/>
  <c r="S3000" i="4"/>
  <c r="U3000" i="4" s="1"/>
  <c r="S3001" i="4"/>
  <c r="U3001" i="4" s="1"/>
  <c r="S3002" i="4"/>
  <c r="U3002" i="4" s="1"/>
  <c r="S3003" i="4"/>
  <c r="U3003" i="4" s="1"/>
  <c r="S3004" i="4"/>
  <c r="U3004" i="4" s="1"/>
  <c r="S3005" i="4"/>
  <c r="U3005" i="4" s="1"/>
  <c r="S3006" i="4"/>
  <c r="U3006" i="4" s="1"/>
  <c r="S3007" i="4"/>
  <c r="U3007" i="4" s="1"/>
  <c r="S3008" i="4"/>
  <c r="U3008" i="4" s="1"/>
  <c r="S3009" i="4"/>
  <c r="U3009" i="4" s="1"/>
  <c r="S3010" i="4"/>
  <c r="U3010" i="4" s="1"/>
  <c r="S3011" i="4"/>
  <c r="U3011" i="4" s="1"/>
  <c r="S3012" i="4"/>
  <c r="U3012" i="4" s="1"/>
  <c r="S3013" i="4"/>
  <c r="U3013" i="4" s="1"/>
  <c r="S3014" i="4"/>
  <c r="U3014" i="4" s="1"/>
  <c r="S3015" i="4"/>
  <c r="U3015" i="4" s="1"/>
  <c r="S3016" i="4"/>
  <c r="U3016" i="4" s="1"/>
  <c r="S3017" i="4"/>
  <c r="U3017" i="4" s="1"/>
  <c r="S3018" i="4"/>
  <c r="U3018" i="4" s="1"/>
  <c r="S3019" i="4"/>
  <c r="U3019" i="4" s="1"/>
  <c r="S3020" i="4"/>
  <c r="U3020" i="4" s="1"/>
  <c r="S3021" i="4"/>
  <c r="U3021" i="4" s="1"/>
  <c r="S3022" i="4"/>
  <c r="U3022" i="4" s="1"/>
  <c r="S3023" i="4"/>
  <c r="U3023" i="4" s="1"/>
  <c r="S3024" i="4"/>
  <c r="U3024" i="4" s="1"/>
  <c r="S3025" i="4"/>
  <c r="U3025" i="4" s="1"/>
  <c r="S3026" i="4"/>
  <c r="U3026" i="4" s="1"/>
  <c r="S3027" i="4"/>
  <c r="U3027" i="4" s="1"/>
  <c r="S3028" i="4"/>
  <c r="U3028" i="4" s="1"/>
  <c r="S3029" i="4"/>
  <c r="U3029" i="4" s="1"/>
  <c r="S3030" i="4"/>
  <c r="U3030" i="4" s="1"/>
  <c r="S3031" i="4"/>
  <c r="U3031" i="4" s="1"/>
  <c r="S3032" i="4"/>
  <c r="U3032" i="4" s="1"/>
  <c r="S3033" i="4"/>
  <c r="U3033" i="4" s="1"/>
  <c r="S3034" i="4"/>
  <c r="U3034" i="4" s="1"/>
  <c r="S3035" i="4"/>
  <c r="U3035" i="4" s="1"/>
  <c r="S3036" i="4"/>
  <c r="U3036" i="4" s="1"/>
  <c r="S3037" i="4"/>
  <c r="U3037" i="4" s="1"/>
  <c r="S3038" i="4"/>
  <c r="U3038" i="4" s="1"/>
  <c r="S3039" i="4"/>
  <c r="U3039" i="4" s="1"/>
  <c r="S3040" i="4"/>
  <c r="U3040" i="4" s="1"/>
  <c r="S3041" i="4"/>
  <c r="U3041" i="4" s="1"/>
  <c r="S3042" i="4"/>
  <c r="U3042" i="4" s="1"/>
  <c r="S3043" i="4"/>
  <c r="U3043" i="4" s="1"/>
  <c r="S3044" i="4"/>
  <c r="U3044" i="4" s="1"/>
  <c r="S3045" i="4"/>
  <c r="U3045" i="4" s="1"/>
  <c r="S3046" i="4"/>
  <c r="U3046" i="4" s="1"/>
  <c r="S3047" i="4"/>
  <c r="U3047" i="4" s="1"/>
  <c r="S3048" i="4"/>
  <c r="U3048" i="4" s="1"/>
  <c r="S3049" i="4"/>
  <c r="U3049" i="4" s="1"/>
  <c r="S3050" i="4"/>
  <c r="U3050" i="4" s="1"/>
  <c r="S3051" i="4"/>
  <c r="U3051" i="4" s="1"/>
  <c r="S3052" i="4"/>
  <c r="U3052" i="4" s="1"/>
  <c r="S3053" i="4"/>
  <c r="U3053" i="4" s="1"/>
  <c r="S3054" i="4"/>
  <c r="U3054" i="4" s="1"/>
  <c r="S3055" i="4"/>
  <c r="U3055" i="4" s="1"/>
  <c r="S3056" i="4"/>
  <c r="U3056" i="4" s="1"/>
  <c r="S3057" i="4"/>
  <c r="U3057" i="4" s="1"/>
  <c r="S3058" i="4"/>
  <c r="U3058" i="4" s="1"/>
  <c r="S3059" i="4"/>
  <c r="U3059" i="4" s="1"/>
  <c r="S3060" i="4"/>
  <c r="U3060" i="4" s="1"/>
  <c r="S3061" i="4"/>
  <c r="U3061" i="4" s="1"/>
  <c r="S3062" i="4"/>
  <c r="U3062" i="4" s="1"/>
  <c r="S3063" i="4"/>
  <c r="U3063" i="4" s="1"/>
  <c r="S3064" i="4"/>
  <c r="U3064" i="4" s="1"/>
  <c r="S3065" i="4"/>
  <c r="U3065" i="4" s="1"/>
  <c r="S3066" i="4"/>
  <c r="U3066" i="4" s="1"/>
  <c r="S3067" i="4"/>
  <c r="U3067" i="4" s="1"/>
  <c r="S3068" i="4"/>
  <c r="U3068" i="4" s="1"/>
  <c r="S3069" i="4"/>
  <c r="U3069" i="4" s="1"/>
  <c r="S3070" i="4"/>
  <c r="U3070" i="4" s="1"/>
  <c r="S3071" i="4"/>
  <c r="U3071" i="4" s="1"/>
  <c r="S3072" i="4"/>
  <c r="U3072" i="4" s="1"/>
  <c r="S3073" i="4"/>
  <c r="U3073" i="4" s="1"/>
  <c r="S3074" i="4"/>
  <c r="U3074" i="4" s="1"/>
  <c r="S3075" i="4"/>
  <c r="U3075" i="4" s="1"/>
  <c r="S3076" i="4"/>
  <c r="U3076" i="4" s="1"/>
  <c r="S3077" i="4"/>
  <c r="U3077" i="4" s="1"/>
  <c r="S3078" i="4"/>
  <c r="U3078" i="4" s="1"/>
  <c r="S3079" i="4"/>
  <c r="U3079" i="4" s="1"/>
  <c r="S3080" i="4"/>
  <c r="U3080" i="4" s="1"/>
  <c r="S3081" i="4"/>
  <c r="U3081" i="4" s="1"/>
  <c r="S3082" i="4"/>
  <c r="U3082" i="4" s="1"/>
  <c r="S3083" i="4"/>
  <c r="U3083" i="4" s="1"/>
  <c r="S3084" i="4"/>
  <c r="U3084" i="4" s="1"/>
  <c r="S3085" i="4"/>
  <c r="U3085" i="4" s="1"/>
  <c r="S3086" i="4"/>
  <c r="U3086" i="4" s="1"/>
  <c r="S3087" i="4"/>
  <c r="U3087" i="4" s="1"/>
  <c r="S3088" i="4"/>
  <c r="U3088" i="4" s="1"/>
  <c r="S3089" i="4"/>
  <c r="U3089" i="4" s="1"/>
  <c r="S3090" i="4"/>
  <c r="U3090" i="4" s="1"/>
  <c r="S3091" i="4"/>
  <c r="U3091" i="4" s="1"/>
  <c r="S3092" i="4"/>
  <c r="U3092" i="4" s="1"/>
  <c r="S3093" i="4"/>
  <c r="U3093" i="4" s="1"/>
  <c r="S3094" i="4"/>
  <c r="U3094" i="4" s="1"/>
  <c r="S3095" i="4"/>
  <c r="U3095" i="4" s="1"/>
  <c r="S3096" i="4"/>
  <c r="U3096" i="4" s="1"/>
  <c r="S3097" i="4"/>
  <c r="U3097" i="4" s="1"/>
  <c r="S3098" i="4"/>
  <c r="U3098" i="4" s="1"/>
  <c r="S3099" i="4"/>
  <c r="U3099" i="4" s="1"/>
  <c r="S3100" i="4"/>
  <c r="U3100" i="4" s="1"/>
  <c r="S3101" i="4"/>
  <c r="U3101" i="4" s="1"/>
  <c r="S3102" i="4"/>
  <c r="U3102" i="4" s="1"/>
  <c r="S3103" i="4"/>
  <c r="U3103" i="4" s="1"/>
  <c r="S3104" i="4"/>
  <c r="U3104" i="4" s="1"/>
  <c r="S3105" i="4"/>
  <c r="U3105" i="4" s="1"/>
  <c r="S3106" i="4"/>
  <c r="U3106" i="4" s="1"/>
  <c r="S3107" i="4"/>
  <c r="U3107" i="4" s="1"/>
  <c r="S3108" i="4"/>
  <c r="U3108" i="4" s="1"/>
  <c r="S3109" i="4"/>
  <c r="U3109" i="4" s="1"/>
  <c r="S3110" i="4"/>
  <c r="U3110" i="4" s="1"/>
  <c r="S3111" i="4"/>
  <c r="U3111" i="4" s="1"/>
  <c r="S3112" i="4"/>
  <c r="U3112" i="4" s="1"/>
  <c r="S3113" i="4"/>
  <c r="U3113" i="4" s="1"/>
  <c r="S3114" i="4"/>
  <c r="U3114" i="4" s="1"/>
  <c r="S3115" i="4"/>
  <c r="U3115" i="4" s="1"/>
  <c r="S3116" i="4"/>
  <c r="U3116" i="4" s="1"/>
  <c r="S3117" i="4"/>
  <c r="U3117" i="4" s="1"/>
  <c r="S3118" i="4"/>
  <c r="U3118" i="4" s="1"/>
  <c r="S3119" i="4"/>
  <c r="U3119" i="4" s="1"/>
  <c r="S3120" i="4"/>
  <c r="U3120" i="4" s="1"/>
  <c r="S3121" i="4"/>
  <c r="U3121" i="4" s="1"/>
  <c r="S3122" i="4"/>
  <c r="U3122" i="4" s="1"/>
  <c r="S3123" i="4"/>
  <c r="U3123" i="4" s="1"/>
  <c r="S3124" i="4"/>
  <c r="U3124" i="4" s="1"/>
  <c r="S3125" i="4"/>
  <c r="U3125" i="4" s="1"/>
  <c r="S3126" i="4"/>
  <c r="U3126" i="4" s="1"/>
  <c r="S3127" i="4"/>
  <c r="U3127" i="4" s="1"/>
  <c r="S3128" i="4"/>
  <c r="U3128" i="4" s="1"/>
  <c r="S3129" i="4"/>
  <c r="U3129" i="4" s="1"/>
  <c r="S3130" i="4"/>
  <c r="U3130" i="4" s="1"/>
  <c r="S3131" i="4"/>
  <c r="U3131" i="4" s="1"/>
  <c r="S3132" i="4"/>
  <c r="U3132" i="4" s="1"/>
  <c r="S3133" i="4"/>
  <c r="U3133" i="4" s="1"/>
  <c r="S3134" i="4"/>
  <c r="U3134" i="4" s="1"/>
  <c r="S3135" i="4"/>
  <c r="U3135" i="4" s="1"/>
  <c r="S3136" i="4"/>
  <c r="U3136" i="4" s="1"/>
  <c r="S3137" i="4"/>
  <c r="U3137" i="4" s="1"/>
  <c r="S3138" i="4"/>
  <c r="U3138" i="4" s="1"/>
  <c r="S3139" i="4"/>
  <c r="U3139" i="4" s="1"/>
  <c r="S3140" i="4"/>
  <c r="U3140" i="4" s="1"/>
  <c r="S3141" i="4"/>
  <c r="U3141" i="4" s="1"/>
  <c r="S3142" i="4"/>
  <c r="U3142" i="4" s="1"/>
  <c r="S3143" i="4"/>
  <c r="U3143" i="4" s="1"/>
  <c r="S3144" i="4"/>
  <c r="U3144" i="4" s="1"/>
  <c r="S3145" i="4"/>
  <c r="U3145" i="4" s="1"/>
  <c r="S3146" i="4"/>
  <c r="U3146" i="4" s="1"/>
  <c r="S3147" i="4"/>
  <c r="U3147" i="4" s="1"/>
  <c r="S3148" i="4"/>
  <c r="U3148" i="4" s="1"/>
  <c r="S3149" i="4"/>
  <c r="U3149" i="4" s="1"/>
  <c r="S3150" i="4"/>
  <c r="U3150" i="4" s="1"/>
  <c r="S3151" i="4"/>
  <c r="U3151" i="4" s="1"/>
  <c r="S3152" i="4"/>
  <c r="U3152" i="4" s="1"/>
  <c r="S3153" i="4"/>
  <c r="U3153" i="4" s="1"/>
  <c r="S3154" i="4"/>
  <c r="U3154" i="4" s="1"/>
  <c r="S3155" i="4"/>
  <c r="U3155" i="4" s="1"/>
  <c r="S3156" i="4"/>
  <c r="U3156" i="4" s="1"/>
  <c r="S3157" i="4"/>
  <c r="U3157" i="4" s="1"/>
  <c r="S3158" i="4"/>
  <c r="U3158" i="4" s="1"/>
  <c r="S3159" i="4"/>
  <c r="U3159" i="4" s="1"/>
  <c r="S3160" i="4"/>
  <c r="U3160" i="4" s="1"/>
  <c r="S3161" i="4"/>
  <c r="U3161" i="4" s="1"/>
  <c r="S3162" i="4"/>
  <c r="U3162" i="4" s="1"/>
  <c r="S3163" i="4"/>
  <c r="U3163" i="4" s="1"/>
  <c r="S3164" i="4"/>
  <c r="U3164" i="4" s="1"/>
  <c r="S3165" i="4"/>
  <c r="U3165" i="4" s="1"/>
  <c r="S3166" i="4"/>
  <c r="U3166" i="4" s="1"/>
  <c r="S3167" i="4"/>
  <c r="U3167" i="4" s="1"/>
  <c r="S3168" i="4"/>
  <c r="U3168" i="4" s="1"/>
  <c r="S3169" i="4"/>
  <c r="U3169" i="4" s="1"/>
  <c r="S3170" i="4"/>
  <c r="U3170" i="4" s="1"/>
  <c r="S3171" i="4"/>
  <c r="U3171" i="4" s="1"/>
  <c r="S3172" i="4"/>
  <c r="U3172" i="4" s="1"/>
  <c r="S3173" i="4"/>
  <c r="U3173" i="4" s="1"/>
  <c r="S3174" i="4"/>
  <c r="U3174" i="4" s="1"/>
  <c r="S3175" i="4"/>
  <c r="U3175" i="4" s="1"/>
  <c r="S3176" i="4"/>
  <c r="U3176" i="4" s="1"/>
  <c r="S3177" i="4"/>
  <c r="U3177" i="4" s="1"/>
  <c r="S3178" i="4"/>
  <c r="U3178" i="4" s="1"/>
  <c r="S3179" i="4"/>
  <c r="U3179" i="4" s="1"/>
  <c r="S3180" i="4"/>
  <c r="U3180" i="4" s="1"/>
  <c r="S3181" i="4"/>
  <c r="U3181" i="4" s="1"/>
  <c r="S3182" i="4"/>
  <c r="U3182" i="4" s="1"/>
  <c r="S3183" i="4"/>
  <c r="U3183" i="4" s="1"/>
  <c r="S3184" i="4"/>
  <c r="U3184" i="4" s="1"/>
  <c r="S3185" i="4"/>
  <c r="U3185" i="4" s="1"/>
  <c r="S3186" i="4"/>
  <c r="U3186" i="4" s="1"/>
  <c r="S3187" i="4"/>
  <c r="U3187" i="4" s="1"/>
  <c r="S3188" i="4"/>
  <c r="U3188" i="4" s="1"/>
  <c r="S3189" i="4"/>
  <c r="U3189" i="4" s="1"/>
  <c r="S3190" i="4"/>
  <c r="U3190" i="4" s="1"/>
  <c r="S3191" i="4"/>
  <c r="U3191" i="4" s="1"/>
  <c r="S3192" i="4"/>
  <c r="U3192" i="4" s="1"/>
  <c r="S3193" i="4"/>
  <c r="U3193" i="4" s="1"/>
  <c r="S3194" i="4"/>
  <c r="U3194" i="4" s="1"/>
  <c r="S3195" i="4"/>
  <c r="U3195" i="4" s="1"/>
  <c r="S3196" i="4"/>
  <c r="U3196" i="4" s="1"/>
  <c r="S3197" i="4"/>
  <c r="U3197" i="4" s="1"/>
  <c r="S3198" i="4"/>
  <c r="U3198" i="4" s="1"/>
  <c r="S3199" i="4"/>
  <c r="U3199" i="4" s="1"/>
  <c r="S3200" i="4"/>
  <c r="U3200" i="4" s="1"/>
  <c r="S3201" i="4"/>
  <c r="U3201" i="4" s="1"/>
  <c r="S3202" i="4"/>
  <c r="U3202" i="4" s="1"/>
  <c r="S3203" i="4"/>
  <c r="U3203" i="4" s="1"/>
  <c r="S3204" i="4"/>
  <c r="U3204" i="4" s="1"/>
  <c r="S3205" i="4"/>
  <c r="U3205" i="4" s="1"/>
  <c r="S3206" i="4"/>
  <c r="U3206" i="4" s="1"/>
  <c r="S3207" i="4"/>
  <c r="U3207" i="4" s="1"/>
  <c r="S3208" i="4"/>
  <c r="U3208" i="4" s="1"/>
  <c r="S3209" i="4"/>
  <c r="U3209" i="4" s="1"/>
  <c r="S3210" i="4"/>
  <c r="U3210" i="4" s="1"/>
  <c r="S3211" i="4"/>
  <c r="U3211" i="4" s="1"/>
  <c r="S3212" i="4"/>
  <c r="U3212" i="4" s="1"/>
  <c r="S3213" i="4"/>
  <c r="U3213" i="4" s="1"/>
  <c r="S3214" i="4"/>
  <c r="U3214" i="4" s="1"/>
  <c r="S3215" i="4"/>
  <c r="U3215" i="4" s="1"/>
  <c r="S3216" i="4"/>
  <c r="U3216" i="4" s="1"/>
  <c r="S3217" i="4"/>
  <c r="U3217" i="4" s="1"/>
  <c r="S3218" i="4"/>
  <c r="U3218" i="4" s="1"/>
  <c r="S3219" i="4"/>
  <c r="U3219" i="4" s="1"/>
  <c r="S3220" i="4"/>
  <c r="U3220" i="4" s="1"/>
  <c r="S3221" i="4"/>
  <c r="U3221" i="4" s="1"/>
  <c r="S3222" i="4"/>
  <c r="U3222" i="4" s="1"/>
  <c r="S3223" i="4"/>
  <c r="U3223" i="4" s="1"/>
  <c r="S3224" i="4"/>
  <c r="U3224" i="4" s="1"/>
  <c r="S3225" i="4"/>
  <c r="U3225" i="4" s="1"/>
  <c r="S3226" i="4"/>
  <c r="U3226" i="4" s="1"/>
  <c r="S3227" i="4"/>
  <c r="U3227" i="4" s="1"/>
  <c r="S3228" i="4"/>
  <c r="U3228" i="4" s="1"/>
  <c r="S3229" i="4"/>
  <c r="U3229" i="4" s="1"/>
  <c r="S3230" i="4"/>
  <c r="U3230" i="4" s="1"/>
  <c r="S3231" i="4"/>
  <c r="U3231" i="4" s="1"/>
  <c r="S3232" i="4"/>
  <c r="U3232" i="4" s="1"/>
  <c r="S3233" i="4"/>
  <c r="U3233" i="4" s="1"/>
  <c r="S3234" i="4"/>
  <c r="U3234" i="4" s="1"/>
  <c r="S3235" i="4"/>
  <c r="U3235" i="4" s="1"/>
  <c r="S3236" i="4"/>
  <c r="U3236" i="4" s="1"/>
  <c r="S3237" i="4"/>
  <c r="U3237" i="4" s="1"/>
  <c r="S3238" i="4"/>
  <c r="U3238" i="4" s="1"/>
  <c r="S3239" i="4"/>
  <c r="U3239" i="4" s="1"/>
  <c r="S3240" i="4"/>
  <c r="U3240" i="4" s="1"/>
  <c r="S3241" i="4"/>
  <c r="U3241" i="4" s="1"/>
  <c r="S3242" i="4"/>
  <c r="U3242" i="4" s="1"/>
  <c r="S3243" i="4"/>
  <c r="U3243" i="4" s="1"/>
  <c r="S3244" i="4"/>
  <c r="U3244" i="4" s="1"/>
  <c r="S3245" i="4"/>
  <c r="U3245" i="4" s="1"/>
  <c r="S3246" i="4"/>
  <c r="U3246" i="4" s="1"/>
  <c r="S3247" i="4"/>
  <c r="U3247" i="4" s="1"/>
  <c r="S3248" i="4"/>
  <c r="U3248" i="4" s="1"/>
  <c r="S3249" i="4"/>
  <c r="U3249" i="4" s="1"/>
  <c r="S3250" i="4"/>
  <c r="U3250" i="4" s="1"/>
  <c r="S3251" i="4"/>
  <c r="U3251" i="4" s="1"/>
  <c r="S3252" i="4"/>
  <c r="U3252" i="4" s="1"/>
  <c r="S3253" i="4"/>
  <c r="U3253" i="4" s="1"/>
  <c r="S3254" i="4"/>
  <c r="U3254" i="4" s="1"/>
  <c r="S3255" i="4"/>
  <c r="U3255" i="4" s="1"/>
  <c r="S3256" i="4"/>
  <c r="U3256" i="4" s="1"/>
  <c r="S3257" i="4"/>
  <c r="U3257" i="4" s="1"/>
  <c r="S3258" i="4"/>
  <c r="U3258" i="4" s="1"/>
  <c r="S3259" i="4"/>
  <c r="U3259" i="4" s="1"/>
  <c r="S3260" i="4"/>
  <c r="U3260" i="4" s="1"/>
  <c r="S3261" i="4"/>
  <c r="U3261" i="4" s="1"/>
  <c r="S3262" i="4"/>
  <c r="U3262" i="4" s="1"/>
  <c r="S3263" i="4"/>
  <c r="U3263" i="4" s="1"/>
  <c r="S3264" i="4"/>
  <c r="U3264" i="4" s="1"/>
  <c r="S3265" i="4"/>
  <c r="U3265" i="4" s="1"/>
  <c r="S3266" i="4"/>
  <c r="U3266" i="4" s="1"/>
  <c r="S3267" i="4"/>
  <c r="U3267" i="4" s="1"/>
  <c r="S3268" i="4"/>
  <c r="U3268" i="4" s="1"/>
  <c r="S3269" i="4"/>
  <c r="U3269" i="4" s="1"/>
  <c r="S3270" i="4"/>
  <c r="U3270" i="4" s="1"/>
  <c r="S3271" i="4"/>
  <c r="U3271" i="4" s="1"/>
  <c r="S3272" i="4"/>
  <c r="U3272" i="4" s="1"/>
  <c r="S3273" i="4"/>
  <c r="U3273" i="4" s="1"/>
  <c r="S3274" i="4"/>
  <c r="U3274" i="4" s="1"/>
  <c r="S3275" i="4"/>
  <c r="U3275" i="4" s="1"/>
  <c r="S3276" i="4"/>
  <c r="U3276" i="4" s="1"/>
  <c r="S3277" i="4"/>
  <c r="U3277" i="4" s="1"/>
  <c r="S3278" i="4"/>
  <c r="U3278" i="4" s="1"/>
  <c r="S3279" i="4"/>
  <c r="U3279" i="4" s="1"/>
  <c r="S3280" i="4"/>
  <c r="U3280" i="4" s="1"/>
  <c r="S3281" i="4"/>
  <c r="U3281" i="4" s="1"/>
  <c r="S3282" i="4"/>
  <c r="U3282" i="4" s="1"/>
  <c r="S3283" i="4"/>
  <c r="U3283" i="4" s="1"/>
  <c r="S3284" i="4"/>
  <c r="U3284" i="4" s="1"/>
  <c r="S3285" i="4"/>
  <c r="U3285" i="4" s="1"/>
  <c r="S3286" i="4"/>
  <c r="U3286" i="4" s="1"/>
  <c r="S3287" i="4"/>
  <c r="U3287" i="4" s="1"/>
  <c r="S3288" i="4"/>
  <c r="U3288" i="4" s="1"/>
  <c r="S3289" i="4"/>
  <c r="U3289" i="4" s="1"/>
  <c r="S3290" i="4"/>
  <c r="U3290" i="4" s="1"/>
  <c r="S3291" i="4"/>
  <c r="U3291" i="4" s="1"/>
  <c r="S3292" i="4"/>
  <c r="U3292" i="4" s="1"/>
  <c r="S3293" i="4"/>
  <c r="U3293" i="4" s="1"/>
  <c r="S3294" i="4"/>
  <c r="U3294" i="4" s="1"/>
  <c r="S3295" i="4"/>
  <c r="U3295" i="4" s="1"/>
  <c r="S3296" i="4"/>
  <c r="U3296" i="4" s="1"/>
  <c r="S3297" i="4"/>
  <c r="U3297" i="4" s="1"/>
  <c r="S3298" i="4"/>
  <c r="U3298" i="4" s="1"/>
  <c r="S3299" i="4"/>
  <c r="U3299" i="4" s="1"/>
  <c r="S3300" i="4"/>
  <c r="U3300" i="4" s="1"/>
  <c r="S3301" i="4"/>
  <c r="U3301" i="4" s="1"/>
  <c r="S3302" i="4"/>
  <c r="U3302" i="4" s="1"/>
  <c r="S3303" i="4"/>
  <c r="U3303" i="4" s="1"/>
  <c r="S3304" i="4"/>
  <c r="U3304" i="4" s="1"/>
  <c r="S3305" i="4"/>
  <c r="U3305" i="4" s="1"/>
  <c r="S3306" i="4"/>
  <c r="U3306" i="4" s="1"/>
  <c r="S3307" i="4"/>
  <c r="U3307" i="4" s="1"/>
  <c r="S3308" i="4"/>
  <c r="U3308" i="4" s="1"/>
  <c r="S3309" i="4"/>
  <c r="U3309" i="4" s="1"/>
  <c r="S3310" i="4"/>
  <c r="U3310" i="4" s="1"/>
  <c r="S3311" i="4"/>
  <c r="U3311" i="4" s="1"/>
  <c r="S3312" i="4"/>
  <c r="U3312" i="4" s="1"/>
  <c r="S3313" i="4"/>
  <c r="U3313" i="4" s="1"/>
  <c r="S3314" i="4"/>
  <c r="U3314" i="4" s="1"/>
  <c r="S3315" i="4"/>
  <c r="U3315" i="4" s="1"/>
  <c r="S3316" i="4"/>
  <c r="U3316" i="4" s="1"/>
  <c r="S3317" i="4"/>
  <c r="U3317" i="4" s="1"/>
  <c r="S3318" i="4"/>
  <c r="U3318" i="4" s="1"/>
  <c r="S3319" i="4"/>
  <c r="U3319" i="4" s="1"/>
  <c r="S3320" i="4"/>
  <c r="U3320" i="4" s="1"/>
  <c r="S3321" i="4"/>
  <c r="U3321" i="4" s="1"/>
  <c r="S3322" i="4"/>
  <c r="U3322" i="4" s="1"/>
  <c r="S3323" i="4"/>
  <c r="U3323" i="4" s="1"/>
  <c r="S3324" i="4"/>
  <c r="U3324" i="4" s="1"/>
  <c r="S3325" i="4"/>
  <c r="U3325" i="4" s="1"/>
  <c r="S3326" i="4"/>
  <c r="U3326" i="4" s="1"/>
  <c r="S3327" i="4"/>
  <c r="U3327" i="4" s="1"/>
  <c r="S3328" i="4"/>
  <c r="U3328" i="4" s="1"/>
  <c r="S3329" i="4"/>
  <c r="U3329" i="4" s="1"/>
  <c r="S3330" i="4"/>
  <c r="U3330" i="4" s="1"/>
  <c r="S3331" i="4"/>
  <c r="U3331" i="4" s="1"/>
  <c r="S3332" i="4"/>
  <c r="U3332" i="4" s="1"/>
  <c r="S3333" i="4"/>
  <c r="U3333" i="4" s="1"/>
  <c r="S3334" i="4"/>
  <c r="U3334" i="4" s="1"/>
  <c r="S3335" i="4"/>
  <c r="U3335" i="4" s="1"/>
  <c r="S3336" i="4"/>
  <c r="U3336" i="4" s="1"/>
  <c r="S3337" i="4"/>
  <c r="U3337" i="4" s="1"/>
  <c r="S3338" i="4"/>
  <c r="U3338" i="4" s="1"/>
  <c r="S3339" i="4"/>
  <c r="U3339" i="4" s="1"/>
  <c r="S3340" i="4"/>
  <c r="U3340" i="4" s="1"/>
  <c r="S3341" i="4"/>
  <c r="U3341" i="4" s="1"/>
  <c r="S3342" i="4"/>
  <c r="U3342" i="4" s="1"/>
  <c r="S3343" i="4"/>
  <c r="U3343" i="4" s="1"/>
  <c r="S3344" i="4"/>
  <c r="U3344" i="4" s="1"/>
  <c r="S3345" i="4"/>
  <c r="U3345" i="4" s="1"/>
  <c r="S3346" i="4"/>
  <c r="U3346" i="4" s="1"/>
  <c r="S3347" i="4"/>
  <c r="U3347" i="4" s="1"/>
  <c r="S3348" i="4"/>
  <c r="U3348" i="4" s="1"/>
  <c r="S3349" i="4"/>
  <c r="U3349" i="4" s="1"/>
  <c r="S3350" i="4"/>
  <c r="U3350" i="4" s="1"/>
  <c r="S3351" i="4"/>
  <c r="U3351" i="4" s="1"/>
  <c r="S3352" i="4"/>
  <c r="U3352" i="4" s="1"/>
  <c r="S3353" i="4"/>
  <c r="U3353" i="4" s="1"/>
  <c r="S3354" i="4"/>
  <c r="U3354" i="4" s="1"/>
  <c r="S3355" i="4"/>
  <c r="U3355" i="4" s="1"/>
  <c r="S3356" i="4"/>
  <c r="U3356" i="4" s="1"/>
  <c r="S3357" i="4"/>
  <c r="U3357" i="4" s="1"/>
  <c r="S3358" i="4"/>
  <c r="U3358" i="4" s="1"/>
  <c r="S3359" i="4"/>
  <c r="U3359" i="4" s="1"/>
  <c r="S3360" i="4"/>
  <c r="U3360" i="4" s="1"/>
  <c r="S3361" i="4"/>
  <c r="U3361" i="4" s="1"/>
  <c r="S3362" i="4"/>
  <c r="U3362" i="4" s="1"/>
  <c r="S3363" i="4"/>
  <c r="U3363" i="4" s="1"/>
  <c r="S3364" i="4"/>
  <c r="U3364" i="4" s="1"/>
  <c r="S3365" i="4"/>
  <c r="U3365" i="4" s="1"/>
  <c r="S3366" i="4"/>
  <c r="U3366" i="4" s="1"/>
  <c r="S3367" i="4"/>
  <c r="U3367" i="4" s="1"/>
  <c r="S3368" i="4"/>
  <c r="U3368" i="4" s="1"/>
  <c r="S3369" i="4"/>
  <c r="U3369" i="4" s="1"/>
  <c r="S3370" i="4"/>
  <c r="U3370" i="4" s="1"/>
  <c r="S3371" i="4"/>
  <c r="U3371" i="4" s="1"/>
  <c r="S3372" i="4"/>
  <c r="U3372" i="4" s="1"/>
  <c r="S3373" i="4"/>
  <c r="U3373" i="4" s="1"/>
  <c r="S3374" i="4"/>
  <c r="U3374" i="4" s="1"/>
  <c r="S3375" i="4"/>
  <c r="U3375" i="4" s="1"/>
  <c r="S3376" i="4"/>
  <c r="U3376" i="4" s="1"/>
  <c r="S3377" i="4"/>
  <c r="U3377" i="4" s="1"/>
  <c r="S3378" i="4"/>
  <c r="U3378" i="4" s="1"/>
  <c r="S3379" i="4"/>
  <c r="U3379" i="4" s="1"/>
  <c r="S3380" i="4"/>
  <c r="U3380" i="4" s="1"/>
  <c r="S3381" i="4"/>
  <c r="U3381" i="4" s="1"/>
  <c r="S3382" i="4"/>
  <c r="U3382" i="4" s="1"/>
  <c r="S3383" i="4"/>
  <c r="U3383" i="4" s="1"/>
  <c r="S3384" i="4"/>
  <c r="U3384" i="4" s="1"/>
  <c r="S3385" i="4"/>
  <c r="U3385" i="4" s="1"/>
  <c r="S3386" i="4"/>
  <c r="U3386" i="4" s="1"/>
  <c r="S3387" i="4"/>
  <c r="U3387" i="4" s="1"/>
  <c r="S3388" i="4"/>
  <c r="U3388" i="4" s="1"/>
  <c r="S3389" i="4"/>
  <c r="U3389" i="4" s="1"/>
  <c r="S3390" i="4"/>
  <c r="U3390" i="4" s="1"/>
  <c r="S3391" i="4"/>
  <c r="U3391" i="4" s="1"/>
  <c r="S3392" i="4"/>
  <c r="U3392" i="4" s="1"/>
  <c r="S3393" i="4"/>
  <c r="U3393" i="4" s="1"/>
  <c r="S3394" i="4"/>
  <c r="U3394" i="4" s="1"/>
  <c r="S3395" i="4"/>
  <c r="U3395" i="4" s="1"/>
  <c r="S3396" i="4"/>
  <c r="U3396" i="4" s="1"/>
  <c r="S3397" i="4"/>
  <c r="U3397" i="4" s="1"/>
  <c r="S3398" i="4"/>
  <c r="U3398" i="4" s="1"/>
  <c r="S3399" i="4"/>
  <c r="U3399" i="4" s="1"/>
  <c r="S3400" i="4"/>
  <c r="U3400" i="4" s="1"/>
  <c r="S3401" i="4"/>
  <c r="U3401" i="4" s="1"/>
  <c r="S3402" i="4"/>
  <c r="U3402" i="4" s="1"/>
  <c r="S3403" i="4"/>
  <c r="U3403" i="4" s="1"/>
  <c r="S3404" i="4"/>
  <c r="U3404" i="4" s="1"/>
  <c r="S3405" i="4"/>
  <c r="U3405" i="4" s="1"/>
  <c r="S3406" i="4"/>
  <c r="U3406" i="4" s="1"/>
  <c r="S3407" i="4"/>
  <c r="U3407" i="4" s="1"/>
  <c r="S3408" i="4"/>
  <c r="U3408" i="4" s="1"/>
  <c r="S3409" i="4"/>
  <c r="U3409" i="4" s="1"/>
  <c r="S3410" i="4"/>
  <c r="U3410" i="4" s="1"/>
  <c r="S3411" i="4"/>
  <c r="U3411" i="4" s="1"/>
  <c r="S3412" i="4"/>
  <c r="U3412" i="4" s="1"/>
  <c r="S3413" i="4"/>
  <c r="U3413" i="4" s="1"/>
  <c r="S3414" i="4"/>
  <c r="U3414" i="4" s="1"/>
  <c r="S3415" i="4"/>
  <c r="U3415" i="4" s="1"/>
  <c r="S3416" i="4"/>
  <c r="U3416" i="4" s="1"/>
  <c r="S3417" i="4"/>
  <c r="U3417" i="4" s="1"/>
  <c r="S3418" i="4"/>
  <c r="U3418" i="4" s="1"/>
  <c r="S3419" i="4"/>
  <c r="U3419" i="4" s="1"/>
  <c r="S3420" i="4"/>
  <c r="U3420" i="4" s="1"/>
  <c r="S3421" i="4"/>
  <c r="U3421" i="4" s="1"/>
  <c r="S3422" i="4"/>
  <c r="U3422" i="4" s="1"/>
  <c r="S3423" i="4"/>
  <c r="U3423" i="4" s="1"/>
  <c r="S3424" i="4"/>
  <c r="U3424" i="4" s="1"/>
  <c r="S3425" i="4"/>
  <c r="U3425" i="4" s="1"/>
  <c r="S3426" i="4"/>
  <c r="U3426" i="4" s="1"/>
  <c r="S3427" i="4"/>
  <c r="U3427" i="4" s="1"/>
  <c r="S3428" i="4"/>
  <c r="U3428" i="4" s="1"/>
  <c r="S3429" i="4"/>
  <c r="U3429" i="4" s="1"/>
  <c r="S3430" i="4"/>
  <c r="U3430" i="4" s="1"/>
  <c r="S3431" i="4"/>
  <c r="U3431" i="4" s="1"/>
  <c r="S3432" i="4"/>
  <c r="U3432" i="4" s="1"/>
  <c r="S3433" i="4"/>
  <c r="U3433" i="4" s="1"/>
  <c r="S3434" i="4"/>
  <c r="U3434" i="4" s="1"/>
  <c r="S3435" i="4"/>
  <c r="U3435" i="4" s="1"/>
  <c r="S3436" i="4"/>
  <c r="U3436" i="4" s="1"/>
  <c r="S3437" i="4"/>
  <c r="U3437" i="4" s="1"/>
  <c r="S3438" i="4"/>
  <c r="U3438" i="4" s="1"/>
  <c r="S3439" i="4"/>
  <c r="U3439" i="4" s="1"/>
  <c r="S3440" i="4"/>
  <c r="U3440" i="4" s="1"/>
  <c r="S3441" i="4"/>
  <c r="U3441" i="4" s="1"/>
  <c r="S3442" i="4"/>
  <c r="U3442" i="4" s="1"/>
  <c r="S3443" i="4"/>
  <c r="U3443" i="4" s="1"/>
  <c r="S3444" i="4"/>
  <c r="U3444" i="4" s="1"/>
  <c r="S3445" i="4"/>
  <c r="U3445" i="4" s="1"/>
  <c r="S3446" i="4"/>
  <c r="U3446" i="4" s="1"/>
  <c r="S3447" i="4"/>
  <c r="U3447" i="4" s="1"/>
  <c r="S3448" i="4"/>
  <c r="U3448" i="4" s="1"/>
  <c r="S3449" i="4"/>
  <c r="U3449" i="4" s="1"/>
  <c r="S3450" i="4"/>
  <c r="U3450" i="4" s="1"/>
  <c r="S3451" i="4"/>
  <c r="U3451" i="4" s="1"/>
  <c r="S3452" i="4"/>
  <c r="U3452" i="4" s="1"/>
  <c r="S3453" i="4"/>
  <c r="U3453" i="4" s="1"/>
  <c r="S3454" i="4"/>
  <c r="U3454" i="4" s="1"/>
  <c r="S3455" i="4"/>
  <c r="U3455" i="4" s="1"/>
  <c r="S3456" i="4"/>
  <c r="U3456" i="4" s="1"/>
  <c r="S3457" i="4"/>
  <c r="U3457" i="4" s="1"/>
  <c r="S3458" i="4"/>
  <c r="U3458" i="4" s="1"/>
  <c r="S3459" i="4"/>
  <c r="U3459" i="4" s="1"/>
  <c r="S3460" i="4"/>
  <c r="U3460" i="4" s="1"/>
  <c r="S3461" i="4"/>
  <c r="U3461" i="4" s="1"/>
  <c r="S3462" i="4"/>
  <c r="U3462" i="4" s="1"/>
  <c r="S3463" i="4"/>
  <c r="U3463" i="4" s="1"/>
  <c r="S3464" i="4"/>
  <c r="U3464" i="4" s="1"/>
  <c r="S3465" i="4"/>
  <c r="U3465" i="4" s="1"/>
  <c r="S3466" i="4"/>
  <c r="U3466" i="4" s="1"/>
  <c r="S3467" i="4"/>
  <c r="U3467" i="4" s="1"/>
  <c r="S3468" i="4"/>
  <c r="U3468" i="4" s="1"/>
  <c r="S3469" i="4"/>
  <c r="U3469" i="4" s="1"/>
  <c r="S3470" i="4"/>
  <c r="U3470" i="4" s="1"/>
  <c r="S3471" i="4"/>
  <c r="U3471" i="4" s="1"/>
  <c r="S3472" i="4"/>
  <c r="U3472" i="4" s="1"/>
  <c r="S3473" i="4"/>
  <c r="U3473" i="4" s="1"/>
  <c r="S3474" i="4"/>
  <c r="U3474" i="4" s="1"/>
  <c r="S3475" i="4"/>
  <c r="U3475" i="4" s="1"/>
  <c r="S3476" i="4"/>
  <c r="U3476" i="4" s="1"/>
  <c r="S3477" i="4"/>
  <c r="U3477" i="4" s="1"/>
  <c r="S3478" i="4"/>
  <c r="U3478" i="4" s="1"/>
  <c r="S3479" i="4"/>
  <c r="U3479" i="4" s="1"/>
  <c r="S3480" i="4"/>
  <c r="U3480" i="4" s="1"/>
  <c r="S3481" i="4"/>
  <c r="U3481" i="4" s="1"/>
  <c r="S3482" i="4"/>
  <c r="U3482" i="4" s="1"/>
  <c r="S3483" i="4"/>
  <c r="U3483" i="4" s="1"/>
  <c r="S3484" i="4"/>
  <c r="U3484" i="4" s="1"/>
  <c r="S3485" i="4"/>
  <c r="U3485" i="4" s="1"/>
  <c r="S3486" i="4"/>
  <c r="U3486" i="4" s="1"/>
  <c r="S3487" i="4"/>
  <c r="U3487" i="4" s="1"/>
  <c r="S3488" i="4"/>
  <c r="U3488" i="4" s="1"/>
  <c r="S3489" i="4"/>
  <c r="U3489" i="4" s="1"/>
  <c r="S3490" i="4"/>
  <c r="U3490" i="4" s="1"/>
  <c r="S3491" i="4"/>
  <c r="U3491" i="4" s="1"/>
  <c r="S3492" i="4"/>
  <c r="U3492" i="4" s="1"/>
  <c r="S3493" i="4"/>
  <c r="U3493" i="4" s="1"/>
  <c r="S3494" i="4"/>
  <c r="U3494" i="4" s="1"/>
  <c r="S3495" i="4"/>
  <c r="U3495" i="4" s="1"/>
  <c r="S3496" i="4"/>
  <c r="U3496" i="4" s="1"/>
  <c r="S3497" i="4"/>
  <c r="U3497" i="4" s="1"/>
  <c r="S3498" i="4"/>
  <c r="U3498" i="4" s="1"/>
  <c r="S3499" i="4"/>
  <c r="U3499" i="4" s="1"/>
  <c r="S3500" i="4"/>
  <c r="U3500" i="4" s="1"/>
  <c r="S3501" i="4"/>
  <c r="U3501" i="4" s="1"/>
  <c r="S3502" i="4"/>
  <c r="U3502" i="4" s="1"/>
  <c r="S3503" i="4"/>
  <c r="U3503" i="4" s="1"/>
  <c r="S3504" i="4"/>
  <c r="U3504" i="4" s="1"/>
  <c r="S3505" i="4"/>
  <c r="U3505" i="4" s="1"/>
  <c r="S3506" i="4"/>
  <c r="U3506" i="4" s="1"/>
  <c r="S3507" i="4"/>
  <c r="U3507" i="4" s="1"/>
  <c r="S3508" i="4"/>
  <c r="U3508" i="4" s="1"/>
  <c r="S3509" i="4"/>
  <c r="U3509" i="4" s="1"/>
  <c r="S3510" i="4"/>
  <c r="U3510" i="4" s="1"/>
  <c r="S3511" i="4"/>
  <c r="U3511" i="4" s="1"/>
  <c r="S3512" i="4"/>
  <c r="U3512" i="4" s="1"/>
  <c r="S3513" i="4"/>
  <c r="U3513" i="4" s="1"/>
  <c r="S3514" i="4"/>
  <c r="U3514" i="4" s="1"/>
  <c r="S3515" i="4"/>
  <c r="U3515" i="4" s="1"/>
  <c r="S3516" i="4"/>
  <c r="U3516" i="4" s="1"/>
  <c r="S3517" i="4"/>
  <c r="U3517" i="4" s="1"/>
  <c r="S3518" i="4"/>
  <c r="U3518" i="4" s="1"/>
  <c r="S3519" i="4"/>
  <c r="U3519" i="4" s="1"/>
  <c r="S3520" i="4"/>
  <c r="U3520" i="4" s="1"/>
  <c r="S3521" i="4"/>
  <c r="U3521" i="4" s="1"/>
  <c r="S3522" i="4"/>
  <c r="U3522" i="4" s="1"/>
  <c r="S3523" i="4"/>
  <c r="U3523" i="4" s="1"/>
  <c r="S3524" i="4"/>
  <c r="U3524" i="4" s="1"/>
  <c r="S3525" i="4"/>
  <c r="U3525" i="4" s="1"/>
  <c r="S3526" i="4"/>
  <c r="U3526" i="4" s="1"/>
  <c r="S3527" i="4"/>
  <c r="U3527" i="4" s="1"/>
  <c r="S3528" i="4"/>
  <c r="U3528" i="4" s="1"/>
  <c r="S3529" i="4"/>
  <c r="U3529" i="4" s="1"/>
  <c r="S3530" i="4"/>
  <c r="U3530" i="4" s="1"/>
  <c r="S3531" i="4"/>
  <c r="U3531" i="4" s="1"/>
  <c r="S3532" i="4"/>
  <c r="U3532" i="4" s="1"/>
  <c r="S3533" i="4"/>
  <c r="U3533" i="4" s="1"/>
  <c r="S3534" i="4"/>
  <c r="U3534" i="4" s="1"/>
  <c r="S3535" i="4"/>
  <c r="U3535" i="4" s="1"/>
  <c r="S3536" i="4"/>
  <c r="U3536" i="4" s="1"/>
  <c r="S3537" i="4"/>
  <c r="U3537" i="4" s="1"/>
  <c r="S3538" i="4"/>
  <c r="U3538" i="4" s="1"/>
  <c r="S3539" i="4"/>
  <c r="U3539" i="4" s="1"/>
  <c r="S3540" i="4"/>
  <c r="U3540" i="4" s="1"/>
  <c r="S3541" i="4"/>
  <c r="U3541" i="4" s="1"/>
  <c r="S3542" i="4"/>
  <c r="U3542" i="4" s="1"/>
  <c r="S3543" i="4"/>
  <c r="U3543" i="4" s="1"/>
  <c r="S3544" i="4"/>
  <c r="U3544" i="4" s="1"/>
  <c r="S3545" i="4"/>
  <c r="U3545" i="4" s="1"/>
  <c r="S3546" i="4"/>
  <c r="U3546" i="4" s="1"/>
  <c r="S3547" i="4"/>
  <c r="U3547" i="4" s="1"/>
  <c r="S3548" i="4"/>
  <c r="U3548" i="4" s="1"/>
  <c r="S3549" i="4"/>
  <c r="U3549" i="4" s="1"/>
  <c r="S3550" i="4"/>
  <c r="U3550" i="4" s="1"/>
  <c r="S3551" i="4"/>
  <c r="U3551" i="4" s="1"/>
  <c r="S3552" i="4"/>
  <c r="U3552" i="4" s="1"/>
  <c r="S3553" i="4"/>
  <c r="U3553" i="4" s="1"/>
  <c r="S3554" i="4"/>
  <c r="U3554" i="4" s="1"/>
  <c r="S3555" i="4"/>
  <c r="U3555" i="4" s="1"/>
  <c r="S3556" i="4"/>
  <c r="U3556" i="4" s="1"/>
  <c r="S3557" i="4"/>
  <c r="U3557" i="4" s="1"/>
  <c r="S3558" i="4"/>
  <c r="U3558" i="4" s="1"/>
  <c r="S3559" i="4"/>
  <c r="U3559" i="4" s="1"/>
  <c r="S3560" i="4"/>
  <c r="U3560" i="4" s="1"/>
  <c r="S3561" i="4"/>
  <c r="U3561" i="4" s="1"/>
  <c r="S3562" i="4"/>
  <c r="U3562" i="4" s="1"/>
  <c r="S3563" i="4"/>
  <c r="U3563" i="4" s="1"/>
  <c r="S3564" i="4"/>
  <c r="U3564" i="4" s="1"/>
  <c r="S3565" i="4"/>
  <c r="U3565" i="4" s="1"/>
  <c r="S3566" i="4"/>
  <c r="U3566" i="4" s="1"/>
  <c r="S3567" i="4"/>
  <c r="U3567" i="4" s="1"/>
  <c r="S3568" i="4"/>
  <c r="U3568" i="4" s="1"/>
  <c r="S3569" i="4"/>
  <c r="U3569" i="4" s="1"/>
  <c r="S3570" i="4"/>
  <c r="U3570" i="4" s="1"/>
  <c r="S3571" i="4"/>
  <c r="U3571" i="4" s="1"/>
  <c r="S3572" i="4"/>
  <c r="U3572" i="4" s="1"/>
  <c r="S3573" i="4"/>
  <c r="U3573" i="4" s="1"/>
  <c r="S3574" i="4"/>
  <c r="U3574" i="4" s="1"/>
  <c r="S3575" i="4"/>
  <c r="U3575" i="4" s="1"/>
  <c r="S3576" i="4"/>
  <c r="U3576" i="4" s="1"/>
  <c r="S3577" i="4"/>
  <c r="U3577" i="4" s="1"/>
  <c r="S3578" i="4"/>
  <c r="U3578" i="4" s="1"/>
  <c r="S3579" i="4"/>
  <c r="U3579" i="4" s="1"/>
  <c r="S3580" i="4"/>
  <c r="U3580" i="4" s="1"/>
  <c r="S3581" i="4"/>
  <c r="U3581" i="4" s="1"/>
  <c r="S3582" i="4"/>
  <c r="U3582" i="4" s="1"/>
  <c r="S3583" i="4"/>
  <c r="U3583" i="4" s="1"/>
  <c r="S3584" i="4"/>
  <c r="U3584" i="4" s="1"/>
  <c r="S3585" i="4"/>
  <c r="U3585" i="4" s="1"/>
  <c r="S3586" i="4"/>
  <c r="U3586" i="4" s="1"/>
  <c r="S3587" i="4"/>
  <c r="U3587" i="4" s="1"/>
  <c r="S3588" i="4"/>
  <c r="U3588" i="4" s="1"/>
  <c r="S3589" i="4"/>
  <c r="U3589" i="4" s="1"/>
  <c r="S3590" i="4"/>
  <c r="U3590" i="4" s="1"/>
  <c r="S3591" i="4"/>
  <c r="U3591" i="4" s="1"/>
  <c r="S3592" i="4"/>
  <c r="U3592" i="4" s="1"/>
  <c r="S3593" i="4"/>
  <c r="U3593" i="4" s="1"/>
  <c r="S3594" i="4"/>
  <c r="U3594" i="4" s="1"/>
  <c r="S3595" i="4"/>
  <c r="U3595" i="4" s="1"/>
  <c r="S3596" i="4"/>
  <c r="U3596" i="4" s="1"/>
  <c r="S3597" i="4"/>
  <c r="U3597" i="4" s="1"/>
  <c r="S3598" i="4"/>
  <c r="U3598" i="4" s="1"/>
  <c r="S3599" i="4"/>
  <c r="U3599" i="4" s="1"/>
  <c r="S3600" i="4"/>
  <c r="U3600" i="4" s="1"/>
  <c r="S3601" i="4"/>
  <c r="U3601" i="4" s="1"/>
  <c r="S3602" i="4"/>
  <c r="U3602" i="4" s="1"/>
  <c r="S3603" i="4"/>
  <c r="U3603" i="4" s="1"/>
  <c r="S3604" i="4"/>
  <c r="U3604" i="4" s="1"/>
  <c r="S3605" i="4"/>
  <c r="U3605" i="4" s="1"/>
  <c r="S3606" i="4"/>
  <c r="U3606" i="4" s="1"/>
  <c r="S3607" i="4"/>
  <c r="U3607" i="4" s="1"/>
  <c r="S3608" i="4"/>
  <c r="U3608" i="4" s="1"/>
  <c r="S3609" i="4"/>
  <c r="U3609" i="4" s="1"/>
  <c r="S3610" i="4"/>
  <c r="U3610" i="4" s="1"/>
  <c r="S3611" i="4"/>
  <c r="U3611" i="4" s="1"/>
  <c r="S3612" i="4"/>
  <c r="U3612" i="4" s="1"/>
  <c r="S3613" i="4"/>
  <c r="U3613" i="4" s="1"/>
  <c r="S3614" i="4"/>
  <c r="U3614" i="4" s="1"/>
  <c r="S3615" i="4"/>
  <c r="U3615" i="4" s="1"/>
  <c r="S3616" i="4"/>
  <c r="U3616" i="4" s="1"/>
  <c r="S3617" i="4"/>
  <c r="U3617" i="4" s="1"/>
  <c r="S3618" i="4"/>
  <c r="U3618" i="4" s="1"/>
  <c r="S3619" i="4"/>
  <c r="U3619" i="4" s="1"/>
  <c r="S3620" i="4"/>
  <c r="U3620" i="4" s="1"/>
  <c r="S3621" i="4"/>
  <c r="U3621" i="4" s="1"/>
  <c r="S3622" i="4"/>
  <c r="U3622" i="4" s="1"/>
  <c r="S3623" i="4"/>
  <c r="U3623" i="4" s="1"/>
  <c r="S3624" i="4"/>
  <c r="U3624" i="4" s="1"/>
  <c r="S3625" i="4"/>
  <c r="U3625" i="4" s="1"/>
  <c r="S3626" i="4"/>
  <c r="U3626" i="4" s="1"/>
  <c r="S3627" i="4"/>
  <c r="U3627" i="4" s="1"/>
  <c r="S3628" i="4"/>
  <c r="U3628" i="4" s="1"/>
  <c r="S3629" i="4"/>
  <c r="U3629" i="4" s="1"/>
  <c r="S3630" i="4"/>
  <c r="U3630" i="4" s="1"/>
  <c r="S3631" i="4"/>
  <c r="U3631" i="4" s="1"/>
  <c r="S3632" i="4"/>
  <c r="U3632" i="4" s="1"/>
  <c r="S3633" i="4"/>
  <c r="U3633" i="4" s="1"/>
  <c r="S3634" i="4"/>
  <c r="U3634" i="4" s="1"/>
  <c r="S3635" i="4"/>
  <c r="U3635" i="4" s="1"/>
  <c r="S3636" i="4"/>
  <c r="U3636" i="4" s="1"/>
  <c r="S3637" i="4"/>
  <c r="U3637" i="4" s="1"/>
  <c r="S3638" i="4"/>
  <c r="U3638" i="4" s="1"/>
  <c r="S3639" i="4"/>
  <c r="U3639" i="4" s="1"/>
  <c r="S3640" i="4"/>
  <c r="U3640" i="4" s="1"/>
  <c r="S3641" i="4"/>
  <c r="U3641" i="4" s="1"/>
  <c r="S3642" i="4"/>
  <c r="U3642" i="4" s="1"/>
  <c r="S3643" i="4"/>
  <c r="U3643" i="4" s="1"/>
  <c r="S3644" i="4"/>
  <c r="U3644" i="4" s="1"/>
  <c r="S3645" i="4"/>
  <c r="U3645" i="4" s="1"/>
  <c r="S3646" i="4"/>
  <c r="U3646" i="4" s="1"/>
  <c r="S3647" i="4"/>
  <c r="U3647" i="4" s="1"/>
  <c r="S3648" i="4"/>
  <c r="U3648" i="4" s="1"/>
  <c r="S3649" i="4"/>
  <c r="U3649" i="4" s="1"/>
  <c r="S3650" i="4"/>
  <c r="U3650" i="4" s="1"/>
  <c r="S3651" i="4"/>
  <c r="U3651" i="4" s="1"/>
  <c r="S3652" i="4"/>
  <c r="U3652" i="4" s="1"/>
  <c r="S3653" i="4"/>
  <c r="U3653" i="4" s="1"/>
  <c r="S3654" i="4"/>
  <c r="U3654" i="4" s="1"/>
  <c r="S3655" i="4"/>
  <c r="U3655" i="4" s="1"/>
  <c r="S3656" i="4"/>
  <c r="U3656" i="4" s="1"/>
  <c r="S3657" i="4"/>
  <c r="U3657" i="4" s="1"/>
  <c r="S3658" i="4"/>
  <c r="U3658" i="4" s="1"/>
  <c r="S3659" i="4"/>
  <c r="U3659" i="4" s="1"/>
  <c r="S3660" i="4"/>
  <c r="U3660" i="4" s="1"/>
  <c r="S3661" i="4"/>
  <c r="U3661" i="4" s="1"/>
  <c r="S3662" i="4"/>
  <c r="U3662" i="4" s="1"/>
  <c r="S3663" i="4"/>
  <c r="U3663" i="4" s="1"/>
  <c r="S3664" i="4"/>
  <c r="U3664" i="4" s="1"/>
  <c r="S3665" i="4"/>
  <c r="U3665" i="4" s="1"/>
  <c r="S3666" i="4"/>
  <c r="U3666" i="4" s="1"/>
  <c r="S3667" i="4"/>
  <c r="U3667" i="4" s="1"/>
  <c r="S3668" i="4"/>
  <c r="U3668" i="4" s="1"/>
  <c r="S3669" i="4"/>
  <c r="U3669" i="4" s="1"/>
  <c r="S3670" i="4"/>
  <c r="U3670" i="4" s="1"/>
  <c r="S3671" i="4"/>
  <c r="U3671" i="4" s="1"/>
  <c r="S3672" i="4"/>
  <c r="U3672" i="4" s="1"/>
  <c r="S3673" i="4"/>
  <c r="U3673" i="4" s="1"/>
  <c r="S3674" i="4"/>
  <c r="U3674" i="4" s="1"/>
  <c r="S3675" i="4"/>
  <c r="U3675" i="4" s="1"/>
  <c r="S3676" i="4"/>
  <c r="U3676" i="4" s="1"/>
  <c r="S3677" i="4"/>
  <c r="U3677" i="4" s="1"/>
  <c r="S3678" i="4"/>
  <c r="U3678" i="4" s="1"/>
  <c r="S3679" i="4"/>
  <c r="U3679" i="4" s="1"/>
  <c r="S3680" i="4"/>
  <c r="U3680" i="4" s="1"/>
  <c r="S3681" i="4"/>
  <c r="U3681" i="4" s="1"/>
  <c r="S3682" i="4"/>
  <c r="U3682" i="4" s="1"/>
  <c r="S3683" i="4"/>
  <c r="U3683" i="4" s="1"/>
  <c r="S3684" i="4"/>
  <c r="U3684" i="4" s="1"/>
  <c r="S3685" i="4"/>
  <c r="U3685" i="4" s="1"/>
  <c r="S3686" i="4"/>
  <c r="U3686" i="4" s="1"/>
  <c r="S3687" i="4"/>
  <c r="U3687" i="4" s="1"/>
  <c r="S3688" i="4"/>
  <c r="U3688" i="4" s="1"/>
  <c r="S3689" i="4"/>
  <c r="U3689" i="4" s="1"/>
  <c r="S3690" i="4"/>
  <c r="U3690" i="4" s="1"/>
  <c r="S3691" i="4"/>
  <c r="U3691" i="4" s="1"/>
  <c r="S3692" i="4"/>
  <c r="U3692" i="4" s="1"/>
  <c r="S3693" i="4"/>
  <c r="U3693" i="4" s="1"/>
  <c r="S3694" i="4"/>
  <c r="U3694" i="4" s="1"/>
  <c r="S3695" i="4"/>
  <c r="U3695" i="4" s="1"/>
  <c r="S3696" i="4"/>
  <c r="U3696" i="4" s="1"/>
  <c r="S3697" i="4"/>
  <c r="U3697" i="4" s="1"/>
  <c r="S3698" i="4"/>
  <c r="U3698" i="4" s="1"/>
  <c r="S3699" i="4"/>
  <c r="U3699" i="4" s="1"/>
  <c r="S3700" i="4"/>
  <c r="U3700" i="4" s="1"/>
  <c r="S3701" i="4"/>
  <c r="U3701" i="4" s="1"/>
  <c r="S3702" i="4"/>
  <c r="U3702" i="4" s="1"/>
  <c r="S3703" i="4"/>
  <c r="U3703" i="4" s="1"/>
  <c r="S3704" i="4"/>
  <c r="U3704" i="4" s="1"/>
  <c r="S3705" i="4"/>
  <c r="U3705" i="4" s="1"/>
  <c r="S3706" i="4"/>
  <c r="U3706" i="4" s="1"/>
  <c r="S3707" i="4"/>
  <c r="U3707" i="4" s="1"/>
  <c r="S3708" i="4"/>
  <c r="U3708" i="4" s="1"/>
  <c r="S3709" i="4"/>
  <c r="U3709" i="4" s="1"/>
  <c r="S3710" i="4"/>
  <c r="U3710" i="4" s="1"/>
  <c r="S3711" i="4"/>
  <c r="U3711" i="4" s="1"/>
  <c r="S3712" i="4"/>
  <c r="U3712" i="4" s="1"/>
  <c r="S3713" i="4"/>
  <c r="U3713" i="4" s="1"/>
  <c r="S3714" i="4"/>
  <c r="U3714" i="4" s="1"/>
  <c r="S3715" i="4"/>
  <c r="U3715" i="4" s="1"/>
  <c r="S3716" i="4"/>
  <c r="U3716" i="4" s="1"/>
  <c r="S3717" i="4"/>
  <c r="U3717" i="4" s="1"/>
  <c r="S3718" i="4"/>
  <c r="U3718" i="4" s="1"/>
  <c r="S3719" i="4"/>
  <c r="U3719" i="4" s="1"/>
  <c r="S3720" i="4"/>
  <c r="U3720" i="4" s="1"/>
  <c r="S3721" i="4"/>
  <c r="U3721" i="4" s="1"/>
  <c r="S3722" i="4"/>
  <c r="U3722" i="4" s="1"/>
  <c r="S3723" i="4"/>
  <c r="U3723" i="4" s="1"/>
  <c r="S3724" i="4"/>
  <c r="U3724" i="4" s="1"/>
  <c r="S3725" i="4"/>
  <c r="U3725" i="4" s="1"/>
  <c r="S3726" i="4"/>
  <c r="U3726" i="4" s="1"/>
  <c r="S3727" i="4"/>
  <c r="U3727" i="4" s="1"/>
  <c r="S3728" i="4"/>
  <c r="U3728" i="4" s="1"/>
  <c r="S3729" i="4"/>
  <c r="U3729" i="4" s="1"/>
  <c r="S3730" i="4"/>
  <c r="U3730" i="4" s="1"/>
  <c r="S3731" i="4"/>
  <c r="U3731" i="4" s="1"/>
  <c r="S3732" i="4"/>
  <c r="U3732" i="4" s="1"/>
  <c r="S3733" i="4"/>
  <c r="U3733" i="4" s="1"/>
  <c r="S3734" i="4"/>
  <c r="U3734" i="4" s="1"/>
  <c r="S3735" i="4"/>
  <c r="U3735" i="4" s="1"/>
  <c r="S3736" i="4"/>
  <c r="U3736" i="4" s="1"/>
  <c r="S3737" i="4"/>
  <c r="U3737" i="4" s="1"/>
  <c r="S3738" i="4"/>
  <c r="U3738" i="4" s="1"/>
  <c r="S3739" i="4"/>
  <c r="U3739" i="4" s="1"/>
  <c r="S3740" i="4"/>
  <c r="U3740" i="4" s="1"/>
  <c r="S3741" i="4"/>
  <c r="U3741" i="4" s="1"/>
  <c r="S3742" i="4"/>
  <c r="U3742" i="4" s="1"/>
  <c r="S3743" i="4"/>
  <c r="U3743" i="4" s="1"/>
  <c r="S3744" i="4"/>
  <c r="U3744" i="4" s="1"/>
  <c r="S3745" i="4"/>
  <c r="U3745" i="4" s="1"/>
  <c r="S3746" i="4"/>
  <c r="U3746" i="4" s="1"/>
  <c r="S3747" i="4"/>
  <c r="U3747" i="4" s="1"/>
  <c r="S3748" i="4"/>
  <c r="U3748" i="4" s="1"/>
  <c r="S3749" i="4"/>
  <c r="U3749" i="4" s="1"/>
  <c r="S3750" i="4"/>
  <c r="U3750" i="4" s="1"/>
  <c r="S3751" i="4"/>
  <c r="U3751" i="4" s="1"/>
  <c r="S3752" i="4"/>
  <c r="U3752" i="4" s="1"/>
  <c r="S3753" i="4"/>
  <c r="U3753" i="4" s="1"/>
  <c r="S3754" i="4"/>
  <c r="U3754" i="4" s="1"/>
  <c r="S3755" i="4"/>
  <c r="U3755" i="4" s="1"/>
  <c r="S3756" i="4"/>
  <c r="U3756" i="4" s="1"/>
  <c r="S3757" i="4"/>
  <c r="U3757" i="4" s="1"/>
  <c r="S3758" i="4"/>
  <c r="U3758" i="4" s="1"/>
  <c r="S3759" i="4"/>
  <c r="U3759" i="4" s="1"/>
  <c r="S3760" i="4"/>
  <c r="U3760" i="4" s="1"/>
  <c r="S3761" i="4"/>
  <c r="U3761" i="4" s="1"/>
  <c r="S3762" i="4"/>
  <c r="U3762" i="4" s="1"/>
  <c r="S3763" i="4"/>
  <c r="U3763" i="4" s="1"/>
  <c r="S3764" i="4"/>
  <c r="U3764" i="4" s="1"/>
  <c r="S3765" i="4"/>
  <c r="U3765" i="4" s="1"/>
  <c r="S3766" i="4"/>
  <c r="U3766" i="4" s="1"/>
  <c r="S3767" i="4"/>
  <c r="U3767" i="4" s="1"/>
  <c r="S3768" i="4"/>
  <c r="U3768" i="4" s="1"/>
  <c r="S3769" i="4"/>
  <c r="U3769" i="4" s="1"/>
  <c r="S3770" i="4"/>
  <c r="U3770" i="4" s="1"/>
  <c r="S3771" i="4"/>
  <c r="U3771" i="4" s="1"/>
  <c r="S3772" i="4"/>
  <c r="U3772" i="4" s="1"/>
  <c r="S3773" i="4"/>
  <c r="U3773" i="4" s="1"/>
  <c r="S3774" i="4"/>
  <c r="U3774" i="4" s="1"/>
  <c r="S3775" i="4"/>
  <c r="U3775" i="4" s="1"/>
  <c r="S3776" i="4"/>
  <c r="U3776" i="4" s="1"/>
  <c r="S3777" i="4"/>
  <c r="U3777" i="4" s="1"/>
  <c r="S3778" i="4"/>
  <c r="U3778" i="4" s="1"/>
  <c r="S3779" i="4"/>
  <c r="U3779" i="4" s="1"/>
  <c r="S3780" i="4"/>
  <c r="U3780" i="4" s="1"/>
  <c r="S3781" i="4"/>
  <c r="U3781" i="4" s="1"/>
  <c r="S3782" i="4"/>
  <c r="U3782" i="4" s="1"/>
  <c r="S3783" i="4"/>
  <c r="U3783" i="4" s="1"/>
  <c r="S3784" i="4"/>
  <c r="U3784" i="4" s="1"/>
  <c r="S3785" i="4"/>
  <c r="U3785" i="4" s="1"/>
  <c r="S3786" i="4"/>
  <c r="U3786" i="4" s="1"/>
  <c r="S3787" i="4"/>
  <c r="U3787" i="4" s="1"/>
  <c r="S3788" i="4"/>
  <c r="U3788" i="4" s="1"/>
  <c r="S3789" i="4"/>
  <c r="U3789" i="4" s="1"/>
  <c r="S3790" i="4"/>
  <c r="U3790" i="4" s="1"/>
  <c r="S3791" i="4"/>
  <c r="U3791" i="4" s="1"/>
  <c r="S3792" i="4"/>
  <c r="U3792" i="4" s="1"/>
  <c r="S3793" i="4"/>
  <c r="U3793" i="4" s="1"/>
  <c r="S3794" i="4"/>
  <c r="U3794" i="4" s="1"/>
  <c r="S3795" i="4"/>
  <c r="U3795" i="4" s="1"/>
  <c r="S3796" i="4"/>
  <c r="U3796" i="4" s="1"/>
  <c r="S3797" i="4"/>
  <c r="U3797" i="4" s="1"/>
  <c r="S3798" i="4"/>
  <c r="U3798" i="4" s="1"/>
  <c r="S3799" i="4"/>
  <c r="U3799" i="4" s="1"/>
  <c r="S3800" i="4"/>
  <c r="U3800" i="4" s="1"/>
  <c r="S3801" i="4"/>
  <c r="U3801" i="4" s="1"/>
  <c r="S3802" i="4"/>
  <c r="U3802" i="4" s="1"/>
  <c r="S3803" i="4"/>
  <c r="U3803" i="4" s="1"/>
  <c r="S3804" i="4"/>
  <c r="U3804" i="4" s="1"/>
  <c r="S3805" i="4"/>
  <c r="U3805" i="4" s="1"/>
  <c r="S3806" i="4"/>
  <c r="U3806" i="4" s="1"/>
  <c r="S3807" i="4"/>
  <c r="U3807" i="4" s="1"/>
  <c r="S3808" i="4"/>
  <c r="U3808" i="4" s="1"/>
  <c r="S3809" i="4"/>
  <c r="U3809" i="4" s="1"/>
  <c r="S3810" i="4"/>
  <c r="U3810" i="4" s="1"/>
  <c r="S3811" i="4"/>
  <c r="U3811" i="4" s="1"/>
  <c r="S3812" i="4"/>
  <c r="U3812" i="4" s="1"/>
  <c r="S3813" i="4"/>
  <c r="U3813" i="4" s="1"/>
  <c r="S3814" i="4"/>
  <c r="U3814" i="4" s="1"/>
  <c r="S3815" i="4"/>
  <c r="U3815" i="4" s="1"/>
  <c r="S3816" i="4"/>
  <c r="U3816" i="4" s="1"/>
  <c r="S3817" i="4"/>
  <c r="U3817" i="4" s="1"/>
  <c r="S3818" i="4"/>
  <c r="U3818" i="4" s="1"/>
  <c r="S3819" i="4"/>
  <c r="U3819" i="4" s="1"/>
  <c r="S3820" i="4"/>
  <c r="U3820" i="4" s="1"/>
  <c r="S3821" i="4"/>
  <c r="U3821" i="4" s="1"/>
  <c r="S3822" i="4"/>
  <c r="U3822" i="4" s="1"/>
  <c r="S3823" i="4"/>
  <c r="U3823" i="4" s="1"/>
  <c r="S3824" i="4"/>
  <c r="U3824" i="4" s="1"/>
  <c r="S3825" i="4"/>
  <c r="U3825" i="4" s="1"/>
  <c r="S3826" i="4"/>
  <c r="U3826" i="4" s="1"/>
  <c r="S3827" i="4"/>
  <c r="U3827" i="4" s="1"/>
  <c r="S3828" i="4"/>
  <c r="U3828" i="4" s="1"/>
  <c r="S3829" i="4"/>
  <c r="U3829" i="4" s="1"/>
  <c r="S3830" i="4"/>
  <c r="U3830" i="4" s="1"/>
  <c r="S3831" i="4"/>
  <c r="U3831" i="4" s="1"/>
  <c r="S3832" i="4"/>
  <c r="U3832" i="4" s="1"/>
  <c r="S3833" i="4"/>
  <c r="U3833" i="4" s="1"/>
  <c r="S3834" i="4"/>
  <c r="U3834" i="4" s="1"/>
  <c r="S3835" i="4"/>
  <c r="U3835" i="4" s="1"/>
  <c r="S3836" i="4"/>
  <c r="U3836" i="4" s="1"/>
  <c r="S3837" i="4"/>
  <c r="U3837" i="4" s="1"/>
  <c r="S3838" i="4"/>
  <c r="U3838" i="4" s="1"/>
  <c r="S3839" i="4"/>
  <c r="U3839" i="4" s="1"/>
  <c r="S3840" i="4"/>
  <c r="U3840" i="4" s="1"/>
  <c r="S3841" i="4"/>
  <c r="U3841" i="4" s="1"/>
  <c r="S3842" i="4"/>
  <c r="U3842" i="4" s="1"/>
  <c r="S3843" i="4"/>
  <c r="U3843" i="4" s="1"/>
  <c r="S3844" i="4"/>
  <c r="U3844" i="4" s="1"/>
  <c r="S3845" i="4"/>
  <c r="U3845" i="4" s="1"/>
  <c r="S3846" i="4"/>
  <c r="U3846" i="4" s="1"/>
  <c r="S3847" i="4"/>
  <c r="U3847" i="4" s="1"/>
  <c r="S3848" i="4"/>
  <c r="U3848" i="4" s="1"/>
  <c r="S3849" i="4"/>
  <c r="U3849" i="4" s="1"/>
  <c r="S3850" i="4"/>
  <c r="U3850" i="4" s="1"/>
  <c r="S3851" i="4"/>
  <c r="U3851" i="4" s="1"/>
  <c r="S3852" i="4"/>
  <c r="U3852" i="4" s="1"/>
  <c r="S3853" i="4"/>
  <c r="U3853" i="4" s="1"/>
  <c r="S3854" i="4"/>
  <c r="U3854" i="4" s="1"/>
  <c r="S3855" i="4"/>
  <c r="U3855" i="4" s="1"/>
  <c r="S3856" i="4"/>
  <c r="U3856" i="4" s="1"/>
  <c r="S3857" i="4"/>
  <c r="U3857" i="4" s="1"/>
  <c r="S3858" i="4"/>
  <c r="U3858" i="4" s="1"/>
  <c r="S3859" i="4"/>
  <c r="U3859" i="4" s="1"/>
  <c r="S3860" i="4"/>
  <c r="U3860" i="4" s="1"/>
  <c r="S3861" i="4"/>
  <c r="U3861" i="4" s="1"/>
  <c r="S3862" i="4"/>
  <c r="U3862" i="4" s="1"/>
  <c r="S3863" i="4"/>
  <c r="U3863" i="4" s="1"/>
  <c r="S3864" i="4"/>
  <c r="U3864" i="4" s="1"/>
  <c r="S3865" i="4"/>
  <c r="U3865" i="4" s="1"/>
  <c r="S3866" i="4"/>
  <c r="U3866" i="4" s="1"/>
  <c r="S3867" i="4"/>
  <c r="U3867" i="4" s="1"/>
  <c r="S3868" i="4"/>
  <c r="U3868" i="4" s="1"/>
  <c r="S3869" i="4"/>
  <c r="U3869" i="4" s="1"/>
  <c r="S3870" i="4"/>
  <c r="U3870" i="4" s="1"/>
  <c r="S3871" i="4"/>
  <c r="U3871" i="4" s="1"/>
  <c r="S3872" i="4"/>
  <c r="U3872" i="4" s="1"/>
  <c r="S3873" i="4"/>
  <c r="U3873" i="4" s="1"/>
  <c r="S3874" i="4"/>
  <c r="U3874" i="4" s="1"/>
  <c r="S3875" i="4"/>
  <c r="U3875" i="4" s="1"/>
  <c r="S3876" i="4"/>
  <c r="U3876" i="4" s="1"/>
  <c r="S3877" i="4"/>
  <c r="U3877" i="4" s="1"/>
  <c r="S3878" i="4"/>
  <c r="U3878" i="4" s="1"/>
  <c r="S3879" i="4"/>
  <c r="U3879" i="4" s="1"/>
  <c r="S3880" i="4"/>
  <c r="U3880" i="4" s="1"/>
  <c r="S3881" i="4"/>
  <c r="U3881" i="4" s="1"/>
  <c r="S3882" i="4"/>
  <c r="U3882" i="4" s="1"/>
  <c r="S3883" i="4"/>
  <c r="U3883" i="4" s="1"/>
  <c r="S3884" i="4"/>
  <c r="U3884" i="4" s="1"/>
  <c r="S3885" i="4"/>
  <c r="U3885" i="4" s="1"/>
  <c r="S3886" i="4"/>
  <c r="U3886" i="4" s="1"/>
  <c r="S3887" i="4"/>
  <c r="U3887" i="4" s="1"/>
  <c r="S3888" i="4"/>
  <c r="U3888" i="4" s="1"/>
  <c r="S3889" i="4"/>
  <c r="U3889" i="4" s="1"/>
  <c r="S3890" i="4"/>
  <c r="U3890" i="4" s="1"/>
  <c r="S3891" i="4"/>
  <c r="U3891" i="4" s="1"/>
  <c r="S3892" i="4"/>
  <c r="U3892" i="4" s="1"/>
  <c r="S3893" i="4"/>
  <c r="U3893" i="4" s="1"/>
  <c r="S3894" i="4"/>
  <c r="U3894" i="4" s="1"/>
  <c r="S3895" i="4"/>
  <c r="U3895" i="4" s="1"/>
  <c r="S3896" i="4"/>
  <c r="U3896" i="4" s="1"/>
  <c r="S3897" i="4"/>
  <c r="U3897" i="4" s="1"/>
  <c r="S3898" i="4"/>
  <c r="U3898" i="4" s="1"/>
  <c r="S3899" i="4"/>
  <c r="U3899" i="4" s="1"/>
  <c r="S3900" i="4"/>
  <c r="U3900" i="4" s="1"/>
  <c r="S3901" i="4"/>
  <c r="U3901" i="4" s="1"/>
  <c r="S3902" i="4"/>
  <c r="U3902" i="4" s="1"/>
  <c r="S3903" i="4"/>
  <c r="U3903" i="4" s="1"/>
  <c r="S3904" i="4"/>
  <c r="U3904" i="4" s="1"/>
  <c r="S3905" i="4"/>
  <c r="U3905" i="4" s="1"/>
  <c r="S3906" i="4"/>
  <c r="U3906" i="4" s="1"/>
  <c r="S3907" i="4"/>
  <c r="U3907" i="4" s="1"/>
  <c r="S3908" i="4"/>
  <c r="U3908" i="4" s="1"/>
  <c r="S3909" i="4"/>
  <c r="U3909" i="4" s="1"/>
  <c r="S3910" i="4"/>
  <c r="U3910" i="4" s="1"/>
  <c r="S3911" i="4"/>
  <c r="U3911" i="4" s="1"/>
  <c r="S3912" i="4"/>
  <c r="U3912" i="4" s="1"/>
  <c r="S3913" i="4"/>
  <c r="U3913" i="4" s="1"/>
  <c r="S3914" i="4"/>
  <c r="U3914" i="4" s="1"/>
  <c r="S3915" i="4"/>
  <c r="U3915" i="4" s="1"/>
  <c r="S3916" i="4"/>
  <c r="U3916" i="4" s="1"/>
  <c r="S3917" i="4"/>
  <c r="U3917" i="4" s="1"/>
  <c r="S3918" i="4"/>
  <c r="U3918" i="4" s="1"/>
  <c r="S3919" i="4"/>
  <c r="U3919" i="4" s="1"/>
  <c r="S3920" i="4"/>
  <c r="U3920" i="4" s="1"/>
  <c r="S3921" i="4"/>
  <c r="U3921" i="4" s="1"/>
  <c r="S3922" i="4"/>
  <c r="U3922" i="4" s="1"/>
  <c r="S3923" i="4"/>
  <c r="U3923" i="4" s="1"/>
  <c r="S3924" i="4"/>
  <c r="U3924" i="4" s="1"/>
  <c r="S3925" i="4"/>
  <c r="U3925" i="4" s="1"/>
  <c r="S3926" i="4"/>
  <c r="U3926" i="4" s="1"/>
  <c r="S3927" i="4"/>
  <c r="U3927" i="4" s="1"/>
  <c r="S3928" i="4"/>
  <c r="U3928" i="4" s="1"/>
  <c r="S3929" i="4"/>
  <c r="U3929" i="4" s="1"/>
  <c r="S3930" i="4"/>
  <c r="U3930" i="4" s="1"/>
  <c r="S3931" i="4"/>
  <c r="U3931" i="4" s="1"/>
  <c r="S3932" i="4"/>
  <c r="U3932" i="4" s="1"/>
  <c r="S3933" i="4"/>
  <c r="U3933" i="4" s="1"/>
  <c r="S3934" i="4"/>
  <c r="U3934" i="4" s="1"/>
  <c r="S3935" i="4"/>
  <c r="U3935" i="4" s="1"/>
  <c r="S3936" i="4"/>
  <c r="U3936" i="4" s="1"/>
  <c r="S3937" i="4"/>
  <c r="U3937" i="4" s="1"/>
  <c r="S3938" i="4"/>
  <c r="U3938" i="4" s="1"/>
  <c r="S3939" i="4"/>
  <c r="U3939" i="4" s="1"/>
  <c r="S3940" i="4"/>
  <c r="U3940" i="4" s="1"/>
  <c r="S3941" i="4"/>
  <c r="U3941" i="4" s="1"/>
  <c r="S3942" i="4"/>
  <c r="U3942" i="4" s="1"/>
  <c r="S3943" i="4"/>
  <c r="U3943" i="4" s="1"/>
  <c r="S3944" i="4"/>
  <c r="U3944" i="4" s="1"/>
  <c r="S3945" i="4"/>
  <c r="U3945" i="4" s="1"/>
  <c r="S3946" i="4"/>
  <c r="U3946" i="4" s="1"/>
  <c r="S3947" i="4"/>
  <c r="U3947" i="4" s="1"/>
  <c r="S3948" i="4"/>
  <c r="U3948" i="4" s="1"/>
  <c r="S3949" i="4"/>
  <c r="U3949" i="4" s="1"/>
  <c r="S3950" i="4"/>
  <c r="U3950" i="4" s="1"/>
  <c r="S3951" i="4"/>
  <c r="U3951" i="4" s="1"/>
  <c r="S3952" i="4"/>
  <c r="U3952" i="4" s="1"/>
  <c r="S3953" i="4"/>
  <c r="U3953" i="4" s="1"/>
  <c r="S3954" i="4"/>
  <c r="U3954" i="4" s="1"/>
  <c r="S3955" i="4"/>
  <c r="U3955" i="4" s="1"/>
  <c r="S3956" i="4"/>
  <c r="U3956" i="4" s="1"/>
  <c r="S3957" i="4"/>
  <c r="U3957" i="4" s="1"/>
  <c r="S3958" i="4"/>
  <c r="U3958" i="4" s="1"/>
  <c r="S3959" i="4"/>
  <c r="U3959" i="4" s="1"/>
  <c r="S3960" i="4"/>
  <c r="U3960" i="4" s="1"/>
  <c r="S3961" i="4"/>
  <c r="U3961" i="4" s="1"/>
  <c r="S3962" i="4"/>
  <c r="U3962" i="4" s="1"/>
  <c r="S3963" i="4"/>
  <c r="U3963" i="4" s="1"/>
  <c r="S3964" i="4"/>
  <c r="U3964" i="4" s="1"/>
  <c r="S3965" i="4"/>
  <c r="U3965" i="4" s="1"/>
  <c r="S3966" i="4"/>
  <c r="U3966" i="4" s="1"/>
  <c r="S3967" i="4"/>
  <c r="U3967" i="4" s="1"/>
  <c r="S3968" i="4"/>
  <c r="U3968" i="4" s="1"/>
  <c r="S3969" i="4"/>
  <c r="U3969" i="4" s="1"/>
  <c r="S3970" i="4"/>
  <c r="U3970" i="4" s="1"/>
  <c r="S3971" i="4"/>
  <c r="U3971" i="4" s="1"/>
  <c r="S3972" i="4"/>
  <c r="U3972" i="4" s="1"/>
  <c r="S3973" i="4"/>
  <c r="U3973" i="4" s="1"/>
  <c r="S3974" i="4"/>
  <c r="U3974" i="4" s="1"/>
  <c r="S3975" i="4"/>
  <c r="U3975" i="4" s="1"/>
  <c r="S3976" i="4"/>
  <c r="U3976" i="4" s="1"/>
  <c r="S3977" i="4"/>
  <c r="U3977" i="4" s="1"/>
  <c r="S3978" i="4"/>
  <c r="U3978" i="4" s="1"/>
  <c r="S3979" i="4"/>
  <c r="U3979" i="4" s="1"/>
  <c r="S3980" i="4"/>
  <c r="U3980" i="4" s="1"/>
  <c r="S3981" i="4"/>
  <c r="U3981" i="4" s="1"/>
  <c r="S3982" i="4"/>
  <c r="U3982" i="4" s="1"/>
  <c r="S3983" i="4"/>
  <c r="U3983" i="4" s="1"/>
  <c r="S3984" i="4"/>
  <c r="U3984" i="4" s="1"/>
  <c r="S3985" i="4"/>
  <c r="U3985" i="4" s="1"/>
  <c r="S3986" i="4"/>
  <c r="U3986" i="4" s="1"/>
  <c r="S3987" i="4"/>
  <c r="U3987" i="4" s="1"/>
  <c r="S3988" i="4"/>
  <c r="U3988" i="4" s="1"/>
  <c r="S3989" i="4"/>
  <c r="U3989" i="4" s="1"/>
  <c r="S3990" i="4"/>
  <c r="U3990" i="4" s="1"/>
  <c r="S3991" i="4"/>
  <c r="U3991" i="4" s="1"/>
  <c r="S3992" i="4"/>
  <c r="U3992" i="4" s="1"/>
  <c r="S3993" i="4"/>
  <c r="U3993" i="4" s="1"/>
  <c r="S3994" i="4"/>
  <c r="U3994" i="4" s="1"/>
  <c r="S3995" i="4"/>
  <c r="U3995" i="4" s="1"/>
  <c r="S3996" i="4"/>
  <c r="U3996" i="4" s="1"/>
  <c r="S3997" i="4"/>
  <c r="U3997" i="4" s="1"/>
  <c r="S3998" i="4"/>
  <c r="U3998" i="4" s="1"/>
  <c r="S3999" i="4"/>
  <c r="U3999" i="4" s="1"/>
  <c r="S4000" i="4"/>
  <c r="U4000" i="4" s="1"/>
  <c r="S4001" i="4"/>
  <c r="U4001" i="4" s="1"/>
  <c r="S4002" i="4"/>
  <c r="U4002" i="4" s="1"/>
  <c r="S4003" i="4"/>
  <c r="U4003" i="4" s="1"/>
  <c r="S4004" i="4"/>
  <c r="U4004" i="4" s="1"/>
  <c r="S4005" i="4"/>
  <c r="U4005" i="4" s="1"/>
  <c r="S4006" i="4"/>
  <c r="U4006" i="4" s="1"/>
  <c r="S4007" i="4"/>
  <c r="U4007" i="4" s="1"/>
  <c r="S4008" i="4"/>
  <c r="U4008" i="4" s="1"/>
  <c r="S4009" i="4"/>
  <c r="U4009" i="4" s="1"/>
  <c r="S4010" i="4"/>
  <c r="U4010" i="4" s="1"/>
  <c r="S4011" i="4"/>
  <c r="U4011" i="4" s="1"/>
  <c r="S4012" i="4"/>
  <c r="U4012" i="4" s="1"/>
  <c r="S4013" i="4"/>
  <c r="U4013" i="4" s="1"/>
  <c r="S4014" i="4"/>
  <c r="U4014" i="4" s="1"/>
  <c r="S4015" i="4"/>
  <c r="U4015" i="4" s="1"/>
  <c r="S4016" i="4"/>
  <c r="U4016" i="4" s="1"/>
  <c r="S4017" i="4"/>
  <c r="U4017" i="4" s="1"/>
  <c r="S4018" i="4"/>
  <c r="U4018" i="4" s="1"/>
  <c r="S4019" i="4"/>
  <c r="U4019" i="4" s="1"/>
  <c r="S4020" i="4"/>
  <c r="U4020" i="4" s="1"/>
  <c r="S4021" i="4"/>
  <c r="U4021" i="4" s="1"/>
  <c r="S4022" i="4"/>
  <c r="U4022" i="4" s="1"/>
  <c r="S4023" i="4"/>
  <c r="U4023" i="4" s="1"/>
  <c r="S4024" i="4"/>
  <c r="U4024" i="4" s="1"/>
  <c r="S4025" i="4"/>
  <c r="U4025" i="4" s="1"/>
  <c r="S4026" i="4"/>
  <c r="U4026" i="4" s="1"/>
  <c r="S4027" i="4"/>
  <c r="U4027" i="4" s="1"/>
  <c r="S4028" i="4"/>
  <c r="U4028" i="4" s="1"/>
  <c r="S4029" i="4"/>
  <c r="U4029" i="4" s="1"/>
  <c r="S4030" i="4"/>
  <c r="U4030" i="4" s="1"/>
  <c r="S4031" i="4"/>
  <c r="U4031" i="4" s="1"/>
  <c r="S4032" i="4"/>
  <c r="U4032" i="4" s="1"/>
  <c r="S4033" i="4"/>
  <c r="U4033" i="4" s="1"/>
  <c r="S4034" i="4"/>
  <c r="U4034" i="4" s="1"/>
  <c r="S4035" i="4"/>
  <c r="U4035" i="4" s="1"/>
  <c r="S4036" i="4"/>
  <c r="U4036" i="4" s="1"/>
  <c r="S4037" i="4"/>
  <c r="U4037" i="4" s="1"/>
  <c r="S4038" i="4"/>
  <c r="U4038" i="4" s="1"/>
  <c r="S4039" i="4"/>
  <c r="U4039" i="4" s="1"/>
  <c r="S4040" i="4"/>
  <c r="U4040" i="4" s="1"/>
  <c r="S4041" i="4"/>
  <c r="U4041" i="4" s="1"/>
  <c r="S4042" i="4"/>
  <c r="U4042" i="4" s="1"/>
  <c r="S4043" i="4"/>
  <c r="U4043" i="4" s="1"/>
  <c r="S4044" i="4"/>
  <c r="U4044" i="4" s="1"/>
  <c r="S4045" i="4"/>
  <c r="U4045" i="4" s="1"/>
  <c r="S4046" i="4"/>
  <c r="U4046" i="4" s="1"/>
  <c r="S4047" i="4"/>
  <c r="U4047" i="4" s="1"/>
  <c r="S4048" i="4"/>
  <c r="U4048" i="4" s="1"/>
  <c r="S4049" i="4"/>
  <c r="U4049" i="4" s="1"/>
  <c r="S4050" i="4"/>
  <c r="U4050" i="4" s="1"/>
  <c r="S4051" i="4"/>
  <c r="U4051" i="4" s="1"/>
  <c r="S4052" i="4"/>
  <c r="U4052" i="4" s="1"/>
  <c r="S4053" i="4"/>
  <c r="U4053" i="4" s="1"/>
  <c r="S4054" i="4"/>
  <c r="U4054" i="4" s="1"/>
  <c r="S4055" i="4"/>
  <c r="U4055" i="4" s="1"/>
  <c r="S4056" i="4"/>
  <c r="U4056" i="4" s="1"/>
  <c r="S4057" i="4"/>
  <c r="U4057" i="4" s="1"/>
  <c r="S4058" i="4"/>
  <c r="U4058" i="4" s="1"/>
  <c r="S4059" i="4"/>
  <c r="U4059" i="4" s="1"/>
  <c r="S4060" i="4"/>
  <c r="U4060" i="4" s="1"/>
  <c r="S4061" i="4"/>
  <c r="U4061" i="4" s="1"/>
  <c r="S4062" i="4"/>
  <c r="U4062" i="4" s="1"/>
  <c r="S4063" i="4"/>
  <c r="U4063" i="4" s="1"/>
  <c r="S4064" i="4"/>
  <c r="U4064" i="4" s="1"/>
  <c r="S4065" i="4"/>
  <c r="U4065" i="4" s="1"/>
  <c r="S4066" i="4"/>
  <c r="U4066" i="4" s="1"/>
  <c r="S4067" i="4"/>
  <c r="U4067" i="4" s="1"/>
  <c r="S4068" i="4"/>
  <c r="U4068" i="4" s="1"/>
  <c r="S4069" i="4"/>
  <c r="U4069" i="4" s="1"/>
  <c r="S4070" i="4"/>
  <c r="U4070" i="4" s="1"/>
  <c r="S4071" i="4"/>
  <c r="U4071" i="4" s="1"/>
  <c r="S4072" i="4"/>
  <c r="U4072" i="4" s="1"/>
  <c r="S4073" i="4"/>
  <c r="U4073" i="4" s="1"/>
  <c r="S4074" i="4"/>
  <c r="U4074" i="4" s="1"/>
  <c r="S4075" i="4"/>
  <c r="U4075" i="4" s="1"/>
  <c r="S4076" i="4"/>
  <c r="U4076" i="4" s="1"/>
  <c r="S4077" i="4"/>
  <c r="U4077" i="4" s="1"/>
  <c r="S4078" i="4"/>
  <c r="U4078" i="4" s="1"/>
  <c r="S4079" i="4"/>
  <c r="U4079" i="4" s="1"/>
  <c r="S4080" i="4"/>
  <c r="U4080" i="4" s="1"/>
  <c r="S4081" i="4"/>
  <c r="U4081" i="4" s="1"/>
  <c r="S4082" i="4"/>
  <c r="U4082" i="4" s="1"/>
  <c r="S4083" i="4"/>
  <c r="U4083" i="4" s="1"/>
  <c r="S4084" i="4"/>
  <c r="U4084" i="4" s="1"/>
  <c r="S4085" i="4"/>
  <c r="U4085" i="4" s="1"/>
  <c r="S4086" i="4"/>
  <c r="U4086" i="4" s="1"/>
  <c r="S4087" i="4"/>
  <c r="U4087" i="4" s="1"/>
  <c r="S4088" i="4"/>
  <c r="U4088" i="4" s="1"/>
  <c r="S4089" i="4"/>
  <c r="U4089" i="4" s="1"/>
  <c r="S4090" i="4"/>
  <c r="U4090" i="4" s="1"/>
  <c r="S4091" i="4"/>
  <c r="U4091" i="4" s="1"/>
  <c r="S4092" i="4"/>
  <c r="U4092" i="4" s="1"/>
  <c r="S4093" i="4"/>
  <c r="U4093" i="4" s="1"/>
  <c r="S4094" i="4"/>
  <c r="U4094" i="4" s="1"/>
  <c r="S4095" i="4"/>
  <c r="U4095" i="4" s="1"/>
  <c r="S4096" i="4"/>
  <c r="U4096" i="4" s="1"/>
  <c r="S4097" i="4"/>
  <c r="U4097" i="4" s="1"/>
  <c r="S4098" i="4"/>
  <c r="U4098" i="4" s="1"/>
  <c r="S4099" i="4"/>
  <c r="U4099" i="4" s="1"/>
  <c r="S4100" i="4"/>
  <c r="U4100" i="4" s="1"/>
  <c r="S4101" i="4"/>
  <c r="U4101" i="4" s="1"/>
  <c r="S4102" i="4"/>
  <c r="U4102" i="4" s="1"/>
  <c r="S4103" i="4"/>
  <c r="U4103" i="4" s="1"/>
  <c r="S4104" i="4"/>
  <c r="U4104" i="4" s="1"/>
  <c r="S4105" i="4"/>
  <c r="U4105" i="4" s="1"/>
  <c r="S4106" i="4"/>
  <c r="U4106" i="4" s="1"/>
  <c r="S4107" i="4"/>
  <c r="U4107" i="4" s="1"/>
  <c r="S4108" i="4"/>
  <c r="U4108" i="4" s="1"/>
  <c r="S4109" i="4"/>
  <c r="U4109" i="4" s="1"/>
  <c r="S4110" i="4"/>
  <c r="U4110" i="4" s="1"/>
  <c r="S4111" i="4"/>
  <c r="U4111" i="4" s="1"/>
  <c r="S4112" i="4"/>
  <c r="U4112" i="4" s="1"/>
  <c r="S4113" i="4"/>
  <c r="U4113" i="4" s="1"/>
  <c r="S4114" i="4"/>
  <c r="U4114" i="4" s="1"/>
  <c r="S4115" i="4"/>
  <c r="U4115" i="4" s="1"/>
  <c r="O2" i="4"/>
  <c r="P3" i="4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5" i="4"/>
  <c r="P196" i="4"/>
  <c r="P197" i="4"/>
  <c r="P198" i="4"/>
  <c r="P199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2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6" i="4"/>
  <c r="P237" i="4"/>
  <c r="P238" i="4"/>
  <c r="P239" i="4"/>
  <c r="P240" i="4"/>
  <c r="P241" i="4"/>
  <c r="P242" i="4"/>
  <c r="P243" i="4"/>
  <c r="P244" i="4"/>
  <c r="P245" i="4"/>
  <c r="P246" i="4"/>
  <c r="P247" i="4"/>
  <c r="P248" i="4"/>
  <c r="P249" i="4"/>
  <c r="P250" i="4"/>
  <c r="P251" i="4"/>
  <c r="P252" i="4"/>
  <c r="P253" i="4"/>
  <c r="P254" i="4"/>
  <c r="P255" i="4"/>
  <c r="P256" i="4"/>
  <c r="P257" i="4"/>
  <c r="P258" i="4"/>
  <c r="P259" i="4"/>
  <c r="P260" i="4"/>
  <c r="P261" i="4"/>
  <c r="P262" i="4"/>
  <c r="P263" i="4"/>
  <c r="P264" i="4"/>
  <c r="P265" i="4"/>
  <c r="P266" i="4"/>
  <c r="P267" i="4"/>
  <c r="P268" i="4"/>
  <c r="P269" i="4"/>
  <c r="P270" i="4"/>
  <c r="P271" i="4"/>
  <c r="P272" i="4"/>
  <c r="P273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P286" i="4"/>
  <c r="P287" i="4"/>
  <c r="P288" i="4"/>
  <c r="P289" i="4"/>
  <c r="P290" i="4"/>
  <c r="P291" i="4"/>
  <c r="P292" i="4"/>
  <c r="P293" i="4"/>
  <c r="P294" i="4"/>
  <c r="P295" i="4"/>
  <c r="P296" i="4"/>
  <c r="P297" i="4"/>
  <c r="P298" i="4"/>
  <c r="P299" i="4"/>
  <c r="P300" i="4"/>
  <c r="P301" i="4"/>
  <c r="P302" i="4"/>
  <c r="P303" i="4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19" i="4"/>
  <c r="P320" i="4"/>
  <c r="P321" i="4"/>
  <c r="P322" i="4"/>
  <c r="P323" i="4"/>
  <c r="P324" i="4"/>
  <c r="P325" i="4"/>
  <c r="P326" i="4"/>
  <c r="P327" i="4"/>
  <c r="P328" i="4"/>
  <c r="P329" i="4"/>
  <c r="P330" i="4"/>
  <c r="P331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47" i="4"/>
  <c r="P348" i="4"/>
  <c r="P349" i="4"/>
  <c r="P350" i="4"/>
  <c r="P351" i="4"/>
  <c r="P352" i="4"/>
  <c r="P353" i="4"/>
  <c r="P354" i="4"/>
  <c r="P355" i="4"/>
  <c r="P356" i="4"/>
  <c r="P357" i="4"/>
  <c r="P358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76" i="4"/>
  <c r="P377" i="4"/>
  <c r="P378" i="4"/>
  <c r="P379" i="4"/>
  <c r="P380" i="4"/>
  <c r="P381" i="4"/>
  <c r="P382" i="4"/>
  <c r="P383" i="4"/>
  <c r="P384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402" i="4"/>
  <c r="P403" i="4"/>
  <c r="P404" i="4"/>
  <c r="P405" i="4"/>
  <c r="P406" i="4"/>
  <c r="P407" i="4"/>
  <c r="P408" i="4"/>
  <c r="P409" i="4"/>
  <c r="P410" i="4"/>
  <c r="P411" i="4"/>
  <c r="P412" i="4"/>
  <c r="P413" i="4"/>
  <c r="P414" i="4"/>
  <c r="P415" i="4"/>
  <c r="P416" i="4"/>
  <c r="P417" i="4"/>
  <c r="P418" i="4"/>
  <c r="P419" i="4"/>
  <c r="P420" i="4"/>
  <c r="P421" i="4"/>
  <c r="P422" i="4"/>
  <c r="P423" i="4"/>
  <c r="P424" i="4"/>
  <c r="P425" i="4"/>
  <c r="P426" i="4"/>
  <c r="P427" i="4"/>
  <c r="P428" i="4"/>
  <c r="P429" i="4"/>
  <c r="P430" i="4"/>
  <c r="P431" i="4"/>
  <c r="P432" i="4"/>
  <c r="P433" i="4"/>
  <c r="P434" i="4"/>
  <c r="P435" i="4"/>
  <c r="P436" i="4"/>
  <c r="P437" i="4"/>
  <c r="P438" i="4"/>
  <c r="P439" i="4"/>
  <c r="P440" i="4"/>
  <c r="P441" i="4"/>
  <c r="P442" i="4"/>
  <c r="P443" i="4"/>
  <c r="P444" i="4"/>
  <c r="P445" i="4"/>
  <c r="P446" i="4"/>
  <c r="P447" i="4"/>
  <c r="P448" i="4"/>
  <c r="P449" i="4"/>
  <c r="P450" i="4"/>
  <c r="P451" i="4"/>
  <c r="P452" i="4"/>
  <c r="P453" i="4"/>
  <c r="P454" i="4"/>
  <c r="P455" i="4"/>
  <c r="P456" i="4"/>
  <c r="P457" i="4"/>
  <c r="P458" i="4"/>
  <c r="P459" i="4"/>
  <c r="P460" i="4"/>
  <c r="P461" i="4"/>
  <c r="P462" i="4"/>
  <c r="P463" i="4"/>
  <c r="P464" i="4"/>
  <c r="P465" i="4"/>
  <c r="P466" i="4"/>
  <c r="P467" i="4"/>
  <c r="P468" i="4"/>
  <c r="P469" i="4"/>
  <c r="P470" i="4"/>
  <c r="P471" i="4"/>
  <c r="P472" i="4"/>
  <c r="P473" i="4"/>
  <c r="P474" i="4"/>
  <c r="P475" i="4"/>
  <c r="P476" i="4"/>
  <c r="P477" i="4"/>
  <c r="P478" i="4"/>
  <c r="P479" i="4"/>
  <c r="P480" i="4"/>
  <c r="P481" i="4"/>
  <c r="P482" i="4"/>
  <c r="P483" i="4"/>
  <c r="P484" i="4"/>
  <c r="P485" i="4"/>
  <c r="P486" i="4"/>
  <c r="P487" i="4"/>
  <c r="P488" i="4"/>
  <c r="P489" i="4"/>
  <c r="P490" i="4"/>
  <c r="P491" i="4"/>
  <c r="P492" i="4"/>
  <c r="P493" i="4"/>
  <c r="P494" i="4"/>
  <c r="P495" i="4"/>
  <c r="P496" i="4"/>
  <c r="P497" i="4"/>
  <c r="P498" i="4"/>
  <c r="P499" i="4"/>
  <c r="P500" i="4"/>
  <c r="P501" i="4"/>
  <c r="P502" i="4"/>
  <c r="P503" i="4"/>
  <c r="P504" i="4"/>
  <c r="P505" i="4"/>
  <c r="P506" i="4"/>
  <c r="P507" i="4"/>
  <c r="P508" i="4"/>
  <c r="P509" i="4"/>
  <c r="P510" i="4"/>
  <c r="P511" i="4"/>
  <c r="P512" i="4"/>
  <c r="P513" i="4"/>
  <c r="P514" i="4"/>
  <c r="P515" i="4"/>
  <c r="P516" i="4"/>
  <c r="P517" i="4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54" i="4"/>
  <c r="P555" i="4"/>
  <c r="P556" i="4"/>
  <c r="P557" i="4"/>
  <c r="P558" i="4"/>
  <c r="P559" i="4"/>
  <c r="P560" i="4"/>
  <c r="P561" i="4"/>
  <c r="P562" i="4"/>
  <c r="P563" i="4"/>
  <c r="P564" i="4"/>
  <c r="P565" i="4"/>
  <c r="P566" i="4"/>
  <c r="P567" i="4"/>
  <c r="P568" i="4"/>
  <c r="P569" i="4"/>
  <c r="P570" i="4"/>
  <c r="P571" i="4"/>
  <c r="P572" i="4"/>
  <c r="P573" i="4"/>
  <c r="P574" i="4"/>
  <c r="P575" i="4"/>
  <c r="P576" i="4"/>
  <c r="P577" i="4"/>
  <c r="P578" i="4"/>
  <c r="P579" i="4"/>
  <c r="P580" i="4"/>
  <c r="P581" i="4"/>
  <c r="P582" i="4"/>
  <c r="P583" i="4"/>
  <c r="P584" i="4"/>
  <c r="P585" i="4"/>
  <c r="P586" i="4"/>
  <c r="P587" i="4"/>
  <c r="P588" i="4"/>
  <c r="P589" i="4"/>
  <c r="P590" i="4"/>
  <c r="P591" i="4"/>
  <c r="P592" i="4"/>
  <c r="P593" i="4"/>
  <c r="P594" i="4"/>
  <c r="P595" i="4"/>
  <c r="P596" i="4"/>
  <c r="P597" i="4"/>
  <c r="P598" i="4"/>
  <c r="P599" i="4"/>
  <c r="P600" i="4"/>
  <c r="P601" i="4"/>
  <c r="P602" i="4"/>
  <c r="P603" i="4"/>
  <c r="P604" i="4"/>
  <c r="P605" i="4"/>
  <c r="P606" i="4"/>
  <c r="P607" i="4"/>
  <c r="P608" i="4"/>
  <c r="P609" i="4"/>
  <c r="P610" i="4"/>
  <c r="P611" i="4"/>
  <c r="P612" i="4"/>
  <c r="P613" i="4"/>
  <c r="P614" i="4"/>
  <c r="P615" i="4"/>
  <c r="P616" i="4"/>
  <c r="P617" i="4"/>
  <c r="P618" i="4"/>
  <c r="P619" i="4"/>
  <c r="P620" i="4"/>
  <c r="P621" i="4"/>
  <c r="P622" i="4"/>
  <c r="P623" i="4"/>
  <c r="P624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P637" i="4"/>
  <c r="P638" i="4"/>
  <c r="P639" i="4"/>
  <c r="P640" i="4"/>
  <c r="P641" i="4"/>
  <c r="P642" i="4"/>
  <c r="P643" i="4"/>
  <c r="P644" i="4"/>
  <c r="P645" i="4"/>
  <c r="P646" i="4"/>
  <c r="P647" i="4"/>
  <c r="P648" i="4"/>
  <c r="P649" i="4"/>
  <c r="P650" i="4"/>
  <c r="P651" i="4"/>
  <c r="P652" i="4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P669" i="4"/>
  <c r="P670" i="4"/>
  <c r="P671" i="4"/>
  <c r="P672" i="4"/>
  <c r="P673" i="4"/>
  <c r="P674" i="4"/>
  <c r="P675" i="4"/>
  <c r="P676" i="4"/>
  <c r="P677" i="4"/>
  <c r="P678" i="4"/>
  <c r="P679" i="4"/>
  <c r="P680" i="4"/>
  <c r="P681" i="4"/>
  <c r="P682" i="4"/>
  <c r="P683" i="4"/>
  <c r="P684" i="4"/>
  <c r="P685" i="4"/>
  <c r="P686" i="4"/>
  <c r="P687" i="4"/>
  <c r="P688" i="4"/>
  <c r="P689" i="4"/>
  <c r="P690" i="4"/>
  <c r="P691" i="4"/>
  <c r="P692" i="4"/>
  <c r="P693" i="4"/>
  <c r="P694" i="4"/>
  <c r="P695" i="4"/>
  <c r="P696" i="4"/>
  <c r="P697" i="4"/>
  <c r="P698" i="4"/>
  <c r="P699" i="4"/>
  <c r="P700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724" i="4"/>
  <c r="P725" i="4"/>
  <c r="P726" i="4"/>
  <c r="P727" i="4"/>
  <c r="P728" i="4"/>
  <c r="P729" i="4"/>
  <c r="P730" i="4"/>
  <c r="P731" i="4"/>
  <c r="P732" i="4"/>
  <c r="P733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P759" i="4"/>
  <c r="P760" i="4"/>
  <c r="P761" i="4"/>
  <c r="P762" i="4"/>
  <c r="P763" i="4"/>
  <c r="P76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1" i="4"/>
  <c r="P782" i="4"/>
  <c r="P783" i="4"/>
  <c r="P784" i="4"/>
  <c r="P785" i="4"/>
  <c r="P786" i="4"/>
  <c r="P787" i="4"/>
  <c r="P788" i="4"/>
  <c r="P789" i="4"/>
  <c r="P790" i="4"/>
  <c r="P791" i="4"/>
  <c r="P792" i="4"/>
  <c r="P793" i="4"/>
  <c r="P794" i="4"/>
  <c r="P795" i="4"/>
  <c r="P796" i="4"/>
  <c r="P797" i="4"/>
  <c r="P798" i="4"/>
  <c r="P799" i="4"/>
  <c r="P800" i="4"/>
  <c r="P801" i="4"/>
  <c r="P802" i="4"/>
  <c r="P803" i="4"/>
  <c r="P804" i="4"/>
  <c r="P805" i="4"/>
  <c r="P806" i="4"/>
  <c r="P807" i="4"/>
  <c r="P808" i="4"/>
  <c r="P809" i="4"/>
  <c r="P810" i="4"/>
  <c r="P811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P826" i="4"/>
  <c r="P827" i="4"/>
  <c r="P828" i="4"/>
  <c r="P829" i="4"/>
  <c r="P830" i="4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1" i="4"/>
  <c r="P852" i="4"/>
  <c r="P853" i="4"/>
  <c r="P854" i="4"/>
  <c r="P855" i="4"/>
  <c r="P856" i="4"/>
  <c r="P857" i="4"/>
  <c r="P858" i="4"/>
  <c r="P859" i="4"/>
  <c r="P860" i="4"/>
  <c r="P861" i="4"/>
  <c r="P862" i="4"/>
  <c r="P863" i="4"/>
  <c r="P864" i="4"/>
  <c r="P865" i="4"/>
  <c r="P866" i="4"/>
  <c r="P867" i="4"/>
  <c r="P868" i="4"/>
  <c r="P869" i="4"/>
  <c r="P870" i="4"/>
  <c r="P871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87" i="4"/>
  <c r="P888" i="4"/>
  <c r="P889" i="4"/>
  <c r="P890" i="4"/>
  <c r="P891" i="4"/>
  <c r="P892" i="4"/>
  <c r="P893" i="4"/>
  <c r="P894" i="4"/>
  <c r="P895" i="4"/>
  <c r="P896" i="4"/>
  <c r="P897" i="4"/>
  <c r="P898" i="4"/>
  <c r="P899" i="4"/>
  <c r="P900" i="4"/>
  <c r="P901" i="4"/>
  <c r="P902" i="4"/>
  <c r="P903" i="4"/>
  <c r="P904" i="4"/>
  <c r="P905" i="4"/>
  <c r="P906" i="4"/>
  <c r="P907" i="4"/>
  <c r="P908" i="4"/>
  <c r="P909" i="4"/>
  <c r="P910" i="4"/>
  <c r="P911" i="4"/>
  <c r="P912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P927" i="4"/>
  <c r="P928" i="4"/>
  <c r="P929" i="4"/>
  <c r="P930" i="4"/>
  <c r="P931" i="4"/>
  <c r="P932" i="4"/>
  <c r="P933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7" i="4"/>
  <c r="P948" i="4"/>
  <c r="P949" i="4"/>
  <c r="P950" i="4"/>
  <c r="P951" i="4"/>
  <c r="P952" i="4"/>
  <c r="P953" i="4"/>
  <c r="P954" i="4"/>
  <c r="P955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P970" i="4"/>
  <c r="P971" i="4"/>
  <c r="P972" i="4"/>
  <c r="P973" i="4"/>
  <c r="P974" i="4"/>
  <c r="P975" i="4"/>
  <c r="P976" i="4"/>
  <c r="P977" i="4"/>
  <c r="P978" i="4"/>
  <c r="P979" i="4"/>
  <c r="P980" i="4"/>
  <c r="P981" i="4"/>
  <c r="P982" i="4"/>
  <c r="P983" i="4"/>
  <c r="P984" i="4"/>
  <c r="P985" i="4"/>
  <c r="P986" i="4"/>
  <c r="P987" i="4"/>
  <c r="P988" i="4"/>
  <c r="P989" i="4"/>
  <c r="P990" i="4"/>
  <c r="P991" i="4"/>
  <c r="P992" i="4"/>
  <c r="P993" i="4"/>
  <c r="P994" i="4"/>
  <c r="P995" i="4"/>
  <c r="P996" i="4"/>
  <c r="P997" i="4"/>
  <c r="P998" i="4"/>
  <c r="P999" i="4"/>
  <c r="P1000" i="4"/>
  <c r="P1001" i="4"/>
  <c r="P1002" i="4"/>
  <c r="P1003" i="4"/>
  <c r="P1004" i="4"/>
  <c r="P1005" i="4"/>
  <c r="P1006" i="4"/>
  <c r="P1007" i="4"/>
  <c r="P1008" i="4"/>
  <c r="P1009" i="4"/>
  <c r="P1010" i="4"/>
  <c r="P1011" i="4"/>
  <c r="P1012" i="4"/>
  <c r="P1013" i="4"/>
  <c r="P1014" i="4"/>
  <c r="P1015" i="4"/>
  <c r="P1016" i="4"/>
  <c r="P1017" i="4"/>
  <c r="P1018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P1031" i="4"/>
  <c r="P1032" i="4"/>
  <c r="P1033" i="4"/>
  <c r="P1034" i="4"/>
  <c r="P1035" i="4"/>
  <c r="P1036" i="4"/>
  <c r="P1037" i="4"/>
  <c r="P1038" i="4"/>
  <c r="P1039" i="4"/>
  <c r="P1040" i="4"/>
  <c r="P1041" i="4"/>
  <c r="P1042" i="4"/>
  <c r="P1043" i="4"/>
  <c r="P1044" i="4"/>
  <c r="P1045" i="4"/>
  <c r="P1046" i="4"/>
  <c r="P1047" i="4"/>
  <c r="P1048" i="4"/>
  <c r="P1049" i="4"/>
  <c r="P1050" i="4"/>
  <c r="P1051" i="4"/>
  <c r="P1052" i="4"/>
  <c r="P1053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095" i="4"/>
  <c r="P1096" i="4"/>
  <c r="P1097" i="4"/>
  <c r="P1098" i="4"/>
  <c r="P1099" i="4"/>
  <c r="P1100" i="4"/>
  <c r="P1101" i="4"/>
  <c r="P1102" i="4"/>
  <c r="P1103" i="4"/>
  <c r="P1104" i="4"/>
  <c r="P1105" i="4"/>
  <c r="P1106" i="4"/>
  <c r="P1107" i="4"/>
  <c r="P1108" i="4"/>
  <c r="P1109" i="4"/>
  <c r="P1110" i="4"/>
  <c r="P1111" i="4"/>
  <c r="P1112" i="4"/>
  <c r="P1113" i="4"/>
  <c r="P1114" i="4"/>
  <c r="P1115" i="4"/>
  <c r="P1116" i="4"/>
  <c r="P1117" i="4"/>
  <c r="P1118" i="4"/>
  <c r="P1119" i="4"/>
  <c r="P1120" i="4"/>
  <c r="P1121" i="4"/>
  <c r="P1122" i="4"/>
  <c r="P1123" i="4"/>
  <c r="P1124" i="4"/>
  <c r="P1125" i="4"/>
  <c r="P1126" i="4"/>
  <c r="P1127" i="4"/>
  <c r="P1128" i="4"/>
  <c r="P1129" i="4"/>
  <c r="P1130" i="4"/>
  <c r="P1131" i="4"/>
  <c r="P1132" i="4"/>
  <c r="P1133" i="4"/>
  <c r="P1134" i="4"/>
  <c r="P1135" i="4"/>
  <c r="P1136" i="4"/>
  <c r="P1137" i="4"/>
  <c r="P1138" i="4"/>
  <c r="P1139" i="4"/>
  <c r="P1140" i="4"/>
  <c r="P1141" i="4"/>
  <c r="P1142" i="4"/>
  <c r="P1143" i="4"/>
  <c r="P1144" i="4"/>
  <c r="P1145" i="4"/>
  <c r="P1146" i="4"/>
  <c r="P1147" i="4"/>
  <c r="P1148" i="4"/>
  <c r="P1149" i="4"/>
  <c r="P1150" i="4"/>
  <c r="P1151" i="4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P1183" i="4"/>
  <c r="P1184" i="4"/>
  <c r="P1185" i="4"/>
  <c r="P1186" i="4"/>
  <c r="P1187" i="4"/>
  <c r="P1188" i="4"/>
  <c r="P1189" i="4"/>
  <c r="P1190" i="4"/>
  <c r="P1191" i="4"/>
  <c r="P1192" i="4"/>
  <c r="P1193" i="4"/>
  <c r="P1194" i="4"/>
  <c r="P1195" i="4"/>
  <c r="P1196" i="4"/>
  <c r="P1197" i="4"/>
  <c r="P1198" i="4"/>
  <c r="P1199" i="4"/>
  <c r="P1200" i="4"/>
  <c r="P1201" i="4"/>
  <c r="P1202" i="4"/>
  <c r="P1203" i="4"/>
  <c r="P1204" i="4"/>
  <c r="P1205" i="4"/>
  <c r="P1206" i="4"/>
  <c r="P1207" i="4"/>
  <c r="P1208" i="4"/>
  <c r="P1209" i="4"/>
  <c r="P1210" i="4"/>
  <c r="P1211" i="4"/>
  <c r="P1212" i="4"/>
  <c r="P1213" i="4"/>
  <c r="P1214" i="4"/>
  <c r="P1215" i="4"/>
  <c r="P1216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3" i="4"/>
  <c r="P1234" i="4"/>
  <c r="P1235" i="4"/>
  <c r="P1236" i="4"/>
  <c r="P1237" i="4"/>
  <c r="P1238" i="4"/>
  <c r="P1239" i="4"/>
  <c r="P1240" i="4"/>
  <c r="P1241" i="4"/>
  <c r="P1242" i="4"/>
  <c r="P1243" i="4"/>
  <c r="P1244" i="4"/>
  <c r="P1245" i="4"/>
  <c r="P1246" i="4"/>
  <c r="P1247" i="4"/>
  <c r="P1248" i="4"/>
  <c r="P1249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3" i="4"/>
  <c r="P1264" i="4"/>
  <c r="P1265" i="4"/>
  <c r="P1266" i="4"/>
  <c r="P1267" i="4"/>
  <c r="P1268" i="4"/>
  <c r="P1269" i="4"/>
  <c r="P1270" i="4"/>
  <c r="P1271" i="4"/>
  <c r="P1272" i="4"/>
  <c r="P1273" i="4"/>
  <c r="P1274" i="4"/>
  <c r="P1275" i="4"/>
  <c r="P1276" i="4"/>
  <c r="P1277" i="4"/>
  <c r="P1278" i="4"/>
  <c r="P1279" i="4"/>
  <c r="P1280" i="4"/>
  <c r="P1281" i="4"/>
  <c r="P1282" i="4"/>
  <c r="P1283" i="4"/>
  <c r="P1284" i="4"/>
  <c r="P1285" i="4"/>
  <c r="P1286" i="4"/>
  <c r="P1287" i="4"/>
  <c r="P1288" i="4"/>
  <c r="P1289" i="4"/>
  <c r="P1290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P1313" i="4"/>
  <c r="P1314" i="4"/>
  <c r="P1315" i="4"/>
  <c r="P1316" i="4"/>
  <c r="P1317" i="4"/>
  <c r="P1318" i="4"/>
  <c r="P1319" i="4"/>
  <c r="P1320" i="4"/>
  <c r="P1321" i="4"/>
  <c r="P1322" i="4"/>
  <c r="P1323" i="4"/>
  <c r="P1324" i="4"/>
  <c r="P1325" i="4"/>
  <c r="P132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1" i="4"/>
  <c r="P1342" i="4"/>
  <c r="P1343" i="4"/>
  <c r="P1344" i="4"/>
  <c r="P1345" i="4"/>
  <c r="P1346" i="4"/>
  <c r="P1347" i="4"/>
  <c r="P1348" i="4"/>
  <c r="P1349" i="4"/>
  <c r="P1350" i="4"/>
  <c r="P1351" i="4"/>
  <c r="P1352" i="4"/>
  <c r="P1353" i="4"/>
  <c r="P1354" i="4"/>
  <c r="P1355" i="4"/>
  <c r="P1356" i="4"/>
  <c r="P1357" i="4"/>
  <c r="P1358" i="4"/>
  <c r="P1359" i="4"/>
  <c r="P1360" i="4"/>
  <c r="P1361" i="4"/>
  <c r="P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399" i="4"/>
  <c r="P1400" i="4"/>
  <c r="P1401" i="4"/>
  <c r="P1402" i="4"/>
  <c r="P1403" i="4"/>
  <c r="P1404" i="4"/>
  <c r="P1405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P1429" i="4"/>
  <c r="P1430" i="4"/>
  <c r="P1431" i="4"/>
  <c r="P1432" i="4"/>
  <c r="P1433" i="4"/>
  <c r="P1434" i="4"/>
  <c r="P1435" i="4"/>
  <c r="P1436" i="4"/>
  <c r="P1437" i="4"/>
  <c r="P1438" i="4"/>
  <c r="P1439" i="4"/>
  <c r="P1440" i="4"/>
  <c r="P1441" i="4"/>
  <c r="P1442" i="4"/>
  <c r="P1443" i="4"/>
  <c r="P1444" i="4"/>
  <c r="P1445" i="4"/>
  <c r="P1446" i="4"/>
  <c r="P1447" i="4"/>
  <c r="P1448" i="4"/>
  <c r="P1449" i="4"/>
  <c r="P1450" i="4"/>
  <c r="P1451" i="4"/>
  <c r="P1452" i="4"/>
  <c r="P1453" i="4"/>
  <c r="P1454" i="4"/>
  <c r="P1455" i="4"/>
  <c r="P1456" i="4"/>
  <c r="P1457" i="4"/>
  <c r="P1458" i="4"/>
  <c r="P1459" i="4"/>
  <c r="P1460" i="4"/>
  <c r="P1461" i="4"/>
  <c r="P1462" i="4"/>
  <c r="P1463" i="4"/>
  <c r="P1464" i="4"/>
  <c r="P1465" i="4"/>
  <c r="P1466" i="4"/>
  <c r="P1467" i="4"/>
  <c r="P1468" i="4"/>
  <c r="P1469" i="4"/>
  <c r="P1470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P1486" i="4"/>
  <c r="P1487" i="4"/>
  <c r="P1488" i="4"/>
  <c r="P1489" i="4"/>
  <c r="P1490" i="4"/>
  <c r="P1491" i="4"/>
  <c r="P1492" i="4"/>
  <c r="P1493" i="4"/>
  <c r="P1494" i="4"/>
  <c r="P1495" i="4"/>
  <c r="P1496" i="4"/>
  <c r="P1497" i="4"/>
  <c r="P1498" i="4"/>
  <c r="P1499" i="4"/>
  <c r="P1500" i="4"/>
  <c r="P1501" i="4"/>
  <c r="P1502" i="4"/>
  <c r="P1503" i="4"/>
  <c r="P1504" i="4"/>
  <c r="P1505" i="4"/>
  <c r="P1506" i="4"/>
  <c r="P1507" i="4"/>
  <c r="P1508" i="4"/>
  <c r="P1509" i="4"/>
  <c r="P1510" i="4"/>
  <c r="P1511" i="4"/>
  <c r="P1512" i="4"/>
  <c r="P1513" i="4"/>
  <c r="P1514" i="4"/>
  <c r="P1515" i="4"/>
  <c r="P1516" i="4"/>
  <c r="P1517" i="4"/>
  <c r="P1518" i="4"/>
  <c r="P1519" i="4"/>
  <c r="P1520" i="4"/>
  <c r="P1521" i="4"/>
  <c r="P1522" i="4"/>
  <c r="P1523" i="4"/>
  <c r="P1524" i="4"/>
  <c r="P1525" i="4"/>
  <c r="P1526" i="4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P1621" i="4"/>
  <c r="P1622" i="4"/>
  <c r="P1623" i="4"/>
  <c r="P1624" i="4"/>
  <c r="P1625" i="4"/>
  <c r="P1626" i="4"/>
  <c r="P1627" i="4"/>
  <c r="P1628" i="4"/>
  <c r="P1629" i="4"/>
  <c r="P1630" i="4"/>
  <c r="P1631" i="4"/>
  <c r="P1632" i="4"/>
  <c r="P1633" i="4"/>
  <c r="P1634" i="4"/>
  <c r="P1635" i="4"/>
  <c r="P1636" i="4"/>
  <c r="P1637" i="4"/>
  <c r="P1638" i="4"/>
  <c r="P1639" i="4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3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708" i="4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P1729" i="4"/>
  <c r="P1730" i="4"/>
  <c r="P1731" i="4"/>
  <c r="P1732" i="4"/>
  <c r="P1733" i="4"/>
  <c r="P1734" i="4"/>
  <c r="P1735" i="4"/>
  <c r="P1736" i="4"/>
  <c r="P1737" i="4"/>
  <c r="P1738" i="4"/>
  <c r="P1739" i="4"/>
  <c r="P1740" i="4"/>
  <c r="P1741" i="4"/>
  <c r="P1742" i="4"/>
  <c r="P1743" i="4"/>
  <c r="P1744" i="4"/>
  <c r="P1745" i="4"/>
  <c r="P1746" i="4"/>
  <c r="P1747" i="4"/>
  <c r="P1748" i="4"/>
  <c r="P1749" i="4"/>
  <c r="P1750" i="4"/>
  <c r="P1751" i="4"/>
  <c r="P1752" i="4"/>
  <c r="P1753" i="4"/>
  <c r="P1754" i="4"/>
  <c r="P1755" i="4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09" i="4"/>
  <c r="P1810" i="4"/>
  <c r="P1811" i="4"/>
  <c r="P1812" i="4"/>
  <c r="P1813" i="4"/>
  <c r="P1814" i="4"/>
  <c r="P1815" i="4"/>
  <c r="P1816" i="4"/>
  <c r="P1817" i="4"/>
  <c r="P1818" i="4"/>
  <c r="P1819" i="4"/>
  <c r="P1820" i="4"/>
  <c r="P1821" i="4"/>
  <c r="P1822" i="4"/>
  <c r="P1823" i="4"/>
  <c r="P1824" i="4"/>
  <c r="P1825" i="4"/>
  <c r="P1826" i="4"/>
  <c r="P1827" i="4"/>
  <c r="P1828" i="4"/>
  <c r="P1829" i="4"/>
  <c r="P1830" i="4"/>
  <c r="P1831" i="4"/>
  <c r="P1832" i="4"/>
  <c r="P1833" i="4"/>
  <c r="P1834" i="4"/>
  <c r="P1835" i="4"/>
  <c r="P1836" i="4"/>
  <c r="P1837" i="4"/>
  <c r="P1838" i="4"/>
  <c r="P1839" i="4"/>
  <c r="P1840" i="4"/>
  <c r="P1841" i="4"/>
  <c r="P1842" i="4"/>
  <c r="P1843" i="4"/>
  <c r="P1844" i="4"/>
  <c r="P1845" i="4"/>
  <c r="P1846" i="4"/>
  <c r="P1847" i="4"/>
  <c r="P1848" i="4"/>
  <c r="P1849" i="4"/>
  <c r="P1850" i="4"/>
  <c r="P1851" i="4"/>
  <c r="P1852" i="4"/>
  <c r="P1853" i="4"/>
  <c r="P1854" i="4"/>
  <c r="P1855" i="4"/>
  <c r="P1856" i="4"/>
  <c r="P1857" i="4"/>
  <c r="P1858" i="4"/>
  <c r="P1859" i="4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7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P1936" i="4"/>
  <c r="P1937" i="4"/>
  <c r="P1938" i="4"/>
  <c r="P1939" i="4"/>
  <c r="P1940" i="4"/>
  <c r="P1941" i="4"/>
  <c r="P1942" i="4"/>
  <c r="P1943" i="4"/>
  <c r="P1944" i="4"/>
  <c r="P1945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4" i="4"/>
  <c r="P1965" i="4"/>
  <c r="P1966" i="4"/>
  <c r="P1967" i="4"/>
  <c r="P1968" i="4"/>
  <c r="P1969" i="4"/>
  <c r="P1970" i="4"/>
  <c r="P1971" i="4"/>
  <c r="P1972" i="4"/>
  <c r="P1973" i="4"/>
  <c r="P1974" i="4"/>
  <c r="P1975" i="4"/>
  <c r="P1976" i="4"/>
  <c r="P1977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2" i="4"/>
  <c r="P2003" i="4"/>
  <c r="P2004" i="4"/>
  <c r="P2005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P2044" i="4"/>
  <c r="P2045" i="4"/>
  <c r="P2046" i="4"/>
  <c r="P2047" i="4"/>
  <c r="P2048" i="4"/>
  <c r="P2049" i="4"/>
  <c r="P2050" i="4"/>
  <c r="P2051" i="4"/>
  <c r="P2052" i="4"/>
  <c r="P2053" i="4"/>
  <c r="P2054" i="4"/>
  <c r="P2055" i="4"/>
  <c r="P2056" i="4"/>
  <c r="P2057" i="4"/>
  <c r="P2058" i="4"/>
  <c r="P2059" i="4"/>
  <c r="P2060" i="4"/>
  <c r="P2061" i="4"/>
  <c r="P2062" i="4"/>
  <c r="P2063" i="4"/>
  <c r="P2064" i="4"/>
  <c r="P2065" i="4"/>
  <c r="P2066" i="4"/>
  <c r="P2067" i="4"/>
  <c r="P2068" i="4"/>
  <c r="P2069" i="4"/>
  <c r="P2070" i="4"/>
  <c r="P2071" i="4"/>
  <c r="P2072" i="4"/>
  <c r="P2073" i="4"/>
  <c r="P2074" i="4"/>
  <c r="P2075" i="4"/>
  <c r="P2076" i="4"/>
  <c r="P2077" i="4"/>
  <c r="P2078" i="4"/>
  <c r="P2079" i="4"/>
  <c r="P2080" i="4"/>
  <c r="P2081" i="4"/>
  <c r="P2082" i="4"/>
  <c r="P2083" i="4"/>
  <c r="P2084" i="4"/>
  <c r="P2085" i="4"/>
  <c r="P2086" i="4"/>
  <c r="P2087" i="4"/>
  <c r="P2088" i="4"/>
  <c r="P2089" i="4"/>
  <c r="P2090" i="4"/>
  <c r="P2091" i="4"/>
  <c r="P2092" i="4"/>
  <c r="P2093" i="4"/>
  <c r="P2094" i="4"/>
  <c r="P2095" i="4"/>
  <c r="P2096" i="4"/>
  <c r="P2097" i="4"/>
  <c r="P2098" i="4"/>
  <c r="P2099" i="4"/>
  <c r="P2100" i="4"/>
  <c r="P2101" i="4"/>
  <c r="P2102" i="4"/>
  <c r="P2103" i="4"/>
  <c r="P2104" i="4"/>
  <c r="P2105" i="4"/>
  <c r="P2106" i="4"/>
  <c r="P2107" i="4"/>
  <c r="P2108" i="4"/>
  <c r="P2109" i="4"/>
  <c r="P2110" i="4"/>
  <c r="P2111" i="4"/>
  <c r="P2112" i="4"/>
  <c r="P2113" i="4"/>
  <c r="P2114" i="4"/>
  <c r="P2115" i="4"/>
  <c r="P2116" i="4"/>
  <c r="P2117" i="4"/>
  <c r="P2118" i="4"/>
  <c r="P2119" i="4"/>
  <c r="P2120" i="4"/>
  <c r="P2121" i="4"/>
  <c r="P2122" i="4"/>
  <c r="P2123" i="4"/>
  <c r="P2124" i="4"/>
  <c r="P2125" i="4"/>
  <c r="P2126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P2140" i="4"/>
  <c r="P2141" i="4"/>
  <c r="P2142" i="4"/>
  <c r="P2143" i="4"/>
  <c r="P2144" i="4"/>
  <c r="P2145" i="4"/>
  <c r="P2146" i="4"/>
  <c r="P2147" i="4"/>
  <c r="P2148" i="4"/>
  <c r="P2149" i="4"/>
  <c r="P2150" i="4"/>
  <c r="P2151" i="4"/>
  <c r="P2152" i="4"/>
  <c r="P2153" i="4"/>
  <c r="P2154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P2168" i="4"/>
  <c r="P2169" i="4"/>
  <c r="P2170" i="4"/>
  <c r="P2171" i="4"/>
  <c r="P2172" i="4"/>
  <c r="P2173" i="4"/>
  <c r="P2174" i="4"/>
  <c r="P2175" i="4"/>
  <c r="P2176" i="4"/>
  <c r="P2177" i="4"/>
  <c r="P2178" i="4"/>
  <c r="P2179" i="4"/>
  <c r="P2180" i="4"/>
  <c r="P2181" i="4"/>
  <c r="P2182" i="4"/>
  <c r="P2183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4" i="4"/>
  <c r="P2205" i="4"/>
  <c r="P2206" i="4"/>
  <c r="P2207" i="4"/>
  <c r="P2208" i="4"/>
  <c r="P2209" i="4"/>
  <c r="P2210" i="4"/>
  <c r="P2211" i="4"/>
  <c r="P2212" i="4"/>
  <c r="P2213" i="4"/>
  <c r="P2214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P2229" i="4"/>
  <c r="P2230" i="4"/>
  <c r="P2231" i="4"/>
  <c r="P2232" i="4"/>
  <c r="P2233" i="4"/>
  <c r="P2234" i="4"/>
  <c r="P2235" i="4"/>
  <c r="P2236" i="4"/>
  <c r="P2237" i="4"/>
  <c r="P2238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P2259" i="4"/>
  <c r="P2260" i="4"/>
  <c r="P2261" i="4"/>
  <c r="P2262" i="4"/>
  <c r="P2263" i="4"/>
  <c r="P2264" i="4"/>
  <c r="P2265" i="4"/>
  <c r="P2266" i="4"/>
  <c r="P2267" i="4"/>
  <c r="P2268" i="4"/>
  <c r="P2269" i="4"/>
  <c r="P2270" i="4"/>
  <c r="P2271" i="4"/>
  <c r="P2272" i="4"/>
  <c r="P2273" i="4"/>
  <c r="P2274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P2363" i="4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27" i="4"/>
  <c r="P2428" i="4"/>
  <c r="P2429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59" i="4"/>
  <c r="P2460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P2505" i="4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P2584" i="4"/>
  <c r="P2585" i="4"/>
  <c r="P2586" i="4"/>
  <c r="P2587" i="4"/>
  <c r="P2588" i="4"/>
  <c r="P2589" i="4"/>
  <c r="P2590" i="4"/>
  <c r="P2591" i="4"/>
  <c r="P2592" i="4"/>
  <c r="P2593" i="4"/>
  <c r="P2594" i="4"/>
  <c r="P2595" i="4"/>
  <c r="P2596" i="4"/>
  <c r="P2597" i="4"/>
  <c r="P2598" i="4"/>
  <c r="P2599" i="4"/>
  <c r="P2600" i="4"/>
  <c r="P2601" i="4"/>
  <c r="P2602" i="4"/>
  <c r="P2603" i="4"/>
  <c r="P2604" i="4"/>
  <c r="P2605" i="4"/>
  <c r="P2606" i="4"/>
  <c r="P2607" i="4"/>
  <c r="P2608" i="4"/>
  <c r="P2609" i="4"/>
  <c r="P2610" i="4"/>
  <c r="P2611" i="4"/>
  <c r="P2612" i="4"/>
  <c r="P2613" i="4"/>
  <c r="P2614" i="4"/>
  <c r="P2615" i="4"/>
  <c r="P2616" i="4"/>
  <c r="P2617" i="4"/>
  <c r="P2618" i="4"/>
  <c r="P2619" i="4"/>
  <c r="P2620" i="4"/>
  <c r="P2621" i="4"/>
  <c r="P2622" i="4"/>
  <c r="P2623" i="4"/>
  <c r="P2624" i="4"/>
  <c r="P2625" i="4"/>
  <c r="P2626" i="4"/>
  <c r="P2627" i="4"/>
  <c r="P2628" i="4"/>
  <c r="P2629" i="4"/>
  <c r="P2630" i="4"/>
  <c r="P2631" i="4"/>
  <c r="P2632" i="4"/>
  <c r="P2633" i="4"/>
  <c r="P2634" i="4"/>
  <c r="P2635" i="4"/>
  <c r="P2636" i="4"/>
  <c r="P2637" i="4"/>
  <c r="P2638" i="4"/>
  <c r="P2639" i="4"/>
  <c r="P2640" i="4"/>
  <c r="P2641" i="4"/>
  <c r="P2642" i="4"/>
  <c r="P2643" i="4"/>
  <c r="P2644" i="4"/>
  <c r="P2645" i="4"/>
  <c r="P2646" i="4"/>
  <c r="P2647" i="4"/>
  <c r="P2648" i="4"/>
  <c r="P2649" i="4"/>
  <c r="P2650" i="4"/>
  <c r="P2651" i="4"/>
  <c r="P2652" i="4"/>
  <c r="P2653" i="4"/>
  <c r="P2654" i="4"/>
  <c r="P2655" i="4"/>
  <c r="P2656" i="4"/>
  <c r="P2657" i="4"/>
  <c r="P2658" i="4"/>
  <c r="P2659" i="4"/>
  <c r="P2660" i="4"/>
  <c r="P2661" i="4"/>
  <c r="P2662" i="4"/>
  <c r="P2663" i="4"/>
  <c r="P2664" i="4"/>
  <c r="P2665" i="4"/>
  <c r="P2666" i="4"/>
  <c r="P2667" i="4"/>
  <c r="P2668" i="4"/>
  <c r="P2669" i="4"/>
  <c r="P2670" i="4"/>
  <c r="P2671" i="4"/>
  <c r="P2672" i="4"/>
  <c r="P2673" i="4"/>
  <c r="P2674" i="4"/>
  <c r="P2675" i="4"/>
  <c r="P2676" i="4"/>
  <c r="P2677" i="4"/>
  <c r="P2678" i="4"/>
  <c r="P2679" i="4"/>
  <c r="P2680" i="4"/>
  <c r="P2681" i="4"/>
  <c r="P2682" i="4"/>
  <c r="P2683" i="4"/>
  <c r="P2684" i="4"/>
  <c r="P2685" i="4"/>
  <c r="P2686" i="4"/>
  <c r="P2687" i="4"/>
  <c r="P2688" i="4"/>
  <c r="P2689" i="4"/>
  <c r="P2690" i="4"/>
  <c r="P2691" i="4"/>
  <c r="P2692" i="4"/>
  <c r="P2693" i="4"/>
  <c r="P2694" i="4"/>
  <c r="P2695" i="4"/>
  <c r="P2696" i="4"/>
  <c r="P2697" i="4"/>
  <c r="P2698" i="4"/>
  <c r="P2699" i="4"/>
  <c r="P2700" i="4"/>
  <c r="P2701" i="4"/>
  <c r="P2702" i="4"/>
  <c r="P2703" i="4"/>
  <c r="P2704" i="4"/>
  <c r="P2705" i="4"/>
  <c r="P2706" i="4"/>
  <c r="P2707" i="4"/>
  <c r="P2708" i="4"/>
  <c r="P2709" i="4"/>
  <c r="P2710" i="4"/>
  <c r="P2711" i="4"/>
  <c r="P2712" i="4"/>
  <c r="P2713" i="4"/>
  <c r="P2714" i="4"/>
  <c r="P2715" i="4"/>
  <c r="P2716" i="4"/>
  <c r="P2717" i="4"/>
  <c r="P2718" i="4"/>
  <c r="P2719" i="4"/>
  <c r="P2720" i="4"/>
  <c r="P2721" i="4"/>
  <c r="P2722" i="4"/>
  <c r="P2723" i="4"/>
  <c r="P2724" i="4"/>
  <c r="P2725" i="4"/>
  <c r="P2726" i="4"/>
  <c r="P2727" i="4"/>
  <c r="P2728" i="4"/>
  <c r="P2729" i="4"/>
  <c r="P2730" i="4"/>
  <c r="P2731" i="4"/>
  <c r="P2732" i="4"/>
  <c r="P2733" i="4"/>
  <c r="P2734" i="4"/>
  <c r="P2735" i="4"/>
  <c r="P2736" i="4"/>
  <c r="P2737" i="4"/>
  <c r="P2738" i="4"/>
  <c r="P2739" i="4"/>
  <c r="P2740" i="4"/>
  <c r="P2741" i="4"/>
  <c r="P2742" i="4"/>
  <c r="P2743" i="4"/>
  <c r="P2744" i="4"/>
  <c r="P2745" i="4"/>
  <c r="P2746" i="4"/>
  <c r="P2747" i="4"/>
  <c r="P2748" i="4"/>
  <c r="P2749" i="4"/>
  <c r="P2750" i="4"/>
  <c r="P2751" i="4"/>
  <c r="P2752" i="4"/>
  <c r="P2753" i="4"/>
  <c r="P2754" i="4"/>
  <c r="P2755" i="4"/>
  <c r="P2756" i="4"/>
  <c r="P2757" i="4"/>
  <c r="P2758" i="4"/>
  <c r="P2759" i="4"/>
  <c r="P2760" i="4"/>
  <c r="P2761" i="4"/>
  <c r="P2762" i="4"/>
  <c r="P2763" i="4"/>
  <c r="P2764" i="4"/>
  <c r="P2765" i="4"/>
  <c r="P2766" i="4"/>
  <c r="P2767" i="4"/>
  <c r="P2768" i="4"/>
  <c r="P2769" i="4"/>
  <c r="P2770" i="4"/>
  <c r="P2771" i="4"/>
  <c r="P2772" i="4"/>
  <c r="P2773" i="4"/>
  <c r="P2774" i="4"/>
  <c r="P2775" i="4"/>
  <c r="P2776" i="4"/>
  <c r="P2777" i="4"/>
  <c r="P2778" i="4"/>
  <c r="P2779" i="4"/>
  <c r="P2780" i="4"/>
  <c r="P2781" i="4"/>
  <c r="P2782" i="4"/>
  <c r="P2783" i="4"/>
  <c r="P2784" i="4"/>
  <c r="P2785" i="4"/>
  <c r="P2786" i="4"/>
  <c r="P2787" i="4"/>
  <c r="P2788" i="4"/>
  <c r="P2789" i="4"/>
  <c r="P2790" i="4"/>
  <c r="P2791" i="4"/>
  <c r="P2792" i="4"/>
  <c r="P2793" i="4"/>
  <c r="P2794" i="4"/>
  <c r="P2795" i="4"/>
  <c r="P2796" i="4"/>
  <c r="P2797" i="4"/>
  <c r="P2798" i="4"/>
  <c r="P2799" i="4"/>
  <c r="P2800" i="4"/>
  <c r="P2801" i="4"/>
  <c r="P2802" i="4"/>
  <c r="P2803" i="4"/>
  <c r="P2804" i="4"/>
  <c r="P2805" i="4"/>
  <c r="P2806" i="4"/>
  <c r="P2807" i="4"/>
  <c r="P2808" i="4"/>
  <c r="P2809" i="4"/>
  <c r="P2810" i="4"/>
  <c r="P2811" i="4"/>
  <c r="P2812" i="4"/>
  <c r="P2813" i="4"/>
  <c r="P2814" i="4"/>
  <c r="P2815" i="4"/>
  <c r="P2816" i="4"/>
  <c r="P2817" i="4"/>
  <c r="P2818" i="4"/>
  <c r="P2819" i="4"/>
  <c r="P2820" i="4"/>
  <c r="P2821" i="4"/>
  <c r="P2822" i="4"/>
  <c r="P2823" i="4"/>
  <c r="P2824" i="4"/>
  <c r="P2825" i="4"/>
  <c r="P2826" i="4"/>
  <c r="P2827" i="4"/>
  <c r="P2828" i="4"/>
  <c r="P2829" i="4"/>
  <c r="P2830" i="4"/>
  <c r="P2831" i="4"/>
  <c r="P2832" i="4"/>
  <c r="P2833" i="4"/>
  <c r="P2834" i="4"/>
  <c r="P2835" i="4"/>
  <c r="P2836" i="4"/>
  <c r="P2837" i="4"/>
  <c r="P2838" i="4"/>
  <c r="P2839" i="4"/>
  <c r="P2840" i="4"/>
  <c r="P2841" i="4"/>
  <c r="P2842" i="4"/>
  <c r="P2843" i="4"/>
  <c r="P2844" i="4"/>
  <c r="P2845" i="4"/>
  <c r="P2846" i="4"/>
  <c r="P2847" i="4"/>
  <c r="P2848" i="4"/>
  <c r="P2849" i="4"/>
  <c r="P2850" i="4"/>
  <c r="P2851" i="4"/>
  <c r="P2852" i="4"/>
  <c r="P2853" i="4"/>
  <c r="P2854" i="4"/>
  <c r="P2855" i="4"/>
  <c r="P2856" i="4"/>
  <c r="P2857" i="4"/>
  <c r="P2858" i="4"/>
  <c r="P2859" i="4"/>
  <c r="P2860" i="4"/>
  <c r="P2861" i="4"/>
  <c r="P2862" i="4"/>
  <c r="P2863" i="4"/>
  <c r="P2864" i="4"/>
  <c r="P2865" i="4"/>
  <c r="P2866" i="4"/>
  <c r="P2867" i="4"/>
  <c r="P2868" i="4"/>
  <c r="P2869" i="4"/>
  <c r="P2870" i="4"/>
  <c r="P2871" i="4"/>
  <c r="P2872" i="4"/>
  <c r="P2873" i="4"/>
  <c r="P2874" i="4"/>
  <c r="P2875" i="4"/>
  <c r="P2876" i="4"/>
  <c r="P2877" i="4"/>
  <c r="P2878" i="4"/>
  <c r="P2879" i="4"/>
  <c r="P2880" i="4"/>
  <c r="P2881" i="4"/>
  <c r="P2882" i="4"/>
  <c r="P2883" i="4"/>
  <c r="P2884" i="4"/>
  <c r="P2885" i="4"/>
  <c r="P2886" i="4"/>
  <c r="P2887" i="4"/>
  <c r="P2888" i="4"/>
  <c r="P2889" i="4"/>
  <c r="P2890" i="4"/>
  <c r="P2891" i="4"/>
  <c r="P2892" i="4"/>
  <c r="P2893" i="4"/>
  <c r="P2894" i="4"/>
  <c r="P2895" i="4"/>
  <c r="P2896" i="4"/>
  <c r="P2897" i="4"/>
  <c r="P2898" i="4"/>
  <c r="P2899" i="4"/>
  <c r="P2900" i="4"/>
  <c r="P2901" i="4"/>
  <c r="P2902" i="4"/>
  <c r="P2903" i="4"/>
  <c r="P2904" i="4"/>
  <c r="P2905" i="4"/>
  <c r="P2906" i="4"/>
  <c r="P2907" i="4"/>
  <c r="P2908" i="4"/>
  <c r="P2909" i="4"/>
  <c r="P2910" i="4"/>
  <c r="P2911" i="4"/>
  <c r="P2912" i="4"/>
  <c r="P2913" i="4"/>
  <c r="P2914" i="4"/>
  <c r="P2915" i="4"/>
  <c r="P2916" i="4"/>
  <c r="P2917" i="4"/>
  <c r="P2918" i="4"/>
  <c r="P2919" i="4"/>
  <c r="P2920" i="4"/>
  <c r="P2921" i="4"/>
  <c r="P2922" i="4"/>
  <c r="P2923" i="4"/>
  <c r="P2924" i="4"/>
  <c r="P2925" i="4"/>
  <c r="P2926" i="4"/>
  <c r="P2927" i="4"/>
  <c r="P2928" i="4"/>
  <c r="P2929" i="4"/>
  <c r="P2930" i="4"/>
  <c r="P2931" i="4"/>
  <c r="P2932" i="4"/>
  <c r="P2933" i="4"/>
  <c r="P2934" i="4"/>
  <c r="P2935" i="4"/>
  <c r="P2936" i="4"/>
  <c r="P2937" i="4"/>
  <c r="P2938" i="4"/>
  <c r="P2939" i="4"/>
  <c r="P2940" i="4"/>
  <c r="P2941" i="4"/>
  <c r="P2942" i="4"/>
  <c r="P2943" i="4"/>
  <c r="P2944" i="4"/>
  <c r="P2945" i="4"/>
  <c r="P2946" i="4"/>
  <c r="P2947" i="4"/>
  <c r="P2948" i="4"/>
  <c r="P2949" i="4"/>
  <c r="P2950" i="4"/>
  <c r="P2951" i="4"/>
  <c r="P2952" i="4"/>
  <c r="P2953" i="4"/>
  <c r="P2954" i="4"/>
  <c r="P2955" i="4"/>
  <c r="P2956" i="4"/>
  <c r="P2957" i="4"/>
  <c r="P2958" i="4"/>
  <c r="P2959" i="4"/>
  <c r="P2960" i="4"/>
  <c r="P2961" i="4"/>
  <c r="P2962" i="4"/>
  <c r="P2963" i="4"/>
  <c r="P2964" i="4"/>
  <c r="P2965" i="4"/>
  <c r="P2966" i="4"/>
  <c r="P2967" i="4"/>
  <c r="P2968" i="4"/>
  <c r="P2969" i="4"/>
  <c r="P2970" i="4"/>
  <c r="P2971" i="4"/>
  <c r="P2972" i="4"/>
  <c r="P2973" i="4"/>
  <c r="P2974" i="4"/>
  <c r="P2975" i="4"/>
  <c r="P2976" i="4"/>
  <c r="P2977" i="4"/>
  <c r="P2978" i="4"/>
  <c r="P2979" i="4"/>
  <c r="P2980" i="4"/>
  <c r="P2981" i="4"/>
  <c r="P2982" i="4"/>
  <c r="P2983" i="4"/>
  <c r="P2984" i="4"/>
  <c r="P2985" i="4"/>
  <c r="P2986" i="4"/>
  <c r="P2987" i="4"/>
  <c r="P2988" i="4"/>
  <c r="P2989" i="4"/>
  <c r="P2990" i="4"/>
  <c r="P2991" i="4"/>
  <c r="P2992" i="4"/>
  <c r="P2993" i="4"/>
  <c r="P2994" i="4"/>
  <c r="P2995" i="4"/>
  <c r="P2996" i="4"/>
  <c r="P2997" i="4"/>
  <c r="P2998" i="4"/>
  <c r="P2999" i="4"/>
  <c r="P3000" i="4"/>
  <c r="P3001" i="4"/>
  <c r="P3002" i="4"/>
  <c r="P3003" i="4"/>
  <c r="P3004" i="4"/>
  <c r="P3005" i="4"/>
  <c r="P3006" i="4"/>
  <c r="P3007" i="4"/>
  <c r="P3008" i="4"/>
  <c r="P3009" i="4"/>
  <c r="P3010" i="4"/>
  <c r="P3011" i="4"/>
  <c r="P3012" i="4"/>
  <c r="P3013" i="4"/>
  <c r="P3014" i="4"/>
  <c r="P3015" i="4"/>
  <c r="P3016" i="4"/>
  <c r="P3017" i="4"/>
  <c r="P3018" i="4"/>
  <c r="P3019" i="4"/>
  <c r="P3020" i="4"/>
  <c r="P3021" i="4"/>
  <c r="P3022" i="4"/>
  <c r="P3023" i="4"/>
  <c r="P3024" i="4"/>
  <c r="P3025" i="4"/>
  <c r="P3026" i="4"/>
  <c r="P3027" i="4"/>
  <c r="P3028" i="4"/>
  <c r="P3029" i="4"/>
  <c r="P3030" i="4"/>
  <c r="P3031" i="4"/>
  <c r="P3032" i="4"/>
  <c r="P3033" i="4"/>
  <c r="P3034" i="4"/>
  <c r="P3035" i="4"/>
  <c r="P3036" i="4"/>
  <c r="P3037" i="4"/>
  <c r="P3038" i="4"/>
  <c r="P3039" i="4"/>
  <c r="P3040" i="4"/>
  <c r="P3041" i="4"/>
  <c r="P3042" i="4"/>
  <c r="P3043" i="4"/>
  <c r="P3044" i="4"/>
  <c r="P3045" i="4"/>
  <c r="P3046" i="4"/>
  <c r="P3047" i="4"/>
  <c r="P3048" i="4"/>
  <c r="P3049" i="4"/>
  <c r="P3050" i="4"/>
  <c r="P3051" i="4"/>
  <c r="P3052" i="4"/>
  <c r="P3053" i="4"/>
  <c r="P3054" i="4"/>
  <c r="P3055" i="4"/>
  <c r="P3056" i="4"/>
  <c r="P3057" i="4"/>
  <c r="P3058" i="4"/>
  <c r="P3059" i="4"/>
  <c r="P3060" i="4"/>
  <c r="P3061" i="4"/>
  <c r="P3062" i="4"/>
  <c r="P3063" i="4"/>
  <c r="P3064" i="4"/>
  <c r="P3065" i="4"/>
  <c r="P3066" i="4"/>
  <c r="P3067" i="4"/>
  <c r="P3068" i="4"/>
  <c r="P3069" i="4"/>
  <c r="P3070" i="4"/>
  <c r="P3071" i="4"/>
  <c r="P3072" i="4"/>
  <c r="P3073" i="4"/>
  <c r="P3074" i="4"/>
  <c r="P3075" i="4"/>
  <c r="P3076" i="4"/>
  <c r="P3077" i="4"/>
  <c r="P3078" i="4"/>
  <c r="P3079" i="4"/>
  <c r="P3080" i="4"/>
  <c r="P3081" i="4"/>
  <c r="P3082" i="4"/>
  <c r="P3083" i="4"/>
  <c r="P3084" i="4"/>
  <c r="P3085" i="4"/>
  <c r="P3086" i="4"/>
  <c r="P3087" i="4"/>
  <c r="P3088" i="4"/>
  <c r="P3089" i="4"/>
  <c r="P3090" i="4"/>
  <c r="P3091" i="4"/>
  <c r="P3092" i="4"/>
  <c r="P3093" i="4"/>
  <c r="P3094" i="4"/>
  <c r="P3095" i="4"/>
  <c r="P3096" i="4"/>
  <c r="P3097" i="4"/>
  <c r="P3098" i="4"/>
  <c r="P3099" i="4"/>
  <c r="P3100" i="4"/>
  <c r="P3101" i="4"/>
  <c r="P3102" i="4"/>
  <c r="P3103" i="4"/>
  <c r="P3104" i="4"/>
  <c r="P3105" i="4"/>
  <c r="P3106" i="4"/>
  <c r="P3107" i="4"/>
  <c r="P3108" i="4"/>
  <c r="P3109" i="4"/>
  <c r="P3110" i="4"/>
  <c r="P3111" i="4"/>
  <c r="P3112" i="4"/>
  <c r="P3113" i="4"/>
  <c r="P3114" i="4"/>
  <c r="P3115" i="4"/>
  <c r="P3116" i="4"/>
  <c r="P3117" i="4"/>
  <c r="P3118" i="4"/>
  <c r="P3119" i="4"/>
  <c r="P3120" i="4"/>
  <c r="P3121" i="4"/>
  <c r="P3122" i="4"/>
  <c r="P3123" i="4"/>
  <c r="P3124" i="4"/>
  <c r="P3125" i="4"/>
  <c r="P3126" i="4"/>
  <c r="P3127" i="4"/>
  <c r="P3128" i="4"/>
  <c r="P3129" i="4"/>
  <c r="P3130" i="4"/>
  <c r="P3131" i="4"/>
  <c r="P3132" i="4"/>
  <c r="P3133" i="4"/>
  <c r="P3134" i="4"/>
  <c r="P3135" i="4"/>
  <c r="P3136" i="4"/>
  <c r="P3137" i="4"/>
  <c r="P3138" i="4"/>
  <c r="P3139" i="4"/>
  <c r="P3140" i="4"/>
  <c r="P3141" i="4"/>
  <c r="P3142" i="4"/>
  <c r="P3143" i="4"/>
  <c r="P3144" i="4"/>
  <c r="P3145" i="4"/>
  <c r="P3146" i="4"/>
  <c r="P3147" i="4"/>
  <c r="P3148" i="4"/>
  <c r="P3149" i="4"/>
  <c r="P3150" i="4"/>
  <c r="P3151" i="4"/>
  <c r="P3152" i="4"/>
  <c r="P3153" i="4"/>
  <c r="P3154" i="4"/>
  <c r="P3155" i="4"/>
  <c r="P3156" i="4"/>
  <c r="P3157" i="4"/>
  <c r="P3158" i="4"/>
  <c r="P3159" i="4"/>
  <c r="P3160" i="4"/>
  <c r="P3161" i="4"/>
  <c r="P3162" i="4"/>
  <c r="P3163" i="4"/>
  <c r="P3164" i="4"/>
  <c r="P3165" i="4"/>
  <c r="P3166" i="4"/>
  <c r="P3167" i="4"/>
  <c r="P3168" i="4"/>
  <c r="P3169" i="4"/>
  <c r="P3170" i="4"/>
  <c r="P3171" i="4"/>
  <c r="P3172" i="4"/>
  <c r="P3173" i="4"/>
  <c r="P3174" i="4"/>
  <c r="P3175" i="4"/>
  <c r="P3176" i="4"/>
  <c r="P3177" i="4"/>
  <c r="P3178" i="4"/>
  <c r="P3179" i="4"/>
  <c r="P3180" i="4"/>
  <c r="P3181" i="4"/>
  <c r="P3182" i="4"/>
  <c r="P3183" i="4"/>
  <c r="P3184" i="4"/>
  <c r="P3185" i="4"/>
  <c r="P3186" i="4"/>
  <c r="P3187" i="4"/>
  <c r="P3188" i="4"/>
  <c r="P3189" i="4"/>
  <c r="P3190" i="4"/>
  <c r="P3191" i="4"/>
  <c r="P3192" i="4"/>
  <c r="P3193" i="4"/>
  <c r="P3194" i="4"/>
  <c r="P3195" i="4"/>
  <c r="P3196" i="4"/>
  <c r="P3197" i="4"/>
  <c r="P3198" i="4"/>
  <c r="P3199" i="4"/>
  <c r="P3200" i="4"/>
  <c r="P3201" i="4"/>
  <c r="P3202" i="4"/>
  <c r="P3203" i="4"/>
  <c r="P3204" i="4"/>
  <c r="P3205" i="4"/>
  <c r="P3206" i="4"/>
  <c r="P3207" i="4"/>
  <c r="P3208" i="4"/>
  <c r="P3209" i="4"/>
  <c r="P3210" i="4"/>
  <c r="P3211" i="4"/>
  <c r="P3212" i="4"/>
  <c r="P3213" i="4"/>
  <c r="P3214" i="4"/>
  <c r="P3215" i="4"/>
  <c r="P3216" i="4"/>
  <c r="P3217" i="4"/>
  <c r="P3218" i="4"/>
  <c r="P3219" i="4"/>
  <c r="P3220" i="4"/>
  <c r="P3221" i="4"/>
  <c r="P3222" i="4"/>
  <c r="P3223" i="4"/>
  <c r="P3224" i="4"/>
  <c r="P3225" i="4"/>
  <c r="P3226" i="4"/>
  <c r="P3227" i="4"/>
  <c r="P3228" i="4"/>
  <c r="P3229" i="4"/>
  <c r="P3230" i="4"/>
  <c r="P3231" i="4"/>
  <c r="P3232" i="4"/>
  <c r="P3233" i="4"/>
  <c r="P3234" i="4"/>
  <c r="P3235" i="4"/>
  <c r="P3236" i="4"/>
  <c r="P3237" i="4"/>
  <c r="P3238" i="4"/>
  <c r="P3239" i="4"/>
  <c r="P3240" i="4"/>
  <c r="P3241" i="4"/>
  <c r="P3242" i="4"/>
  <c r="P3243" i="4"/>
  <c r="P3244" i="4"/>
  <c r="P3245" i="4"/>
  <c r="P3246" i="4"/>
  <c r="P3247" i="4"/>
  <c r="P3248" i="4"/>
  <c r="P3249" i="4"/>
  <c r="P3250" i="4"/>
  <c r="P3251" i="4"/>
  <c r="P3252" i="4"/>
  <c r="P3253" i="4"/>
  <c r="P3254" i="4"/>
  <c r="P3255" i="4"/>
  <c r="P3256" i="4"/>
  <c r="P3257" i="4"/>
  <c r="P3258" i="4"/>
  <c r="P3259" i="4"/>
  <c r="P3260" i="4"/>
  <c r="P3261" i="4"/>
  <c r="P3262" i="4"/>
  <c r="P3263" i="4"/>
  <c r="P3264" i="4"/>
  <c r="P3265" i="4"/>
  <c r="P3266" i="4"/>
  <c r="P3267" i="4"/>
  <c r="P3268" i="4"/>
  <c r="P3269" i="4"/>
  <c r="P3270" i="4"/>
  <c r="P3271" i="4"/>
  <c r="P3272" i="4"/>
  <c r="P3273" i="4"/>
  <c r="P3274" i="4"/>
  <c r="P3275" i="4"/>
  <c r="P3276" i="4"/>
  <c r="P3277" i="4"/>
  <c r="P3278" i="4"/>
  <c r="P3279" i="4"/>
  <c r="P3280" i="4"/>
  <c r="P3281" i="4"/>
  <c r="P3282" i="4"/>
  <c r="P3283" i="4"/>
  <c r="P3284" i="4"/>
  <c r="P3285" i="4"/>
  <c r="P3286" i="4"/>
  <c r="P3287" i="4"/>
  <c r="P3288" i="4"/>
  <c r="P3289" i="4"/>
  <c r="P3290" i="4"/>
  <c r="P3291" i="4"/>
  <c r="P3292" i="4"/>
  <c r="P3293" i="4"/>
  <c r="P3294" i="4"/>
  <c r="P3295" i="4"/>
  <c r="P3296" i="4"/>
  <c r="P3297" i="4"/>
  <c r="P3298" i="4"/>
  <c r="P3299" i="4"/>
  <c r="P3300" i="4"/>
  <c r="P3301" i="4"/>
  <c r="P3302" i="4"/>
  <c r="P3303" i="4"/>
  <c r="P3304" i="4"/>
  <c r="P3305" i="4"/>
  <c r="P3306" i="4"/>
  <c r="P3307" i="4"/>
  <c r="P3308" i="4"/>
  <c r="P3309" i="4"/>
  <c r="P3310" i="4"/>
  <c r="P3311" i="4"/>
  <c r="P3312" i="4"/>
  <c r="P3313" i="4"/>
  <c r="P3314" i="4"/>
  <c r="P3315" i="4"/>
  <c r="P3316" i="4"/>
  <c r="P3317" i="4"/>
  <c r="P3318" i="4"/>
  <c r="P3319" i="4"/>
  <c r="P3320" i="4"/>
  <c r="P3321" i="4"/>
  <c r="P3322" i="4"/>
  <c r="P3323" i="4"/>
  <c r="P3324" i="4"/>
  <c r="P3325" i="4"/>
  <c r="P3326" i="4"/>
  <c r="P3327" i="4"/>
  <c r="P3328" i="4"/>
  <c r="P3329" i="4"/>
  <c r="P3330" i="4"/>
  <c r="P3331" i="4"/>
  <c r="P3332" i="4"/>
  <c r="P3333" i="4"/>
  <c r="P3334" i="4"/>
  <c r="P3335" i="4"/>
  <c r="P3336" i="4"/>
  <c r="P3337" i="4"/>
  <c r="P3338" i="4"/>
  <c r="P3339" i="4"/>
  <c r="P3340" i="4"/>
  <c r="P3341" i="4"/>
  <c r="P3342" i="4"/>
  <c r="P3343" i="4"/>
  <c r="P3344" i="4"/>
  <c r="P3345" i="4"/>
  <c r="P3346" i="4"/>
  <c r="P3347" i="4"/>
  <c r="P3348" i="4"/>
  <c r="P3349" i="4"/>
  <c r="P3350" i="4"/>
  <c r="P3351" i="4"/>
  <c r="P3352" i="4"/>
  <c r="P3353" i="4"/>
  <c r="P3354" i="4"/>
  <c r="P3355" i="4"/>
  <c r="P3356" i="4"/>
  <c r="P3357" i="4"/>
  <c r="P3358" i="4"/>
  <c r="P3359" i="4"/>
  <c r="P3360" i="4"/>
  <c r="P3361" i="4"/>
  <c r="P3362" i="4"/>
  <c r="P3363" i="4"/>
  <c r="P3364" i="4"/>
  <c r="P3365" i="4"/>
  <c r="P3366" i="4"/>
  <c r="P3367" i="4"/>
  <c r="P3368" i="4"/>
  <c r="P3369" i="4"/>
  <c r="P3370" i="4"/>
  <c r="P3371" i="4"/>
  <c r="P3372" i="4"/>
  <c r="P3373" i="4"/>
  <c r="P3374" i="4"/>
  <c r="P3375" i="4"/>
  <c r="P3376" i="4"/>
  <c r="P3377" i="4"/>
  <c r="P3378" i="4"/>
  <c r="P3379" i="4"/>
  <c r="P3380" i="4"/>
  <c r="P3381" i="4"/>
  <c r="P3382" i="4"/>
  <c r="P3383" i="4"/>
  <c r="P3384" i="4"/>
  <c r="P3385" i="4"/>
  <c r="P3386" i="4"/>
  <c r="P3387" i="4"/>
  <c r="P3388" i="4"/>
  <c r="P3389" i="4"/>
  <c r="P3390" i="4"/>
  <c r="P3391" i="4"/>
  <c r="P3392" i="4"/>
  <c r="P3393" i="4"/>
  <c r="P3394" i="4"/>
  <c r="P3395" i="4"/>
  <c r="P3396" i="4"/>
  <c r="P3397" i="4"/>
  <c r="P3398" i="4"/>
  <c r="P3399" i="4"/>
  <c r="P3400" i="4"/>
  <c r="P3401" i="4"/>
  <c r="P3402" i="4"/>
  <c r="P3403" i="4"/>
  <c r="P3404" i="4"/>
  <c r="P3405" i="4"/>
  <c r="P3406" i="4"/>
  <c r="P3407" i="4"/>
  <c r="P3408" i="4"/>
  <c r="P3409" i="4"/>
  <c r="P3410" i="4"/>
  <c r="P3411" i="4"/>
  <c r="P3412" i="4"/>
  <c r="P3413" i="4"/>
  <c r="P3414" i="4"/>
  <c r="P3415" i="4"/>
  <c r="P3416" i="4"/>
  <c r="P3417" i="4"/>
  <c r="P3418" i="4"/>
  <c r="P3419" i="4"/>
  <c r="P3420" i="4"/>
  <c r="P3421" i="4"/>
  <c r="P3422" i="4"/>
  <c r="P3423" i="4"/>
  <c r="P3424" i="4"/>
  <c r="P3425" i="4"/>
  <c r="P3426" i="4"/>
  <c r="P3427" i="4"/>
  <c r="P3428" i="4"/>
  <c r="P3429" i="4"/>
  <c r="P3430" i="4"/>
  <c r="P3431" i="4"/>
  <c r="P3432" i="4"/>
  <c r="P3433" i="4"/>
  <c r="P3434" i="4"/>
  <c r="P3435" i="4"/>
  <c r="P3436" i="4"/>
  <c r="P3437" i="4"/>
  <c r="P3438" i="4"/>
  <c r="P3439" i="4"/>
  <c r="P3440" i="4"/>
  <c r="P3441" i="4"/>
  <c r="P3442" i="4"/>
  <c r="P3443" i="4"/>
  <c r="P3444" i="4"/>
  <c r="P3445" i="4"/>
  <c r="P3446" i="4"/>
  <c r="P3447" i="4"/>
  <c r="P3448" i="4"/>
  <c r="P3449" i="4"/>
  <c r="P3450" i="4"/>
  <c r="P3451" i="4"/>
  <c r="P3452" i="4"/>
  <c r="P3453" i="4"/>
  <c r="P3454" i="4"/>
  <c r="P3455" i="4"/>
  <c r="P3456" i="4"/>
  <c r="P3457" i="4"/>
  <c r="P3458" i="4"/>
  <c r="P3459" i="4"/>
  <c r="P3460" i="4"/>
  <c r="P3461" i="4"/>
  <c r="P3462" i="4"/>
  <c r="P3463" i="4"/>
  <c r="P3464" i="4"/>
  <c r="P3465" i="4"/>
  <c r="P3466" i="4"/>
  <c r="P3467" i="4"/>
  <c r="P3468" i="4"/>
  <c r="P3469" i="4"/>
  <c r="P3470" i="4"/>
  <c r="P3471" i="4"/>
  <c r="P3472" i="4"/>
  <c r="P3473" i="4"/>
  <c r="P3474" i="4"/>
  <c r="P3475" i="4"/>
  <c r="P3476" i="4"/>
  <c r="P3477" i="4"/>
  <c r="P3478" i="4"/>
  <c r="P3479" i="4"/>
  <c r="P3480" i="4"/>
  <c r="P3481" i="4"/>
  <c r="P3482" i="4"/>
  <c r="P3483" i="4"/>
  <c r="P3484" i="4"/>
  <c r="P3485" i="4"/>
  <c r="P3486" i="4"/>
  <c r="P3487" i="4"/>
  <c r="P3488" i="4"/>
  <c r="P3489" i="4"/>
  <c r="P3490" i="4"/>
  <c r="P3491" i="4"/>
  <c r="P3492" i="4"/>
  <c r="P3493" i="4"/>
  <c r="P3494" i="4"/>
  <c r="P3495" i="4"/>
  <c r="P3496" i="4"/>
  <c r="P3497" i="4"/>
  <c r="P3498" i="4"/>
  <c r="P3499" i="4"/>
  <c r="P3500" i="4"/>
  <c r="P3501" i="4"/>
  <c r="P3502" i="4"/>
  <c r="P3503" i="4"/>
  <c r="P3504" i="4"/>
  <c r="P3505" i="4"/>
  <c r="P3506" i="4"/>
  <c r="P3507" i="4"/>
  <c r="P3508" i="4"/>
  <c r="P3509" i="4"/>
  <c r="P3510" i="4"/>
  <c r="P3511" i="4"/>
  <c r="P3512" i="4"/>
  <c r="P3513" i="4"/>
  <c r="P3514" i="4"/>
  <c r="P3515" i="4"/>
  <c r="P3516" i="4"/>
  <c r="P3517" i="4"/>
  <c r="P3518" i="4"/>
  <c r="P3519" i="4"/>
  <c r="P3520" i="4"/>
  <c r="P3521" i="4"/>
  <c r="P3522" i="4"/>
  <c r="P3523" i="4"/>
  <c r="P3524" i="4"/>
  <c r="P3525" i="4"/>
  <c r="P3526" i="4"/>
  <c r="P3527" i="4"/>
  <c r="P3528" i="4"/>
  <c r="P3529" i="4"/>
  <c r="P3530" i="4"/>
  <c r="P3531" i="4"/>
  <c r="P3532" i="4"/>
  <c r="P3533" i="4"/>
  <c r="P3534" i="4"/>
  <c r="P3535" i="4"/>
  <c r="P3536" i="4"/>
  <c r="P3537" i="4"/>
  <c r="P3538" i="4"/>
  <c r="P3539" i="4"/>
  <c r="P3540" i="4"/>
  <c r="P3541" i="4"/>
  <c r="P3542" i="4"/>
  <c r="P3543" i="4"/>
  <c r="P3544" i="4"/>
  <c r="P3545" i="4"/>
  <c r="P3546" i="4"/>
  <c r="P3547" i="4"/>
  <c r="P3548" i="4"/>
  <c r="P3549" i="4"/>
  <c r="P3550" i="4"/>
  <c r="P3551" i="4"/>
  <c r="P3552" i="4"/>
  <c r="P3553" i="4"/>
  <c r="P3554" i="4"/>
  <c r="P3555" i="4"/>
  <c r="P3556" i="4"/>
  <c r="P3557" i="4"/>
  <c r="P3558" i="4"/>
  <c r="P3559" i="4"/>
  <c r="P3560" i="4"/>
  <c r="P3561" i="4"/>
  <c r="P3562" i="4"/>
  <c r="P3563" i="4"/>
  <c r="P3564" i="4"/>
  <c r="P3565" i="4"/>
  <c r="P3566" i="4"/>
  <c r="P3567" i="4"/>
  <c r="P3568" i="4"/>
  <c r="P3569" i="4"/>
  <c r="P3570" i="4"/>
  <c r="P3571" i="4"/>
  <c r="P3572" i="4"/>
  <c r="P3573" i="4"/>
  <c r="P3574" i="4"/>
  <c r="P3575" i="4"/>
  <c r="P3576" i="4"/>
  <c r="P3577" i="4"/>
  <c r="P3578" i="4"/>
  <c r="P3579" i="4"/>
  <c r="P3580" i="4"/>
  <c r="P3581" i="4"/>
  <c r="P3582" i="4"/>
  <c r="P3583" i="4"/>
  <c r="P3584" i="4"/>
  <c r="P3585" i="4"/>
  <c r="P3586" i="4"/>
  <c r="P3587" i="4"/>
  <c r="P3588" i="4"/>
  <c r="P3589" i="4"/>
  <c r="P3590" i="4"/>
  <c r="P3591" i="4"/>
  <c r="P3592" i="4"/>
  <c r="P3593" i="4"/>
  <c r="P3594" i="4"/>
  <c r="P3595" i="4"/>
  <c r="P3596" i="4"/>
  <c r="P3597" i="4"/>
  <c r="P3598" i="4"/>
  <c r="P3599" i="4"/>
  <c r="P3600" i="4"/>
  <c r="P3601" i="4"/>
  <c r="P3602" i="4"/>
  <c r="P3603" i="4"/>
  <c r="P3604" i="4"/>
  <c r="P3605" i="4"/>
  <c r="P3606" i="4"/>
  <c r="P3607" i="4"/>
  <c r="P3608" i="4"/>
  <c r="P3609" i="4"/>
  <c r="P3610" i="4"/>
  <c r="P3611" i="4"/>
  <c r="P3612" i="4"/>
  <c r="P3613" i="4"/>
  <c r="P3614" i="4"/>
  <c r="P3615" i="4"/>
  <c r="P3616" i="4"/>
  <c r="P3617" i="4"/>
  <c r="P3618" i="4"/>
  <c r="P3619" i="4"/>
  <c r="P3620" i="4"/>
  <c r="P3621" i="4"/>
  <c r="P3622" i="4"/>
  <c r="P3623" i="4"/>
  <c r="P3624" i="4"/>
  <c r="P3625" i="4"/>
  <c r="P3626" i="4"/>
  <c r="P3627" i="4"/>
  <c r="P3628" i="4"/>
  <c r="P3629" i="4"/>
  <c r="P3630" i="4"/>
  <c r="P3631" i="4"/>
  <c r="P3632" i="4"/>
  <c r="P3633" i="4"/>
  <c r="P3634" i="4"/>
  <c r="P3635" i="4"/>
  <c r="P3636" i="4"/>
  <c r="P3637" i="4"/>
  <c r="P3638" i="4"/>
  <c r="P3639" i="4"/>
  <c r="P3640" i="4"/>
  <c r="P3641" i="4"/>
  <c r="P3642" i="4"/>
  <c r="P3643" i="4"/>
  <c r="P3644" i="4"/>
  <c r="P3645" i="4"/>
  <c r="P3646" i="4"/>
  <c r="P3647" i="4"/>
  <c r="P3648" i="4"/>
  <c r="P3649" i="4"/>
  <c r="P3650" i="4"/>
  <c r="P3651" i="4"/>
  <c r="P3652" i="4"/>
  <c r="P3653" i="4"/>
  <c r="P3654" i="4"/>
  <c r="P3655" i="4"/>
  <c r="P3656" i="4"/>
  <c r="P3657" i="4"/>
  <c r="P3658" i="4"/>
  <c r="P3659" i="4"/>
  <c r="P3660" i="4"/>
  <c r="P3661" i="4"/>
  <c r="P3662" i="4"/>
  <c r="P3663" i="4"/>
  <c r="P3664" i="4"/>
  <c r="P3665" i="4"/>
  <c r="P3666" i="4"/>
  <c r="P3667" i="4"/>
  <c r="P3668" i="4"/>
  <c r="P3669" i="4"/>
  <c r="P3670" i="4"/>
  <c r="P3671" i="4"/>
  <c r="P3672" i="4"/>
  <c r="P3673" i="4"/>
  <c r="P3674" i="4"/>
  <c r="P3675" i="4"/>
  <c r="P3676" i="4"/>
  <c r="P3677" i="4"/>
  <c r="P3678" i="4"/>
  <c r="P3679" i="4"/>
  <c r="P3680" i="4"/>
  <c r="P3681" i="4"/>
  <c r="P3682" i="4"/>
  <c r="P3683" i="4"/>
  <c r="P3684" i="4"/>
  <c r="P3685" i="4"/>
  <c r="P3686" i="4"/>
  <c r="P3687" i="4"/>
  <c r="P3688" i="4"/>
  <c r="P3689" i="4"/>
  <c r="P3690" i="4"/>
  <c r="P3691" i="4"/>
  <c r="P3692" i="4"/>
  <c r="P3693" i="4"/>
  <c r="P3694" i="4"/>
  <c r="P3695" i="4"/>
  <c r="P3696" i="4"/>
  <c r="P3697" i="4"/>
  <c r="P3698" i="4"/>
  <c r="P3699" i="4"/>
  <c r="P3700" i="4"/>
  <c r="P3701" i="4"/>
  <c r="P3702" i="4"/>
  <c r="P3703" i="4"/>
  <c r="P3704" i="4"/>
  <c r="P3705" i="4"/>
  <c r="P3706" i="4"/>
  <c r="P3707" i="4"/>
  <c r="P3708" i="4"/>
  <c r="P3709" i="4"/>
  <c r="P3710" i="4"/>
  <c r="P3711" i="4"/>
  <c r="P3712" i="4"/>
  <c r="P3713" i="4"/>
  <c r="P3714" i="4"/>
  <c r="P3715" i="4"/>
  <c r="P3716" i="4"/>
  <c r="P3717" i="4"/>
  <c r="P3718" i="4"/>
  <c r="P3719" i="4"/>
  <c r="P3720" i="4"/>
  <c r="P3721" i="4"/>
  <c r="P3722" i="4"/>
  <c r="P3723" i="4"/>
  <c r="P3724" i="4"/>
  <c r="P3725" i="4"/>
  <c r="P3726" i="4"/>
  <c r="P3727" i="4"/>
  <c r="P3728" i="4"/>
  <c r="P3729" i="4"/>
  <c r="P3730" i="4"/>
  <c r="P3731" i="4"/>
  <c r="P3732" i="4"/>
  <c r="P3733" i="4"/>
  <c r="P3734" i="4"/>
  <c r="P3735" i="4"/>
  <c r="P3736" i="4"/>
  <c r="P3737" i="4"/>
  <c r="P3738" i="4"/>
  <c r="P3739" i="4"/>
  <c r="P3740" i="4"/>
  <c r="P3741" i="4"/>
  <c r="P3742" i="4"/>
  <c r="P3743" i="4"/>
  <c r="P3744" i="4"/>
  <c r="P3745" i="4"/>
  <c r="P3746" i="4"/>
  <c r="P3747" i="4"/>
  <c r="P3748" i="4"/>
  <c r="P3749" i="4"/>
  <c r="P3750" i="4"/>
  <c r="P3751" i="4"/>
  <c r="P3752" i="4"/>
  <c r="P3753" i="4"/>
  <c r="P3754" i="4"/>
  <c r="P3755" i="4"/>
  <c r="P3756" i="4"/>
  <c r="P3757" i="4"/>
  <c r="P3758" i="4"/>
  <c r="P3759" i="4"/>
  <c r="P3760" i="4"/>
  <c r="P3761" i="4"/>
  <c r="P3762" i="4"/>
  <c r="P3763" i="4"/>
  <c r="P3764" i="4"/>
  <c r="P3765" i="4"/>
  <c r="P3766" i="4"/>
  <c r="P3767" i="4"/>
  <c r="P3768" i="4"/>
  <c r="P3769" i="4"/>
  <c r="P3770" i="4"/>
  <c r="P3771" i="4"/>
  <c r="P3772" i="4"/>
  <c r="P3773" i="4"/>
  <c r="P3774" i="4"/>
  <c r="P3775" i="4"/>
  <c r="P3776" i="4"/>
  <c r="P3777" i="4"/>
  <c r="P3778" i="4"/>
  <c r="P3779" i="4"/>
  <c r="P3780" i="4"/>
  <c r="P3781" i="4"/>
  <c r="P3782" i="4"/>
  <c r="P3783" i="4"/>
  <c r="P3784" i="4"/>
  <c r="P3785" i="4"/>
  <c r="P3786" i="4"/>
  <c r="P3787" i="4"/>
  <c r="P3788" i="4"/>
  <c r="P3789" i="4"/>
  <c r="P3790" i="4"/>
  <c r="P3791" i="4"/>
  <c r="P3792" i="4"/>
  <c r="P3793" i="4"/>
  <c r="P3794" i="4"/>
  <c r="P3795" i="4"/>
  <c r="P3796" i="4"/>
  <c r="P3797" i="4"/>
  <c r="P3798" i="4"/>
  <c r="P3799" i="4"/>
  <c r="P3800" i="4"/>
  <c r="P3801" i="4"/>
  <c r="P3802" i="4"/>
  <c r="P3803" i="4"/>
  <c r="P3804" i="4"/>
  <c r="P3805" i="4"/>
  <c r="P3806" i="4"/>
  <c r="P3807" i="4"/>
  <c r="P3808" i="4"/>
  <c r="P3809" i="4"/>
  <c r="P3810" i="4"/>
  <c r="P3811" i="4"/>
  <c r="P3812" i="4"/>
  <c r="P3813" i="4"/>
  <c r="P3814" i="4"/>
  <c r="P3815" i="4"/>
  <c r="P3816" i="4"/>
  <c r="P3817" i="4"/>
  <c r="P3818" i="4"/>
  <c r="P3819" i="4"/>
  <c r="P3820" i="4"/>
  <c r="P3821" i="4"/>
  <c r="P3822" i="4"/>
  <c r="P3823" i="4"/>
  <c r="P3824" i="4"/>
  <c r="P3825" i="4"/>
  <c r="P3826" i="4"/>
  <c r="P3827" i="4"/>
  <c r="P3828" i="4"/>
  <c r="P3829" i="4"/>
  <c r="P3830" i="4"/>
  <c r="P3831" i="4"/>
  <c r="P3832" i="4"/>
  <c r="P3833" i="4"/>
  <c r="P3834" i="4"/>
  <c r="P3835" i="4"/>
  <c r="P3836" i="4"/>
  <c r="P3837" i="4"/>
  <c r="P3838" i="4"/>
  <c r="P3839" i="4"/>
  <c r="P3840" i="4"/>
  <c r="P3841" i="4"/>
  <c r="P3842" i="4"/>
  <c r="P3843" i="4"/>
  <c r="P3844" i="4"/>
  <c r="P3845" i="4"/>
  <c r="P3846" i="4"/>
  <c r="P3847" i="4"/>
  <c r="P3848" i="4"/>
  <c r="P3849" i="4"/>
  <c r="P3850" i="4"/>
  <c r="P3851" i="4"/>
  <c r="P3852" i="4"/>
  <c r="P3853" i="4"/>
  <c r="P3854" i="4"/>
  <c r="P3855" i="4"/>
  <c r="P3856" i="4"/>
  <c r="P3857" i="4"/>
  <c r="P3858" i="4"/>
  <c r="P3859" i="4"/>
  <c r="P3860" i="4"/>
  <c r="P3861" i="4"/>
  <c r="P3862" i="4"/>
  <c r="P3863" i="4"/>
  <c r="P3864" i="4"/>
  <c r="P3865" i="4"/>
  <c r="P3866" i="4"/>
  <c r="P3867" i="4"/>
  <c r="P3868" i="4"/>
  <c r="P3869" i="4"/>
  <c r="P3870" i="4"/>
  <c r="P3871" i="4"/>
  <c r="P3872" i="4"/>
  <c r="P3873" i="4"/>
  <c r="P3874" i="4"/>
  <c r="P3875" i="4"/>
  <c r="P3876" i="4"/>
  <c r="P3877" i="4"/>
  <c r="P3878" i="4"/>
  <c r="P3879" i="4"/>
  <c r="P3880" i="4"/>
  <c r="P3881" i="4"/>
  <c r="P3882" i="4"/>
  <c r="P3883" i="4"/>
  <c r="P3884" i="4"/>
  <c r="P3885" i="4"/>
  <c r="P3886" i="4"/>
  <c r="P3887" i="4"/>
  <c r="P3888" i="4"/>
  <c r="P3889" i="4"/>
  <c r="P3890" i="4"/>
  <c r="P3891" i="4"/>
  <c r="P3892" i="4"/>
  <c r="P3893" i="4"/>
  <c r="P3894" i="4"/>
  <c r="P3895" i="4"/>
  <c r="P3896" i="4"/>
  <c r="P3897" i="4"/>
  <c r="P3898" i="4"/>
  <c r="P3899" i="4"/>
  <c r="P3900" i="4"/>
  <c r="P3901" i="4"/>
  <c r="P3902" i="4"/>
  <c r="P3903" i="4"/>
  <c r="P3904" i="4"/>
  <c r="P3905" i="4"/>
  <c r="P3906" i="4"/>
  <c r="P3907" i="4"/>
  <c r="P3908" i="4"/>
  <c r="P3909" i="4"/>
  <c r="P3910" i="4"/>
  <c r="P3911" i="4"/>
  <c r="P3912" i="4"/>
  <c r="P3913" i="4"/>
  <c r="P3914" i="4"/>
  <c r="P3915" i="4"/>
  <c r="P3916" i="4"/>
  <c r="P3917" i="4"/>
  <c r="P3918" i="4"/>
  <c r="P3919" i="4"/>
  <c r="P3920" i="4"/>
  <c r="P3921" i="4"/>
  <c r="P3922" i="4"/>
  <c r="P3923" i="4"/>
  <c r="P3924" i="4"/>
  <c r="P3925" i="4"/>
  <c r="P3926" i="4"/>
  <c r="P3927" i="4"/>
  <c r="P3928" i="4"/>
  <c r="P3929" i="4"/>
  <c r="P3930" i="4"/>
  <c r="P3931" i="4"/>
  <c r="P3932" i="4"/>
  <c r="P3933" i="4"/>
  <c r="P3934" i="4"/>
  <c r="P3935" i="4"/>
  <c r="P3936" i="4"/>
  <c r="P3937" i="4"/>
  <c r="P3938" i="4"/>
  <c r="P3939" i="4"/>
  <c r="P3940" i="4"/>
  <c r="P3941" i="4"/>
  <c r="P3942" i="4"/>
  <c r="P3943" i="4"/>
  <c r="P3944" i="4"/>
  <c r="P3945" i="4"/>
  <c r="P3946" i="4"/>
  <c r="P3947" i="4"/>
  <c r="P3948" i="4"/>
  <c r="P3949" i="4"/>
  <c r="P3950" i="4"/>
  <c r="P3951" i="4"/>
  <c r="P3952" i="4"/>
  <c r="P3953" i="4"/>
  <c r="P3954" i="4"/>
  <c r="P3955" i="4"/>
  <c r="P3956" i="4"/>
  <c r="P3957" i="4"/>
  <c r="P3958" i="4"/>
  <c r="P3959" i="4"/>
  <c r="P3960" i="4"/>
  <c r="P3961" i="4"/>
  <c r="P3962" i="4"/>
  <c r="P3963" i="4"/>
  <c r="P3964" i="4"/>
  <c r="P3965" i="4"/>
  <c r="P3966" i="4"/>
  <c r="P3967" i="4"/>
  <c r="P3968" i="4"/>
  <c r="P3969" i="4"/>
  <c r="P3970" i="4"/>
  <c r="P3971" i="4"/>
  <c r="P3972" i="4"/>
  <c r="P3973" i="4"/>
  <c r="P3974" i="4"/>
  <c r="P3975" i="4"/>
  <c r="P3976" i="4"/>
  <c r="P3977" i="4"/>
  <c r="P3978" i="4"/>
  <c r="P3979" i="4"/>
  <c r="P3980" i="4"/>
  <c r="P3981" i="4"/>
  <c r="P3982" i="4"/>
  <c r="P3983" i="4"/>
  <c r="P3984" i="4"/>
  <c r="P3985" i="4"/>
  <c r="P3986" i="4"/>
  <c r="P3987" i="4"/>
  <c r="P3988" i="4"/>
  <c r="P3989" i="4"/>
  <c r="P3990" i="4"/>
  <c r="P3991" i="4"/>
  <c r="P3992" i="4"/>
  <c r="P3993" i="4"/>
  <c r="P3994" i="4"/>
  <c r="P3995" i="4"/>
  <c r="P3996" i="4"/>
  <c r="P3997" i="4"/>
  <c r="P3998" i="4"/>
  <c r="P3999" i="4"/>
  <c r="P4000" i="4"/>
  <c r="P4001" i="4"/>
  <c r="P4002" i="4"/>
  <c r="P4003" i="4"/>
  <c r="P4004" i="4"/>
  <c r="P4005" i="4"/>
  <c r="P4006" i="4"/>
  <c r="P4007" i="4"/>
  <c r="P4008" i="4"/>
  <c r="P4009" i="4"/>
  <c r="P4010" i="4"/>
  <c r="P4011" i="4"/>
  <c r="P4012" i="4"/>
  <c r="P4013" i="4"/>
  <c r="P4014" i="4"/>
  <c r="P4015" i="4"/>
  <c r="P4016" i="4"/>
  <c r="P4017" i="4"/>
  <c r="P4018" i="4"/>
  <c r="P4019" i="4"/>
  <c r="P4020" i="4"/>
  <c r="P4021" i="4"/>
  <c r="P4022" i="4"/>
  <c r="P4023" i="4"/>
  <c r="P4024" i="4"/>
  <c r="P4025" i="4"/>
  <c r="P4026" i="4"/>
  <c r="P4027" i="4"/>
  <c r="P4028" i="4"/>
  <c r="P4029" i="4"/>
  <c r="P4030" i="4"/>
  <c r="P4031" i="4"/>
  <c r="P4032" i="4"/>
  <c r="P4033" i="4"/>
  <c r="P4034" i="4"/>
  <c r="P4035" i="4"/>
  <c r="P4036" i="4"/>
  <c r="P4037" i="4"/>
  <c r="P4038" i="4"/>
  <c r="P4039" i="4"/>
  <c r="P4040" i="4"/>
  <c r="P4041" i="4"/>
  <c r="P4042" i="4"/>
  <c r="P4043" i="4"/>
  <c r="P4044" i="4"/>
  <c r="P4045" i="4"/>
  <c r="P4046" i="4"/>
  <c r="P4047" i="4"/>
  <c r="P4048" i="4"/>
  <c r="P4049" i="4"/>
  <c r="P4050" i="4"/>
  <c r="P4051" i="4"/>
  <c r="P4052" i="4"/>
  <c r="P4053" i="4"/>
  <c r="P4054" i="4"/>
  <c r="P4055" i="4"/>
  <c r="P4056" i="4"/>
  <c r="P4057" i="4"/>
  <c r="P4058" i="4"/>
  <c r="P4059" i="4"/>
  <c r="P4060" i="4"/>
  <c r="P4061" i="4"/>
  <c r="P4062" i="4"/>
  <c r="P4063" i="4"/>
  <c r="P4064" i="4"/>
  <c r="P4065" i="4"/>
  <c r="P4066" i="4"/>
  <c r="P4067" i="4"/>
  <c r="P4068" i="4"/>
  <c r="P4069" i="4"/>
  <c r="P4070" i="4"/>
  <c r="P4071" i="4"/>
  <c r="P4072" i="4"/>
  <c r="P4073" i="4"/>
  <c r="P4074" i="4"/>
  <c r="P4075" i="4"/>
  <c r="P4076" i="4"/>
  <c r="P4077" i="4"/>
  <c r="P4078" i="4"/>
  <c r="P4079" i="4"/>
  <c r="P4080" i="4"/>
  <c r="P4081" i="4"/>
  <c r="P4082" i="4"/>
  <c r="P4083" i="4"/>
  <c r="P4084" i="4"/>
  <c r="P4085" i="4"/>
  <c r="P4086" i="4"/>
  <c r="P4087" i="4"/>
  <c r="P4088" i="4"/>
  <c r="P4089" i="4"/>
  <c r="P4090" i="4"/>
  <c r="P4091" i="4"/>
  <c r="P4092" i="4"/>
  <c r="P4093" i="4"/>
  <c r="P4094" i="4"/>
  <c r="P4095" i="4"/>
  <c r="P4096" i="4"/>
  <c r="P4097" i="4"/>
  <c r="P4098" i="4"/>
  <c r="P4099" i="4"/>
  <c r="P4100" i="4"/>
  <c r="P4101" i="4"/>
  <c r="P4102" i="4"/>
  <c r="P4103" i="4"/>
  <c r="P4104" i="4"/>
  <c r="P4105" i="4"/>
  <c r="P4106" i="4"/>
  <c r="P4107" i="4"/>
  <c r="P4108" i="4"/>
  <c r="P4109" i="4"/>
  <c r="P4110" i="4"/>
  <c r="P4111" i="4"/>
  <c r="P4112" i="4"/>
  <c r="P4113" i="4"/>
  <c r="P4114" i="4"/>
  <c r="P4115" i="4"/>
  <c r="P2" i="4"/>
  <c r="O9" i="4"/>
  <c r="O4115" i="4"/>
  <c r="O4114" i="4"/>
  <c r="O4113" i="4"/>
  <c r="O4112" i="4"/>
  <c r="O4111" i="4"/>
  <c r="O4110" i="4"/>
  <c r="O4109" i="4"/>
  <c r="O4108" i="4"/>
  <c r="O4107" i="4"/>
  <c r="O4106" i="4"/>
  <c r="O4105" i="4"/>
  <c r="O4104" i="4"/>
  <c r="O4103" i="4"/>
  <c r="O4102" i="4"/>
  <c r="O4101" i="4"/>
  <c r="O4100" i="4"/>
  <c r="O4099" i="4"/>
  <c r="O4098" i="4"/>
  <c r="O4097" i="4"/>
  <c r="O4096" i="4"/>
  <c r="O4095" i="4"/>
  <c r="O4094" i="4"/>
  <c r="O4093" i="4"/>
  <c r="O4092" i="4"/>
  <c r="O4091" i="4"/>
  <c r="O4090" i="4"/>
  <c r="O4089" i="4"/>
  <c r="O4088" i="4"/>
  <c r="O4087" i="4"/>
  <c r="O4086" i="4"/>
  <c r="O4085" i="4"/>
  <c r="O4084" i="4"/>
  <c r="O4083" i="4"/>
  <c r="O4082" i="4"/>
  <c r="O4081" i="4"/>
  <c r="O4080" i="4"/>
  <c r="O4079" i="4"/>
  <c r="O4078" i="4"/>
  <c r="O4077" i="4"/>
  <c r="O4076" i="4"/>
  <c r="O4075" i="4"/>
  <c r="O4074" i="4"/>
  <c r="O4073" i="4"/>
  <c r="O4072" i="4"/>
  <c r="O4071" i="4"/>
  <c r="O4070" i="4"/>
  <c r="O4069" i="4"/>
  <c r="O4068" i="4"/>
  <c r="O4067" i="4"/>
  <c r="O4066" i="4"/>
  <c r="O4065" i="4"/>
  <c r="O4064" i="4"/>
  <c r="O4063" i="4"/>
  <c r="O4062" i="4"/>
  <c r="O4061" i="4"/>
  <c r="O4060" i="4"/>
  <c r="O4059" i="4"/>
  <c r="O4058" i="4"/>
  <c r="O4057" i="4"/>
  <c r="O4056" i="4"/>
  <c r="O4055" i="4"/>
  <c r="O4054" i="4"/>
  <c r="O4053" i="4"/>
  <c r="O4052" i="4"/>
  <c r="O4051" i="4"/>
  <c r="O4050" i="4"/>
  <c r="O4049" i="4"/>
  <c r="O4048" i="4"/>
  <c r="O4047" i="4"/>
  <c r="O4046" i="4"/>
  <c r="O4045" i="4"/>
  <c r="O4044" i="4"/>
  <c r="O4043" i="4"/>
  <c r="O4042" i="4"/>
  <c r="O4041" i="4"/>
  <c r="O4040" i="4"/>
  <c r="O4039" i="4"/>
  <c r="O4038" i="4"/>
  <c r="O4037" i="4"/>
  <c r="O4036" i="4"/>
  <c r="O4035" i="4"/>
  <c r="O4034" i="4"/>
  <c r="O4033" i="4"/>
  <c r="O4032" i="4"/>
  <c r="O4031" i="4"/>
  <c r="O4030" i="4"/>
  <c r="O4029" i="4"/>
  <c r="O4028" i="4"/>
  <c r="O4027" i="4"/>
  <c r="O4026" i="4"/>
  <c r="O4025" i="4"/>
  <c r="O4024" i="4"/>
  <c r="O4023" i="4"/>
  <c r="O4022" i="4"/>
  <c r="O4021" i="4"/>
  <c r="O4020" i="4"/>
  <c r="O4019" i="4"/>
  <c r="O4018" i="4"/>
  <c r="O4017" i="4"/>
  <c r="O4016" i="4"/>
  <c r="O4015" i="4"/>
  <c r="O4014" i="4"/>
  <c r="O4013" i="4"/>
  <c r="O4012" i="4"/>
  <c r="O4011" i="4"/>
  <c r="O4010" i="4"/>
  <c r="O4009" i="4"/>
  <c r="O4008" i="4"/>
  <c r="O4007" i="4"/>
  <c r="O4006" i="4"/>
  <c r="O4005" i="4"/>
  <c r="O4004" i="4"/>
  <c r="O4003" i="4"/>
  <c r="O4002" i="4"/>
  <c r="O4001" i="4"/>
  <c r="O4000" i="4"/>
  <c r="O3999" i="4"/>
  <c r="O3998" i="4"/>
  <c r="O3997" i="4"/>
  <c r="O3996" i="4"/>
  <c r="O3995" i="4"/>
  <c r="O3994" i="4"/>
  <c r="O3993" i="4"/>
  <c r="O3992" i="4"/>
  <c r="O3991" i="4"/>
  <c r="O3990" i="4"/>
  <c r="O3989" i="4"/>
  <c r="O3988" i="4"/>
  <c r="O3987" i="4"/>
  <c r="O3986" i="4"/>
  <c r="O3985" i="4"/>
  <c r="O3984" i="4"/>
  <c r="O3983" i="4"/>
  <c r="O3982" i="4"/>
  <c r="O3981" i="4"/>
  <c r="O3980" i="4"/>
  <c r="O3979" i="4"/>
  <c r="O3978" i="4"/>
  <c r="O3977" i="4"/>
  <c r="O3976" i="4"/>
  <c r="O3975" i="4"/>
  <c r="O3974" i="4"/>
  <c r="O3973" i="4"/>
  <c r="O3972" i="4"/>
  <c r="O3971" i="4"/>
  <c r="O3970" i="4"/>
  <c r="O3969" i="4"/>
  <c r="O3968" i="4"/>
  <c r="O3967" i="4"/>
  <c r="O3966" i="4"/>
  <c r="O3965" i="4"/>
  <c r="O3964" i="4"/>
  <c r="O3963" i="4"/>
  <c r="O3962" i="4"/>
  <c r="O3961" i="4"/>
  <c r="O3960" i="4"/>
  <c r="O3959" i="4"/>
  <c r="O3958" i="4"/>
  <c r="O3957" i="4"/>
  <c r="O3956" i="4"/>
  <c r="O3955" i="4"/>
  <c r="O3954" i="4"/>
  <c r="O3953" i="4"/>
  <c r="O3952" i="4"/>
  <c r="O3951" i="4"/>
  <c r="O3950" i="4"/>
  <c r="O3949" i="4"/>
  <c r="O3948" i="4"/>
  <c r="O3947" i="4"/>
  <c r="O3946" i="4"/>
  <c r="O3945" i="4"/>
  <c r="O3944" i="4"/>
  <c r="O3943" i="4"/>
  <c r="O3942" i="4"/>
  <c r="O3941" i="4"/>
  <c r="O3940" i="4"/>
  <c r="O3939" i="4"/>
  <c r="O3938" i="4"/>
  <c r="O3937" i="4"/>
  <c r="O3936" i="4"/>
  <c r="O3935" i="4"/>
  <c r="O3934" i="4"/>
  <c r="O3933" i="4"/>
  <c r="O3932" i="4"/>
  <c r="O3931" i="4"/>
  <c r="O3930" i="4"/>
  <c r="O3929" i="4"/>
  <c r="O3928" i="4"/>
  <c r="O3927" i="4"/>
  <c r="O3926" i="4"/>
  <c r="O3925" i="4"/>
  <c r="O3924" i="4"/>
  <c r="O3923" i="4"/>
  <c r="O3922" i="4"/>
  <c r="O3921" i="4"/>
  <c r="O3920" i="4"/>
  <c r="O3919" i="4"/>
  <c r="O3918" i="4"/>
  <c r="O3917" i="4"/>
  <c r="O3916" i="4"/>
  <c r="O3915" i="4"/>
  <c r="O3914" i="4"/>
  <c r="O3913" i="4"/>
  <c r="O3912" i="4"/>
  <c r="O3911" i="4"/>
  <c r="O3910" i="4"/>
  <c r="O3909" i="4"/>
  <c r="O3908" i="4"/>
  <c r="O3907" i="4"/>
  <c r="O3906" i="4"/>
  <c r="O3905" i="4"/>
  <c r="O3904" i="4"/>
  <c r="O3903" i="4"/>
  <c r="O3902" i="4"/>
  <c r="O3901" i="4"/>
  <c r="O3900" i="4"/>
  <c r="O3899" i="4"/>
  <c r="O3898" i="4"/>
  <c r="O3897" i="4"/>
  <c r="O3896" i="4"/>
  <c r="O3895" i="4"/>
  <c r="O3894" i="4"/>
  <c r="O3893" i="4"/>
  <c r="O3892" i="4"/>
  <c r="O3891" i="4"/>
  <c r="O3890" i="4"/>
  <c r="O3889" i="4"/>
  <c r="O3888" i="4"/>
  <c r="O3887" i="4"/>
  <c r="O3886" i="4"/>
  <c r="O3885" i="4"/>
  <c r="O3884" i="4"/>
  <c r="O3883" i="4"/>
  <c r="O3882" i="4"/>
  <c r="O3881" i="4"/>
  <c r="O3880" i="4"/>
  <c r="O3879" i="4"/>
  <c r="O3878" i="4"/>
  <c r="O3877" i="4"/>
  <c r="O3876" i="4"/>
  <c r="O3875" i="4"/>
  <c r="O3874" i="4"/>
  <c r="O3873" i="4"/>
  <c r="O3872" i="4"/>
  <c r="O3871" i="4"/>
  <c r="O3870" i="4"/>
  <c r="O3869" i="4"/>
  <c r="O3868" i="4"/>
  <c r="O3867" i="4"/>
  <c r="O3866" i="4"/>
  <c r="O3865" i="4"/>
  <c r="O3864" i="4"/>
  <c r="O3863" i="4"/>
  <c r="O3862" i="4"/>
  <c r="O3861" i="4"/>
  <c r="O3860" i="4"/>
  <c r="O3859" i="4"/>
  <c r="O3858" i="4"/>
  <c r="O3857" i="4"/>
  <c r="O3856" i="4"/>
  <c r="O3855" i="4"/>
  <c r="O3854" i="4"/>
  <c r="O3853" i="4"/>
  <c r="O3852" i="4"/>
  <c r="O3851" i="4"/>
  <c r="O3850" i="4"/>
  <c r="O3849" i="4"/>
  <c r="O3848" i="4"/>
  <c r="O3847" i="4"/>
  <c r="O3846" i="4"/>
  <c r="O3845" i="4"/>
  <c r="O3844" i="4"/>
  <c r="O3843" i="4"/>
  <c r="O3842" i="4"/>
  <c r="O3841" i="4"/>
  <c r="O3840" i="4"/>
  <c r="O3839" i="4"/>
  <c r="O3838" i="4"/>
  <c r="O3837" i="4"/>
  <c r="O3836" i="4"/>
  <c r="O3835" i="4"/>
  <c r="O3834" i="4"/>
  <c r="O3833" i="4"/>
  <c r="O3832" i="4"/>
  <c r="O3831" i="4"/>
  <c r="O3830" i="4"/>
  <c r="O3829" i="4"/>
  <c r="O3828" i="4"/>
  <c r="O3827" i="4"/>
  <c r="O3826" i="4"/>
  <c r="O3825" i="4"/>
  <c r="O3824" i="4"/>
  <c r="O3823" i="4"/>
  <c r="O3822" i="4"/>
  <c r="O3821" i="4"/>
  <c r="O3820" i="4"/>
  <c r="O3819" i="4"/>
  <c r="O3818" i="4"/>
  <c r="O3817" i="4"/>
  <c r="O3816" i="4"/>
  <c r="O3815" i="4"/>
  <c r="O3814" i="4"/>
  <c r="O3813" i="4"/>
  <c r="O3812" i="4"/>
  <c r="O3811" i="4"/>
  <c r="O3810" i="4"/>
  <c r="O3809" i="4"/>
  <c r="O3808" i="4"/>
  <c r="O3807" i="4"/>
  <c r="O3806" i="4"/>
  <c r="O3805" i="4"/>
  <c r="O3804" i="4"/>
  <c r="O3803" i="4"/>
  <c r="O3802" i="4"/>
  <c r="O3801" i="4"/>
  <c r="O3800" i="4"/>
  <c r="O3799" i="4"/>
  <c r="O3798" i="4"/>
  <c r="O3797" i="4"/>
  <c r="O3796" i="4"/>
  <c r="O3795" i="4"/>
  <c r="O3794" i="4"/>
  <c r="O3793" i="4"/>
  <c r="O3792" i="4"/>
  <c r="O3791" i="4"/>
  <c r="O3790" i="4"/>
  <c r="O3789" i="4"/>
  <c r="O3788" i="4"/>
  <c r="O3787" i="4"/>
  <c r="O3786" i="4"/>
  <c r="O3785" i="4"/>
  <c r="O3784" i="4"/>
  <c r="O3783" i="4"/>
  <c r="O3782" i="4"/>
  <c r="O3781" i="4"/>
  <c r="O3780" i="4"/>
  <c r="O3779" i="4"/>
  <c r="O3778" i="4"/>
  <c r="O3777" i="4"/>
  <c r="O3776" i="4"/>
  <c r="O3775" i="4"/>
  <c r="O3774" i="4"/>
  <c r="O3773" i="4"/>
  <c r="O3772" i="4"/>
  <c r="O3771" i="4"/>
  <c r="O3770" i="4"/>
  <c r="O3769" i="4"/>
  <c r="O3768" i="4"/>
  <c r="O3767" i="4"/>
  <c r="O3766" i="4"/>
  <c r="O3765" i="4"/>
  <c r="O3764" i="4"/>
  <c r="O3763" i="4"/>
  <c r="O3762" i="4"/>
  <c r="O3761" i="4"/>
  <c r="O3760" i="4"/>
  <c r="O3759" i="4"/>
  <c r="O3758" i="4"/>
  <c r="O3757" i="4"/>
  <c r="O3756" i="4"/>
  <c r="O3755" i="4"/>
  <c r="O3754" i="4"/>
  <c r="O3753" i="4"/>
  <c r="O3752" i="4"/>
  <c r="O3751" i="4"/>
  <c r="O3750" i="4"/>
  <c r="O3749" i="4"/>
  <c r="O3748" i="4"/>
  <c r="O3747" i="4"/>
  <c r="O3746" i="4"/>
  <c r="O3745" i="4"/>
  <c r="O3744" i="4"/>
  <c r="O3743" i="4"/>
  <c r="O3742" i="4"/>
  <c r="O3741" i="4"/>
  <c r="O3740" i="4"/>
  <c r="O3739" i="4"/>
  <c r="O3738" i="4"/>
  <c r="O3737" i="4"/>
  <c r="O3736" i="4"/>
  <c r="O3735" i="4"/>
  <c r="O3734" i="4"/>
  <c r="O3733" i="4"/>
  <c r="O3732" i="4"/>
  <c r="O3731" i="4"/>
  <c r="O3730" i="4"/>
  <c r="O3729" i="4"/>
  <c r="O3728" i="4"/>
  <c r="O3727" i="4"/>
  <c r="O3726" i="4"/>
  <c r="O3725" i="4"/>
  <c r="O3724" i="4"/>
  <c r="O3723" i="4"/>
  <c r="O3722" i="4"/>
  <c r="O3721" i="4"/>
  <c r="O3720" i="4"/>
  <c r="O3719" i="4"/>
  <c r="O3718" i="4"/>
  <c r="O3717" i="4"/>
  <c r="O3716" i="4"/>
  <c r="O3715" i="4"/>
  <c r="O3714" i="4"/>
  <c r="O3713" i="4"/>
  <c r="O3712" i="4"/>
  <c r="O3711" i="4"/>
  <c r="O3710" i="4"/>
  <c r="O3709" i="4"/>
  <c r="O3708" i="4"/>
  <c r="O3707" i="4"/>
  <c r="O3706" i="4"/>
  <c r="O3705" i="4"/>
  <c r="O3704" i="4"/>
  <c r="O3703" i="4"/>
  <c r="O3702" i="4"/>
  <c r="O3701" i="4"/>
  <c r="O3700" i="4"/>
  <c r="O3699" i="4"/>
  <c r="O3698" i="4"/>
  <c r="O3697" i="4"/>
  <c r="O3696" i="4"/>
  <c r="O3695" i="4"/>
  <c r="O3694" i="4"/>
  <c r="O3693" i="4"/>
  <c r="O3692" i="4"/>
  <c r="O3691" i="4"/>
  <c r="O3690" i="4"/>
  <c r="O3689" i="4"/>
  <c r="O3688" i="4"/>
  <c r="O3687" i="4"/>
  <c r="O3686" i="4"/>
  <c r="O3685" i="4"/>
  <c r="O3684" i="4"/>
  <c r="O3683" i="4"/>
  <c r="O3682" i="4"/>
  <c r="O3681" i="4"/>
  <c r="O3680" i="4"/>
  <c r="O3679" i="4"/>
  <c r="O3678" i="4"/>
  <c r="O3677" i="4"/>
  <c r="O3676" i="4"/>
  <c r="O3675" i="4"/>
  <c r="O3674" i="4"/>
  <c r="O3673" i="4"/>
  <c r="O3672" i="4"/>
  <c r="O3671" i="4"/>
  <c r="O3670" i="4"/>
  <c r="O3669" i="4"/>
  <c r="O3668" i="4"/>
  <c r="O3667" i="4"/>
  <c r="O3666" i="4"/>
  <c r="O3665" i="4"/>
  <c r="O3664" i="4"/>
  <c r="O3663" i="4"/>
  <c r="O3662" i="4"/>
  <c r="O3661" i="4"/>
  <c r="O3660" i="4"/>
  <c r="O3659" i="4"/>
  <c r="O3658" i="4"/>
  <c r="O3657" i="4"/>
  <c r="O3656" i="4"/>
  <c r="O3655" i="4"/>
  <c r="O3654" i="4"/>
  <c r="O3653" i="4"/>
  <c r="O3652" i="4"/>
  <c r="O3651" i="4"/>
  <c r="O3650" i="4"/>
  <c r="O3649" i="4"/>
  <c r="O3648" i="4"/>
  <c r="O3647" i="4"/>
  <c r="O3646" i="4"/>
  <c r="O3645" i="4"/>
  <c r="O3644" i="4"/>
  <c r="O3643" i="4"/>
  <c r="O3642" i="4"/>
  <c r="O3641" i="4"/>
  <c r="O3640" i="4"/>
  <c r="O3639" i="4"/>
  <c r="O3638" i="4"/>
  <c r="O3637" i="4"/>
  <c r="O3636" i="4"/>
  <c r="O3635" i="4"/>
  <c r="O3634" i="4"/>
  <c r="O3633" i="4"/>
  <c r="O3632" i="4"/>
  <c r="O3631" i="4"/>
  <c r="O3630" i="4"/>
  <c r="O3629" i="4"/>
  <c r="O3628" i="4"/>
  <c r="O3627" i="4"/>
  <c r="O3626" i="4"/>
  <c r="O3625" i="4"/>
  <c r="O3624" i="4"/>
  <c r="O3623" i="4"/>
  <c r="O3622" i="4"/>
  <c r="O3621" i="4"/>
  <c r="O3620" i="4"/>
  <c r="O3619" i="4"/>
  <c r="O3618" i="4"/>
  <c r="O3617" i="4"/>
  <c r="O3616" i="4"/>
  <c r="O3615" i="4"/>
  <c r="O3614" i="4"/>
  <c r="O3613" i="4"/>
  <c r="O3612" i="4"/>
  <c r="O3611" i="4"/>
  <c r="O3610" i="4"/>
  <c r="O3609" i="4"/>
  <c r="O3608" i="4"/>
  <c r="O3607" i="4"/>
  <c r="O3606" i="4"/>
  <c r="O3605" i="4"/>
  <c r="O3604" i="4"/>
  <c r="O3603" i="4"/>
  <c r="O3602" i="4"/>
  <c r="O3601" i="4"/>
  <c r="O3600" i="4"/>
  <c r="O3599" i="4"/>
  <c r="O3598" i="4"/>
  <c r="O3597" i="4"/>
  <c r="O3596" i="4"/>
  <c r="O3595" i="4"/>
  <c r="O3594" i="4"/>
  <c r="O3593" i="4"/>
  <c r="O3592" i="4"/>
  <c r="O3591" i="4"/>
  <c r="O3590" i="4"/>
  <c r="O3589" i="4"/>
  <c r="O3588" i="4"/>
  <c r="O3587" i="4"/>
  <c r="O3586" i="4"/>
  <c r="O3585" i="4"/>
  <c r="O3584" i="4"/>
  <c r="O3583" i="4"/>
  <c r="O3582" i="4"/>
  <c r="O3581" i="4"/>
  <c r="O3580" i="4"/>
  <c r="O3579" i="4"/>
  <c r="O3578" i="4"/>
  <c r="O3577" i="4"/>
  <c r="O3576" i="4"/>
  <c r="O3575" i="4"/>
  <c r="O3574" i="4"/>
  <c r="O3573" i="4"/>
  <c r="O3572" i="4"/>
  <c r="O3571" i="4"/>
  <c r="O3570" i="4"/>
  <c r="O3569" i="4"/>
  <c r="O3568" i="4"/>
  <c r="O3567" i="4"/>
  <c r="O3566" i="4"/>
  <c r="O3565" i="4"/>
  <c r="O3564" i="4"/>
  <c r="O3563" i="4"/>
  <c r="O3562" i="4"/>
  <c r="O3561" i="4"/>
  <c r="O3560" i="4"/>
  <c r="O3559" i="4"/>
  <c r="O3558" i="4"/>
  <c r="O3557" i="4"/>
  <c r="O3556" i="4"/>
  <c r="O3555" i="4"/>
  <c r="O3554" i="4"/>
  <c r="O3553" i="4"/>
  <c r="O3552" i="4"/>
  <c r="O3551" i="4"/>
  <c r="O3550" i="4"/>
  <c r="O3549" i="4"/>
  <c r="O3548" i="4"/>
  <c r="O3547" i="4"/>
  <c r="O3546" i="4"/>
  <c r="O3545" i="4"/>
  <c r="O3544" i="4"/>
  <c r="O3543" i="4"/>
  <c r="O3542" i="4"/>
  <c r="O3541" i="4"/>
  <c r="O3540" i="4"/>
  <c r="O3539" i="4"/>
  <c r="O3538" i="4"/>
  <c r="O3537" i="4"/>
  <c r="O3536" i="4"/>
  <c r="O3535" i="4"/>
  <c r="O3534" i="4"/>
  <c r="O3533" i="4"/>
  <c r="O3532" i="4"/>
  <c r="O3531" i="4"/>
  <c r="O3530" i="4"/>
  <c r="O3529" i="4"/>
  <c r="O3528" i="4"/>
  <c r="O3527" i="4"/>
  <c r="O3526" i="4"/>
  <c r="O3525" i="4"/>
  <c r="O3524" i="4"/>
  <c r="O3523" i="4"/>
  <c r="O3522" i="4"/>
  <c r="O3521" i="4"/>
  <c r="O3520" i="4"/>
  <c r="O3519" i="4"/>
  <c r="O3518" i="4"/>
  <c r="O3517" i="4"/>
  <c r="O3516" i="4"/>
  <c r="O3515" i="4"/>
  <c r="O3514" i="4"/>
  <c r="O3513" i="4"/>
  <c r="O3512" i="4"/>
  <c r="O3511" i="4"/>
  <c r="O3510" i="4"/>
  <c r="O3509" i="4"/>
  <c r="O3508" i="4"/>
  <c r="O3507" i="4"/>
  <c r="O3506" i="4"/>
  <c r="O3505" i="4"/>
  <c r="O3504" i="4"/>
  <c r="O3503" i="4"/>
  <c r="O3502" i="4"/>
  <c r="O3501" i="4"/>
  <c r="O3500" i="4"/>
  <c r="O3499" i="4"/>
  <c r="O3498" i="4"/>
  <c r="O3497" i="4"/>
  <c r="O3496" i="4"/>
  <c r="O3495" i="4"/>
  <c r="O3494" i="4"/>
  <c r="O3493" i="4"/>
  <c r="O3492" i="4"/>
  <c r="O3491" i="4"/>
  <c r="O3490" i="4"/>
  <c r="O3489" i="4"/>
  <c r="O3488" i="4"/>
  <c r="O3487" i="4"/>
  <c r="O3486" i="4"/>
  <c r="O3485" i="4"/>
  <c r="O3484" i="4"/>
  <c r="O3483" i="4"/>
  <c r="O3482" i="4"/>
  <c r="O3481" i="4"/>
  <c r="O3480" i="4"/>
  <c r="O3479" i="4"/>
  <c r="O3478" i="4"/>
  <c r="O3477" i="4"/>
  <c r="O3476" i="4"/>
  <c r="O3475" i="4"/>
  <c r="O3474" i="4"/>
  <c r="O3473" i="4"/>
  <c r="O3472" i="4"/>
  <c r="O3471" i="4"/>
  <c r="O3470" i="4"/>
  <c r="O3469" i="4"/>
  <c r="O3468" i="4"/>
  <c r="O3467" i="4"/>
  <c r="O3466" i="4"/>
  <c r="O3465" i="4"/>
  <c r="O3464" i="4"/>
  <c r="O3463" i="4"/>
  <c r="O3462" i="4"/>
  <c r="O3461" i="4"/>
  <c r="O3460" i="4"/>
  <c r="O3459" i="4"/>
  <c r="O3458" i="4"/>
  <c r="O3457" i="4"/>
  <c r="O3456" i="4"/>
  <c r="O3455" i="4"/>
  <c r="O3454" i="4"/>
  <c r="O3453" i="4"/>
  <c r="O3452" i="4"/>
  <c r="O3451" i="4"/>
  <c r="O3450" i="4"/>
  <c r="O3449" i="4"/>
  <c r="O3448" i="4"/>
  <c r="O3447" i="4"/>
  <c r="O3446" i="4"/>
  <c r="O3445" i="4"/>
  <c r="O3444" i="4"/>
  <c r="O3443" i="4"/>
  <c r="O3442" i="4"/>
  <c r="O3441" i="4"/>
  <c r="O3440" i="4"/>
  <c r="O3439" i="4"/>
  <c r="O3438" i="4"/>
  <c r="O3437" i="4"/>
  <c r="O3436" i="4"/>
  <c r="O3435" i="4"/>
  <c r="O3434" i="4"/>
  <c r="O3433" i="4"/>
  <c r="O3432" i="4"/>
  <c r="O3431" i="4"/>
  <c r="O3430" i="4"/>
  <c r="O3429" i="4"/>
  <c r="O3428" i="4"/>
  <c r="O3427" i="4"/>
  <c r="O3426" i="4"/>
  <c r="O3425" i="4"/>
  <c r="O3424" i="4"/>
  <c r="O3423" i="4"/>
  <c r="O3422" i="4"/>
  <c r="O3421" i="4"/>
  <c r="O3420" i="4"/>
  <c r="O3419" i="4"/>
  <c r="O3418" i="4"/>
  <c r="O3417" i="4"/>
  <c r="O3416" i="4"/>
  <c r="O3415" i="4"/>
  <c r="O3414" i="4"/>
  <c r="O3413" i="4"/>
  <c r="O3412" i="4"/>
  <c r="O3411" i="4"/>
  <c r="O3410" i="4"/>
  <c r="O3409" i="4"/>
  <c r="O3408" i="4"/>
  <c r="O3407" i="4"/>
  <c r="O3406" i="4"/>
  <c r="O3405" i="4"/>
  <c r="O3404" i="4"/>
  <c r="O3403" i="4"/>
  <c r="O3402" i="4"/>
  <c r="O3401" i="4"/>
  <c r="O3400" i="4"/>
  <c r="O3399" i="4"/>
  <c r="O3398" i="4"/>
  <c r="O3397" i="4"/>
  <c r="O3396" i="4"/>
  <c r="O3395" i="4"/>
  <c r="O3394" i="4"/>
  <c r="O3393" i="4"/>
  <c r="O3392" i="4"/>
  <c r="O3391" i="4"/>
  <c r="O3390" i="4"/>
  <c r="O3389" i="4"/>
  <c r="O3388" i="4"/>
  <c r="O3387" i="4"/>
  <c r="O3386" i="4"/>
  <c r="O3385" i="4"/>
  <c r="O3384" i="4"/>
  <c r="O3383" i="4"/>
  <c r="O3382" i="4"/>
  <c r="O3381" i="4"/>
  <c r="O3380" i="4"/>
  <c r="O3379" i="4"/>
  <c r="O3378" i="4"/>
  <c r="O3377" i="4"/>
  <c r="O3376" i="4"/>
  <c r="O3375" i="4"/>
  <c r="O3374" i="4"/>
  <c r="O3373" i="4"/>
  <c r="O3372" i="4"/>
  <c r="O3371" i="4"/>
  <c r="O3370" i="4"/>
  <c r="O3369" i="4"/>
  <c r="O3368" i="4"/>
  <c r="O3367" i="4"/>
  <c r="O3366" i="4"/>
  <c r="O3365" i="4"/>
  <c r="O3364" i="4"/>
  <c r="O3363" i="4"/>
  <c r="O3362" i="4"/>
  <c r="O3361" i="4"/>
  <c r="O3360" i="4"/>
  <c r="O3359" i="4"/>
  <c r="O3358" i="4"/>
  <c r="O3357" i="4"/>
  <c r="O3356" i="4"/>
  <c r="O3355" i="4"/>
  <c r="O3354" i="4"/>
  <c r="O3353" i="4"/>
  <c r="O3352" i="4"/>
  <c r="O3351" i="4"/>
  <c r="O3350" i="4"/>
  <c r="O3349" i="4"/>
  <c r="O3348" i="4"/>
  <c r="O3347" i="4"/>
  <c r="O3346" i="4"/>
  <c r="O3345" i="4"/>
  <c r="O3344" i="4"/>
  <c r="O3343" i="4"/>
  <c r="O3342" i="4"/>
  <c r="O3341" i="4"/>
  <c r="O3340" i="4"/>
  <c r="O3339" i="4"/>
  <c r="O3338" i="4"/>
  <c r="O3337" i="4"/>
  <c r="O3336" i="4"/>
  <c r="O3335" i="4"/>
  <c r="O3334" i="4"/>
  <c r="O3333" i="4"/>
  <c r="O3332" i="4"/>
  <c r="O3331" i="4"/>
  <c r="O3330" i="4"/>
  <c r="O3329" i="4"/>
  <c r="O3328" i="4"/>
  <c r="O3327" i="4"/>
  <c r="O3326" i="4"/>
  <c r="O3325" i="4"/>
  <c r="O3324" i="4"/>
  <c r="O3323" i="4"/>
  <c r="O3322" i="4"/>
  <c r="O3321" i="4"/>
  <c r="O3320" i="4"/>
  <c r="O3319" i="4"/>
  <c r="O3318" i="4"/>
  <c r="O3317" i="4"/>
  <c r="O3316" i="4"/>
  <c r="O3315" i="4"/>
  <c r="O3314" i="4"/>
  <c r="O3313" i="4"/>
  <c r="O3312" i="4"/>
  <c r="O3311" i="4"/>
  <c r="O3310" i="4"/>
  <c r="O3309" i="4"/>
  <c r="O3308" i="4"/>
  <c r="O3307" i="4"/>
  <c r="O3306" i="4"/>
  <c r="O3305" i="4"/>
  <c r="O3304" i="4"/>
  <c r="O3303" i="4"/>
  <c r="O3302" i="4"/>
  <c r="O3301" i="4"/>
  <c r="O3300" i="4"/>
  <c r="O3299" i="4"/>
  <c r="O3298" i="4"/>
  <c r="O3297" i="4"/>
  <c r="O3296" i="4"/>
  <c r="O3295" i="4"/>
  <c r="O3294" i="4"/>
  <c r="O3293" i="4"/>
  <c r="O3292" i="4"/>
  <c r="O3291" i="4"/>
  <c r="O3290" i="4"/>
  <c r="O3289" i="4"/>
  <c r="O3288" i="4"/>
  <c r="O3287" i="4"/>
  <c r="O3286" i="4"/>
  <c r="O3285" i="4"/>
  <c r="O3284" i="4"/>
  <c r="O3283" i="4"/>
  <c r="O3282" i="4"/>
  <c r="O3281" i="4"/>
  <c r="O3280" i="4"/>
  <c r="O3279" i="4"/>
  <c r="O3278" i="4"/>
  <c r="O3277" i="4"/>
  <c r="O3276" i="4"/>
  <c r="O3275" i="4"/>
  <c r="O3274" i="4"/>
  <c r="O3273" i="4"/>
  <c r="O3272" i="4"/>
  <c r="O3271" i="4"/>
  <c r="O3270" i="4"/>
  <c r="O3269" i="4"/>
  <c r="O3268" i="4"/>
  <c r="O3267" i="4"/>
  <c r="O3266" i="4"/>
  <c r="O3265" i="4"/>
  <c r="O3264" i="4"/>
  <c r="O3263" i="4"/>
  <c r="O3262" i="4"/>
  <c r="O3261" i="4"/>
  <c r="O3260" i="4"/>
  <c r="O3259" i="4"/>
  <c r="O3258" i="4"/>
  <c r="O3257" i="4"/>
  <c r="O3256" i="4"/>
  <c r="O3255" i="4"/>
  <c r="O3254" i="4"/>
  <c r="O3253" i="4"/>
  <c r="O3252" i="4"/>
  <c r="O3251" i="4"/>
  <c r="O3250" i="4"/>
  <c r="O3249" i="4"/>
  <c r="O3248" i="4"/>
  <c r="O3247" i="4"/>
  <c r="O3246" i="4"/>
  <c r="O3245" i="4"/>
  <c r="O3244" i="4"/>
  <c r="O3243" i="4"/>
  <c r="O3242" i="4"/>
  <c r="O3241" i="4"/>
  <c r="O3240" i="4"/>
  <c r="O3239" i="4"/>
  <c r="O3238" i="4"/>
  <c r="O3237" i="4"/>
  <c r="O3236" i="4"/>
  <c r="O3235" i="4"/>
  <c r="O3234" i="4"/>
  <c r="O3233" i="4"/>
  <c r="O3232" i="4"/>
  <c r="O3231" i="4"/>
  <c r="O3230" i="4"/>
  <c r="O3229" i="4"/>
  <c r="O3228" i="4"/>
  <c r="O3227" i="4"/>
  <c r="O3226" i="4"/>
  <c r="O3225" i="4"/>
  <c r="O3224" i="4"/>
  <c r="O3223" i="4"/>
  <c r="O3222" i="4"/>
  <c r="O3221" i="4"/>
  <c r="O3220" i="4"/>
  <c r="O3219" i="4"/>
  <c r="O3218" i="4"/>
  <c r="O3217" i="4"/>
  <c r="O3216" i="4"/>
  <c r="O3215" i="4"/>
  <c r="O3214" i="4"/>
  <c r="O3213" i="4"/>
  <c r="O3212" i="4"/>
  <c r="O3211" i="4"/>
  <c r="O3210" i="4"/>
  <c r="O3209" i="4"/>
  <c r="O3208" i="4"/>
  <c r="O3207" i="4"/>
  <c r="O3206" i="4"/>
  <c r="O3205" i="4"/>
  <c r="O3204" i="4"/>
  <c r="O3203" i="4"/>
  <c r="O3202" i="4"/>
  <c r="O3201" i="4"/>
  <c r="O3200" i="4"/>
  <c r="O3199" i="4"/>
  <c r="O3198" i="4"/>
  <c r="O3197" i="4"/>
  <c r="O3196" i="4"/>
  <c r="O3195" i="4"/>
  <c r="O3194" i="4"/>
  <c r="O3193" i="4"/>
  <c r="O3192" i="4"/>
  <c r="O3191" i="4"/>
  <c r="O3190" i="4"/>
  <c r="O3189" i="4"/>
  <c r="O3188" i="4"/>
  <c r="O3187" i="4"/>
  <c r="O3186" i="4"/>
  <c r="O3185" i="4"/>
  <c r="O3184" i="4"/>
  <c r="O3183" i="4"/>
  <c r="O3182" i="4"/>
  <c r="O3181" i="4"/>
  <c r="O3180" i="4"/>
  <c r="O3179" i="4"/>
  <c r="O3178" i="4"/>
  <c r="O3177" i="4"/>
  <c r="O3176" i="4"/>
  <c r="O3175" i="4"/>
  <c r="O3174" i="4"/>
  <c r="O3173" i="4"/>
  <c r="O3172" i="4"/>
  <c r="O3171" i="4"/>
  <c r="O3170" i="4"/>
  <c r="O3169" i="4"/>
  <c r="O3168" i="4"/>
  <c r="O3167" i="4"/>
  <c r="O3166" i="4"/>
  <c r="O3165" i="4"/>
  <c r="O3164" i="4"/>
  <c r="O3163" i="4"/>
  <c r="O3162" i="4"/>
  <c r="O3161" i="4"/>
  <c r="O3160" i="4"/>
  <c r="O3159" i="4"/>
  <c r="O3158" i="4"/>
  <c r="O3157" i="4"/>
  <c r="O3156" i="4"/>
  <c r="O3155" i="4"/>
  <c r="O3154" i="4"/>
  <c r="O3153" i="4"/>
  <c r="O3152" i="4"/>
  <c r="O3151" i="4"/>
  <c r="O3150" i="4"/>
  <c r="O3149" i="4"/>
  <c r="O3148" i="4"/>
  <c r="O3147" i="4"/>
  <c r="O3146" i="4"/>
  <c r="O3145" i="4"/>
  <c r="O3144" i="4"/>
  <c r="O3143" i="4"/>
  <c r="O3142" i="4"/>
  <c r="O3141" i="4"/>
  <c r="O3140" i="4"/>
  <c r="O3139" i="4"/>
  <c r="O3138" i="4"/>
  <c r="O3137" i="4"/>
  <c r="O3136" i="4"/>
  <c r="O3135" i="4"/>
  <c r="O3134" i="4"/>
  <c r="O3133" i="4"/>
  <c r="O3132" i="4"/>
  <c r="O3131" i="4"/>
  <c r="O3130" i="4"/>
  <c r="O3129" i="4"/>
  <c r="O3128" i="4"/>
  <c r="O3127" i="4"/>
  <c r="O3126" i="4"/>
  <c r="O3125" i="4"/>
  <c r="O3124" i="4"/>
  <c r="O3123" i="4"/>
  <c r="O3122" i="4"/>
  <c r="O3121" i="4"/>
  <c r="O3120" i="4"/>
  <c r="O3119" i="4"/>
  <c r="O3118" i="4"/>
  <c r="O3117" i="4"/>
  <c r="O3116" i="4"/>
  <c r="O3115" i="4"/>
  <c r="O3114" i="4"/>
  <c r="O3113" i="4"/>
  <c r="O3112" i="4"/>
  <c r="O3111" i="4"/>
  <c r="O3110" i="4"/>
  <c r="O3109" i="4"/>
  <c r="O3108" i="4"/>
  <c r="O3107" i="4"/>
  <c r="O3106" i="4"/>
  <c r="O3105" i="4"/>
  <c r="O3104" i="4"/>
  <c r="O3103" i="4"/>
  <c r="O3102" i="4"/>
  <c r="O3101" i="4"/>
  <c r="O3100" i="4"/>
  <c r="O3099" i="4"/>
  <c r="O3098" i="4"/>
  <c r="O3097" i="4"/>
  <c r="O3096" i="4"/>
  <c r="O3095" i="4"/>
  <c r="O3094" i="4"/>
  <c r="O3093" i="4"/>
  <c r="O3092" i="4"/>
  <c r="O3091" i="4"/>
  <c r="O3090" i="4"/>
  <c r="O3089" i="4"/>
  <c r="O3088" i="4"/>
  <c r="O3087" i="4"/>
  <c r="O3086" i="4"/>
  <c r="O3085" i="4"/>
  <c r="O3084" i="4"/>
  <c r="O3083" i="4"/>
  <c r="O3082" i="4"/>
  <c r="O3081" i="4"/>
  <c r="O3080" i="4"/>
  <c r="O3079" i="4"/>
  <c r="O3078" i="4"/>
  <c r="O3077" i="4"/>
  <c r="O3076" i="4"/>
  <c r="O3075" i="4"/>
  <c r="O3074" i="4"/>
  <c r="O3073" i="4"/>
  <c r="O3072" i="4"/>
  <c r="O3071" i="4"/>
  <c r="O3070" i="4"/>
  <c r="O3069" i="4"/>
  <c r="O3068" i="4"/>
  <c r="O3067" i="4"/>
  <c r="O3066" i="4"/>
  <c r="O3065" i="4"/>
  <c r="O3064" i="4"/>
  <c r="O3063" i="4"/>
  <c r="O3062" i="4"/>
  <c r="O3061" i="4"/>
  <c r="O3060" i="4"/>
  <c r="O3059" i="4"/>
  <c r="O3058" i="4"/>
  <c r="O3057" i="4"/>
  <c r="O3056" i="4"/>
  <c r="O3055" i="4"/>
  <c r="O3054" i="4"/>
  <c r="O3053" i="4"/>
  <c r="O3052" i="4"/>
  <c r="O3051" i="4"/>
  <c r="O3050" i="4"/>
  <c r="O3049" i="4"/>
  <c r="O3048" i="4"/>
  <c r="O3047" i="4"/>
  <c r="O3046" i="4"/>
  <c r="O3045" i="4"/>
  <c r="O3044" i="4"/>
  <c r="O3043" i="4"/>
  <c r="O3042" i="4"/>
  <c r="O3041" i="4"/>
  <c r="O3040" i="4"/>
  <c r="O3039" i="4"/>
  <c r="O3038" i="4"/>
  <c r="O3037" i="4"/>
  <c r="O3036" i="4"/>
  <c r="O3035" i="4"/>
  <c r="O3034" i="4"/>
  <c r="O3033" i="4"/>
  <c r="O3032" i="4"/>
  <c r="O3031" i="4"/>
  <c r="O3030" i="4"/>
  <c r="O3029" i="4"/>
  <c r="O3028" i="4"/>
  <c r="O3027" i="4"/>
  <c r="O3026" i="4"/>
  <c r="O3025" i="4"/>
  <c r="O3024" i="4"/>
  <c r="O3023" i="4"/>
  <c r="O3022" i="4"/>
  <c r="O3021" i="4"/>
  <c r="O3020" i="4"/>
  <c r="O3019" i="4"/>
  <c r="O3018" i="4"/>
  <c r="O3017" i="4"/>
  <c r="O3016" i="4"/>
  <c r="O3015" i="4"/>
  <c r="O3014" i="4"/>
  <c r="O3013" i="4"/>
  <c r="O3012" i="4"/>
  <c r="O3011" i="4"/>
  <c r="O3010" i="4"/>
  <c r="O3009" i="4"/>
  <c r="O3008" i="4"/>
  <c r="O3007" i="4"/>
  <c r="O3006" i="4"/>
  <c r="O3005" i="4"/>
  <c r="O3004" i="4"/>
  <c r="O3003" i="4"/>
  <c r="O3002" i="4"/>
  <c r="O3001" i="4"/>
  <c r="O3000" i="4"/>
  <c r="O2999" i="4"/>
  <c r="O2998" i="4"/>
  <c r="O2997" i="4"/>
  <c r="O2996" i="4"/>
  <c r="O2995" i="4"/>
  <c r="O2994" i="4"/>
  <c r="O2993" i="4"/>
  <c r="O2992" i="4"/>
  <c r="O2991" i="4"/>
  <c r="O2990" i="4"/>
  <c r="O2989" i="4"/>
  <c r="O2988" i="4"/>
  <c r="O2987" i="4"/>
  <c r="O2986" i="4"/>
  <c r="O2985" i="4"/>
  <c r="O2984" i="4"/>
  <c r="O2983" i="4"/>
  <c r="O2982" i="4"/>
  <c r="O2981" i="4"/>
  <c r="O2980" i="4"/>
  <c r="O2979" i="4"/>
  <c r="O2978" i="4"/>
  <c r="O2977" i="4"/>
  <c r="O2976" i="4"/>
  <c r="O2975" i="4"/>
  <c r="O2974" i="4"/>
  <c r="O2973" i="4"/>
  <c r="O2972" i="4"/>
  <c r="O2971" i="4"/>
  <c r="O2970" i="4"/>
  <c r="O2969" i="4"/>
  <c r="O2968" i="4"/>
  <c r="O2967" i="4"/>
  <c r="O2966" i="4"/>
  <c r="O2965" i="4"/>
  <c r="O2964" i="4"/>
  <c r="O2963" i="4"/>
  <c r="O2962" i="4"/>
  <c r="O2961" i="4"/>
  <c r="O2960" i="4"/>
  <c r="O2959" i="4"/>
  <c r="O2958" i="4"/>
  <c r="O2957" i="4"/>
  <c r="O2956" i="4"/>
  <c r="O2955" i="4"/>
  <c r="O2954" i="4"/>
  <c r="O2953" i="4"/>
  <c r="O2952" i="4"/>
  <c r="O2951" i="4"/>
  <c r="O2950" i="4"/>
  <c r="O2949" i="4"/>
  <c r="O2948" i="4"/>
  <c r="O2947" i="4"/>
  <c r="O2946" i="4"/>
  <c r="O2945" i="4"/>
  <c r="O2944" i="4"/>
  <c r="O2943" i="4"/>
  <c r="O2942" i="4"/>
  <c r="O2941" i="4"/>
  <c r="O2940" i="4"/>
  <c r="O2939" i="4"/>
  <c r="O2938" i="4"/>
  <c r="O2937" i="4"/>
  <c r="O2936" i="4"/>
  <c r="O2935" i="4"/>
  <c r="O2934" i="4"/>
  <c r="O2933" i="4"/>
  <c r="O2932" i="4"/>
  <c r="O2931" i="4"/>
  <c r="O2930" i="4"/>
  <c r="O2929" i="4"/>
  <c r="O2928" i="4"/>
  <c r="O2927" i="4"/>
  <c r="O2926" i="4"/>
  <c r="O2925" i="4"/>
  <c r="O2924" i="4"/>
  <c r="O2923" i="4"/>
  <c r="O2922" i="4"/>
  <c r="O2921" i="4"/>
  <c r="O2920" i="4"/>
  <c r="O2919" i="4"/>
  <c r="O2918" i="4"/>
  <c r="O2917" i="4"/>
  <c r="O2916" i="4"/>
  <c r="O2915" i="4"/>
  <c r="O2914" i="4"/>
  <c r="O2913" i="4"/>
  <c r="O2912" i="4"/>
  <c r="O2911" i="4"/>
  <c r="O2910" i="4"/>
  <c r="O2909" i="4"/>
  <c r="O2908" i="4"/>
  <c r="O2907" i="4"/>
  <c r="O2906" i="4"/>
  <c r="O2905" i="4"/>
  <c r="O2904" i="4"/>
  <c r="O2903" i="4"/>
  <c r="O2902" i="4"/>
  <c r="O2901" i="4"/>
  <c r="O2900" i="4"/>
  <c r="O2899" i="4"/>
  <c r="O2898" i="4"/>
  <c r="O2897" i="4"/>
  <c r="O2896" i="4"/>
  <c r="O2895" i="4"/>
  <c r="O2894" i="4"/>
  <c r="O2893" i="4"/>
  <c r="O2892" i="4"/>
  <c r="O2891" i="4"/>
  <c r="O2890" i="4"/>
  <c r="O2889" i="4"/>
  <c r="O2888" i="4"/>
  <c r="O2887" i="4"/>
  <c r="O2886" i="4"/>
  <c r="O2885" i="4"/>
  <c r="O2884" i="4"/>
  <c r="O2883" i="4"/>
  <c r="O2882" i="4"/>
  <c r="O2881" i="4"/>
  <c r="O2880" i="4"/>
  <c r="O2879" i="4"/>
  <c r="O2878" i="4"/>
  <c r="O2877" i="4"/>
  <c r="O2876" i="4"/>
  <c r="O2875" i="4"/>
  <c r="O2874" i="4"/>
  <c r="O2873" i="4"/>
  <c r="O2872" i="4"/>
  <c r="O2871" i="4"/>
  <c r="O2870" i="4"/>
  <c r="O2869" i="4"/>
  <c r="O2868" i="4"/>
  <c r="O2867" i="4"/>
  <c r="O2866" i="4"/>
  <c r="O2865" i="4"/>
  <c r="O2864" i="4"/>
  <c r="O2863" i="4"/>
  <c r="O2862" i="4"/>
  <c r="O2861" i="4"/>
  <c r="O2860" i="4"/>
  <c r="O2859" i="4"/>
  <c r="O2858" i="4"/>
  <c r="O2857" i="4"/>
  <c r="O2856" i="4"/>
  <c r="O2855" i="4"/>
  <c r="O2854" i="4"/>
  <c r="O2853" i="4"/>
  <c r="O2852" i="4"/>
  <c r="O2851" i="4"/>
  <c r="O2850" i="4"/>
  <c r="O2849" i="4"/>
  <c r="O2848" i="4"/>
  <c r="O2847" i="4"/>
  <c r="O2846" i="4"/>
  <c r="O2845" i="4"/>
  <c r="O2844" i="4"/>
  <c r="O2843" i="4"/>
  <c r="O2842" i="4"/>
  <c r="O2841" i="4"/>
  <c r="O2840" i="4"/>
  <c r="O2839" i="4"/>
  <c r="O2838" i="4"/>
  <c r="O2837" i="4"/>
  <c r="O2836" i="4"/>
  <c r="O2835" i="4"/>
  <c r="O2834" i="4"/>
  <c r="O2833" i="4"/>
  <c r="O2832" i="4"/>
  <c r="O2831" i="4"/>
  <c r="O2830" i="4"/>
  <c r="O2829" i="4"/>
  <c r="O2828" i="4"/>
  <c r="O2827" i="4"/>
  <c r="O2826" i="4"/>
  <c r="O2825" i="4"/>
  <c r="O2824" i="4"/>
  <c r="O2823" i="4"/>
  <c r="O2822" i="4"/>
  <c r="O2821" i="4"/>
  <c r="O2820" i="4"/>
  <c r="O2819" i="4"/>
  <c r="O2818" i="4"/>
  <c r="O2817" i="4"/>
  <c r="O2816" i="4"/>
  <c r="O2815" i="4"/>
  <c r="O2814" i="4"/>
  <c r="O2813" i="4"/>
  <c r="O2812" i="4"/>
  <c r="O2811" i="4"/>
  <c r="O2810" i="4"/>
  <c r="O2809" i="4"/>
  <c r="O2808" i="4"/>
  <c r="O2807" i="4"/>
  <c r="O2806" i="4"/>
  <c r="O2805" i="4"/>
  <c r="O2804" i="4"/>
  <c r="O2803" i="4"/>
  <c r="O2802" i="4"/>
  <c r="O2801" i="4"/>
  <c r="O2800" i="4"/>
  <c r="O2799" i="4"/>
  <c r="O2798" i="4"/>
  <c r="O2797" i="4"/>
  <c r="O2796" i="4"/>
  <c r="O2795" i="4"/>
  <c r="O2794" i="4"/>
  <c r="O2793" i="4"/>
  <c r="O2792" i="4"/>
  <c r="O2791" i="4"/>
  <c r="O2790" i="4"/>
  <c r="O2789" i="4"/>
  <c r="O2788" i="4"/>
  <c r="O2787" i="4"/>
  <c r="O2786" i="4"/>
  <c r="O2785" i="4"/>
  <c r="O2784" i="4"/>
  <c r="O2783" i="4"/>
  <c r="O2782" i="4"/>
  <c r="O2781" i="4"/>
  <c r="O2780" i="4"/>
  <c r="O2779" i="4"/>
  <c r="O2778" i="4"/>
  <c r="O2777" i="4"/>
  <c r="O2776" i="4"/>
  <c r="O2775" i="4"/>
  <c r="O2774" i="4"/>
  <c r="O2773" i="4"/>
  <c r="O2772" i="4"/>
  <c r="O2771" i="4"/>
  <c r="O2770" i="4"/>
  <c r="O2769" i="4"/>
  <c r="O2768" i="4"/>
  <c r="O2767" i="4"/>
  <c r="O2766" i="4"/>
  <c r="O2765" i="4"/>
  <c r="O2764" i="4"/>
  <c r="O2763" i="4"/>
  <c r="O2762" i="4"/>
  <c r="O2761" i="4"/>
  <c r="O2760" i="4"/>
  <c r="O2759" i="4"/>
  <c r="O2758" i="4"/>
  <c r="O2757" i="4"/>
  <c r="O2756" i="4"/>
  <c r="O2755" i="4"/>
  <c r="O2754" i="4"/>
  <c r="O2753" i="4"/>
  <c r="O2752" i="4"/>
  <c r="O2751" i="4"/>
  <c r="O2750" i="4"/>
  <c r="O2749" i="4"/>
  <c r="O2748" i="4"/>
  <c r="O2747" i="4"/>
  <c r="O2746" i="4"/>
  <c r="O2745" i="4"/>
  <c r="O2744" i="4"/>
  <c r="O2743" i="4"/>
  <c r="O2742" i="4"/>
  <c r="O2741" i="4"/>
  <c r="O2740" i="4"/>
  <c r="O2739" i="4"/>
  <c r="O2738" i="4"/>
  <c r="O2737" i="4"/>
  <c r="O2736" i="4"/>
  <c r="O2735" i="4"/>
  <c r="O2734" i="4"/>
  <c r="O2733" i="4"/>
  <c r="O2732" i="4"/>
  <c r="O2731" i="4"/>
  <c r="O2730" i="4"/>
  <c r="O2729" i="4"/>
  <c r="O2728" i="4"/>
  <c r="O2727" i="4"/>
  <c r="O2726" i="4"/>
  <c r="O2725" i="4"/>
  <c r="O2724" i="4"/>
  <c r="O2723" i="4"/>
  <c r="O2722" i="4"/>
  <c r="O2721" i="4"/>
  <c r="O2720" i="4"/>
  <c r="O2719" i="4"/>
  <c r="O2718" i="4"/>
  <c r="O2717" i="4"/>
  <c r="O2716" i="4"/>
  <c r="O2715" i="4"/>
  <c r="O2714" i="4"/>
  <c r="O2713" i="4"/>
  <c r="O2712" i="4"/>
  <c r="O2711" i="4"/>
  <c r="O2710" i="4"/>
  <c r="O2709" i="4"/>
  <c r="O2708" i="4"/>
  <c r="O2707" i="4"/>
  <c r="O2706" i="4"/>
  <c r="O2705" i="4"/>
  <c r="O2704" i="4"/>
  <c r="O2703" i="4"/>
  <c r="O2702" i="4"/>
  <c r="O2701" i="4"/>
  <c r="O2700" i="4"/>
  <c r="O2699" i="4"/>
  <c r="O2698" i="4"/>
  <c r="O2697" i="4"/>
  <c r="O2696" i="4"/>
  <c r="O2695" i="4"/>
  <c r="O2694" i="4"/>
  <c r="O2693" i="4"/>
  <c r="O2692" i="4"/>
  <c r="O2691" i="4"/>
  <c r="O2690" i="4"/>
  <c r="O2689" i="4"/>
  <c r="O2688" i="4"/>
  <c r="O2687" i="4"/>
  <c r="O2686" i="4"/>
  <c r="O2685" i="4"/>
  <c r="O2684" i="4"/>
  <c r="O2683" i="4"/>
  <c r="O2682" i="4"/>
  <c r="O2681" i="4"/>
  <c r="O2680" i="4"/>
  <c r="O2679" i="4"/>
  <c r="O2678" i="4"/>
  <c r="O2677" i="4"/>
  <c r="O2676" i="4"/>
  <c r="O2675" i="4"/>
  <c r="O2674" i="4"/>
  <c r="O2673" i="4"/>
  <c r="O2672" i="4"/>
  <c r="O2671" i="4"/>
  <c r="O2670" i="4"/>
  <c r="O2669" i="4"/>
  <c r="O2668" i="4"/>
  <c r="O2667" i="4"/>
  <c r="O2666" i="4"/>
  <c r="O2665" i="4"/>
  <c r="O2664" i="4"/>
  <c r="O2663" i="4"/>
  <c r="O2662" i="4"/>
  <c r="O2661" i="4"/>
  <c r="O2660" i="4"/>
  <c r="O2659" i="4"/>
  <c r="O2658" i="4"/>
  <c r="O2657" i="4"/>
  <c r="O2656" i="4"/>
  <c r="O2655" i="4"/>
  <c r="O2654" i="4"/>
  <c r="O2653" i="4"/>
  <c r="O2652" i="4"/>
  <c r="O2651" i="4"/>
  <c r="O2650" i="4"/>
  <c r="O2649" i="4"/>
  <c r="O2648" i="4"/>
  <c r="O2647" i="4"/>
  <c r="O2646" i="4"/>
  <c r="O2645" i="4"/>
  <c r="O2644" i="4"/>
  <c r="O2643" i="4"/>
  <c r="O2642" i="4"/>
  <c r="O2641" i="4"/>
  <c r="O2640" i="4"/>
  <c r="O2639" i="4"/>
  <c r="O2638" i="4"/>
  <c r="O2637" i="4"/>
  <c r="O2636" i="4"/>
  <c r="O2635" i="4"/>
  <c r="O2634" i="4"/>
  <c r="O2633" i="4"/>
  <c r="O2632" i="4"/>
  <c r="O2631" i="4"/>
  <c r="O2630" i="4"/>
  <c r="O2629" i="4"/>
  <c r="O2628" i="4"/>
  <c r="O2627" i="4"/>
  <c r="O2626" i="4"/>
  <c r="O2625" i="4"/>
  <c r="O2624" i="4"/>
  <c r="O2623" i="4"/>
  <c r="O2622" i="4"/>
  <c r="O2621" i="4"/>
  <c r="O2620" i="4"/>
  <c r="O2619" i="4"/>
  <c r="O2618" i="4"/>
  <c r="O2617" i="4"/>
  <c r="O2616" i="4"/>
  <c r="O2615" i="4"/>
  <c r="O2614" i="4"/>
  <c r="O2613" i="4"/>
  <c r="O2612" i="4"/>
  <c r="O2611" i="4"/>
  <c r="O2610" i="4"/>
  <c r="O2609" i="4"/>
  <c r="O2608" i="4"/>
  <c r="O2607" i="4"/>
  <c r="O2606" i="4"/>
  <c r="O2605" i="4"/>
  <c r="O2604" i="4"/>
  <c r="O2603" i="4"/>
  <c r="O2602" i="4"/>
  <c r="O2601" i="4"/>
  <c r="O2600" i="4"/>
  <c r="O2599" i="4"/>
  <c r="O2598" i="4"/>
  <c r="O2597" i="4"/>
  <c r="O2596" i="4"/>
  <c r="O2595" i="4"/>
  <c r="O2594" i="4"/>
  <c r="O2593" i="4"/>
  <c r="O2592" i="4"/>
  <c r="O2591" i="4"/>
  <c r="O2590" i="4"/>
  <c r="O2589" i="4"/>
  <c r="O2588" i="4"/>
  <c r="O2587" i="4"/>
  <c r="O2586" i="4"/>
  <c r="O2585" i="4"/>
  <c r="O2584" i="4"/>
  <c r="O2583" i="4"/>
  <c r="O2582" i="4"/>
  <c r="O2581" i="4"/>
  <c r="O2580" i="4"/>
  <c r="O2579" i="4"/>
  <c r="O2578" i="4"/>
  <c r="O2577" i="4"/>
  <c r="O2576" i="4"/>
  <c r="O2575" i="4"/>
  <c r="O2574" i="4"/>
  <c r="O2573" i="4"/>
  <c r="O2572" i="4"/>
  <c r="O2571" i="4"/>
  <c r="O2570" i="4"/>
  <c r="O2569" i="4"/>
  <c r="O2568" i="4"/>
  <c r="O2567" i="4"/>
  <c r="O2566" i="4"/>
  <c r="O2565" i="4"/>
  <c r="O2564" i="4"/>
  <c r="O2563" i="4"/>
  <c r="O2562" i="4"/>
  <c r="O2561" i="4"/>
  <c r="O2560" i="4"/>
  <c r="O2559" i="4"/>
  <c r="O2558" i="4"/>
  <c r="O2557" i="4"/>
  <c r="O2556" i="4"/>
  <c r="O2555" i="4"/>
  <c r="O2554" i="4"/>
  <c r="O2553" i="4"/>
  <c r="O2552" i="4"/>
  <c r="O2551" i="4"/>
  <c r="O2550" i="4"/>
  <c r="O2549" i="4"/>
  <c r="O2548" i="4"/>
  <c r="O2547" i="4"/>
  <c r="O2546" i="4"/>
  <c r="O2545" i="4"/>
  <c r="O2544" i="4"/>
  <c r="O2543" i="4"/>
  <c r="O2542" i="4"/>
  <c r="O2541" i="4"/>
  <c r="O2540" i="4"/>
  <c r="O2539" i="4"/>
  <c r="O2538" i="4"/>
  <c r="O2537" i="4"/>
  <c r="O2536" i="4"/>
  <c r="O2535" i="4"/>
  <c r="O2534" i="4"/>
  <c r="O2533" i="4"/>
  <c r="O2532" i="4"/>
  <c r="O2531" i="4"/>
  <c r="O2530" i="4"/>
  <c r="O2529" i="4"/>
  <c r="O2528" i="4"/>
  <c r="O2527" i="4"/>
  <c r="O2526" i="4"/>
  <c r="O2525" i="4"/>
  <c r="O2524" i="4"/>
  <c r="O2523" i="4"/>
  <c r="O2522" i="4"/>
  <c r="O2521" i="4"/>
  <c r="O2520" i="4"/>
  <c r="O2519" i="4"/>
  <c r="O2518" i="4"/>
  <c r="O2517" i="4"/>
  <c r="O2516" i="4"/>
  <c r="O2515" i="4"/>
  <c r="O2514" i="4"/>
  <c r="O2513" i="4"/>
  <c r="O2512" i="4"/>
  <c r="O2511" i="4"/>
  <c r="O2510" i="4"/>
  <c r="O2509" i="4"/>
  <c r="O2508" i="4"/>
  <c r="O2507" i="4"/>
  <c r="O2506" i="4"/>
  <c r="O2505" i="4"/>
  <c r="O2504" i="4"/>
  <c r="O2503" i="4"/>
  <c r="O2502" i="4"/>
  <c r="O2501" i="4"/>
  <c r="O2500" i="4"/>
  <c r="O2499" i="4"/>
  <c r="O2498" i="4"/>
  <c r="O2497" i="4"/>
  <c r="O2496" i="4"/>
  <c r="O2495" i="4"/>
  <c r="O2494" i="4"/>
  <c r="O2493" i="4"/>
  <c r="O2492" i="4"/>
  <c r="O2491" i="4"/>
  <c r="O2490" i="4"/>
  <c r="O2489" i="4"/>
  <c r="O2488" i="4"/>
  <c r="O2487" i="4"/>
  <c r="O2486" i="4"/>
  <c r="O2485" i="4"/>
  <c r="O2484" i="4"/>
  <c r="O2483" i="4"/>
  <c r="O2482" i="4"/>
  <c r="O2481" i="4"/>
  <c r="O2480" i="4"/>
  <c r="O2479" i="4"/>
  <c r="O2478" i="4"/>
  <c r="O2477" i="4"/>
  <c r="O2476" i="4"/>
  <c r="O2475" i="4"/>
  <c r="O2474" i="4"/>
  <c r="O2473" i="4"/>
  <c r="O2472" i="4"/>
  <c r="O2471" i="4"/>
  <c r="O2470" i="4"/>
  <c r="O2469" i="4"/>
  <c r="O2468" i="4"/>
  <c r="O2467" i="4"/>
  <c r="O2466" i="4"/>
  <c r="O2465" i="4"/>
  <c r="O2464" i="4"/>
  <c r="O2463" i="4"/>
  <c r="O2462" i="4"/>
  <c r="O2461" i="4"/>
  <c r="O2460" i="4"/>
  <c r="O2459" i="4"/>
  <c r="O2458" i="4"/>
  <c r="O2457" i="4"/>
  <c r="O2456" i="4"/>
  <c r="O2455" i="4"/>
  <c r="O2454" i="4"/>
  <c r="O2453" i="4"/>
  <c r="O2452" i="4"/>
  <c r="O2451" i="4"/>
  <c r="O2450" i="4"/>
  <c r="O2449" i="4"/>
  <c r="O2448" i="4"/>
  <c r="O2447" i="4"/>
  <c r="O2446" i="4"/>
  <c r="O2445" i="4"/>
  <c r="O2444" i="4"/>
  <c r="O2443" i="4"/>
  <c r="O2442" i="4"/>
  <c r="O2441" i="4"/>
  <c r="O2440" i="4"/>
  <c r="O2439" i="4"/>
  <c r="O2438" i="4"/>
  <c r="O2437" i="4"/>
  <c r="O2436" i="4"/>
  <c r="O2435" i="4"/>
  <c r="O2434" i="4"/>
  <c r="O2433" i="4"/>
  <c r="O2432" i="4"/>
  <c r="O2431" i="4"/>
  <c r="O2430" i="4"/>
  <c r="O2429" i="4"/>
  <c r="O2428" i="4"/>
  <c r="O2427" i="4"/>
  <c r="O2426" i="4"/>
  <c r="O2425" i="4"/>
  <c r="O2424" i="4"/>
  <c r="O2423" i="4"/>
  <c r="O2422" i="4"/>
  <c r="O2421" i="4"/>
  <c r="O2420" i="4"/>
  <c r="O2419" i="4"/>
  <c r="O2418" i="4"/>
  <c r="O2417" i="4"/>
  <c r="O2416" i="4"/>
  <c r="O2415" i="4"/>
  <c r="O2414" i="4"/>
  <c r="O2413" i="4"/>
  <c r="O2412" i="4"/>
  <c r="O2411" i="4"/>
  <c r="O2410" i="4"/>
  <c r="O2409" i="4"/>
  <c r="O2408" i="4"/>
  <c r="O2407" i="4"/>
  <c r="O2406" i="4"/>
  <c r="O2405" i="4"/>
  <c r="O2404" i="4"/>
  <c r="O2403" i="4"/>
  <c r="O2402" i="4"/>
  <c r="O2401" i="4"/>
  <c r="O2400" i="4"/>
  <c r="O2399" i="4"/>
  <c r="O2398" i="4"/>
  <c r="O2397" i="4"/>
  <c r="O2396" i="4"/>
  <c r="O2395" i="4"/>
  <c r="O2394" i="4"/>
  <c r="O2393" i="4"/>
  <c r="O2392" i="4"/>
  <c r="O2391" i="4"/>
  <c r="O2390" i="4"/>
  <c r="O2389" i="4"/>
  <c r="O2388" i="4"/>
  <c r="O2387" i="4"/>
  <c r="O2386" i="4"/>
  <c r="O2385" i="4"/>
  <c r="O2384" i="4"/>
  <c r="O2383" i="4"/>
  <c r="O2382" i="4"/>
  <c r="O2381" i="4"/>
  <c r="O2380" i="4"/>
  <c r="O2379" i="4"/>
  <c r="O2378" i="4"/>
  <c r="O2377" i="4"/>
  <c r="O2376" i="4"/>
  <c r="O2375" i="4"/>
  <c r="O2374" i="4"/>
  <c r="O2373" i="4"/>
  <c r="O2372" i="4"/>
  <c r="O2371" i="4"/>
  <c r="O2370" i="4"/>
  <c r="O2369" i="4"/>
  <c r="O2368" i="4"/>
  <c r="O2367" i="4"/>
  <c r="O2366" i="4"/>
  <c r="O2365" i="4"/>
  <c r="O2364" i="4"/>
  <c r="O2363" i="4"/>
  <c r="O2362" i="4"/>
  <c r="O2361" i="4"/>
  <c r="O2360" i="4"/>
  <c r="O2359" i="4"/>
  <c r="O2358" i="4"/>
  <c r="O2357" i="4"/>
  <c r="O2356" i="4"/>
  <c r="O2355" i="4"/>
  <c r="O2354" i="4"/>
  <c r="O2353" i="4"/>
  <c r="O2352" i="4"/>
  <c r="O2351" i="4"/>
  <c r="O2350" i="4"/>
  <c r="O2349" i="4"/>
  <c r="O2348" i="4"/>
  <c r="O2347" i="4"/>
  <c r="O2346" i="4"/>
  <c r="O2345" i="4"/>
  <c r="O2344" i="4"/>
  <c r="O2343" i="4"/>
  <c r="O2342" i="4"/>
  <c r="O2341" i="4"/>
  <c r="O2340" i="4"/>
  <c r="O2339" i="4"/>
  <c r="O2338" i="4"/>
  <c r="O2337" i="4"/>
  <c r="O2336" i="4"/>
  <c r="O2335" i="4"/>
  <c r="O2334" i="4"/>
  <c r="O2333" i="4"/>
  <c r="O2332" i="4"/>
  <c r="O2331" i="4"/>
  <c r="O2330" i="4"/>
  <c r="O2329" i="4"/>
  <c r="O2328" i="4"/>
  <c r="O2327" i="4"/>
  <c r="O2326" i="4"/>
  <c r="O2325" i="4"/>
  <c r="O2324" i="4"/>
  <c r="O2323" i="4"/>
  <c r="O2322" i="4"/>
  <c r="O2321" i="4"/>
  <c r="O2320" i="4"/>
  <c r="O2319" i="4"/>
  <c r="O2318" i="4"/>
  <c r="O2317" i="4"/>
  <c r="O2316" i="4"/>
  <c r="O2315" i="4"/>
  <c r="O2314" i="4"/>
  <c r="O2313" i="4"/>
  <c r="O2312" i="4"/>
  <c r="O2311" i="4"/>
  <c r="O2310" i="4"/>
  <c r="O2309" i="4"/>
  <c r="O2308" i="4"/>
  <c r="O2307" i="4"/>
  <c r="O2306" i="4"/>
  <c r="O2305" i="4"/>
  <c r="O2304" i="4"/>
  <c r="O2303" i="4"/>
  <c r="O2302" i="4"/>
  <c r="O2301" i="4"/>
  <c r="O2300" i="4"/>
  <c r="O2299" i="4"/>
  <c r="O2298" i="4"/>
  <c r="O2297" i="4"/>
  <c r="O2296" i="4"/>
  <c r="O2295" i="4"/>
  <c r="O2294" i="4"/>
  <c r="O2293" i="4"/>
  <c r="O2292" i="4"/>
  <c r="O2291" i="4"/>
  <c r="O2290" i="4"/>
  <c r="O2289" i="4"/>
  <c r="O2288" i="4"/>
  <c r="O2287" i="4"/>
  <c r="O2286" i="4"/>
  <c r="O2285" i="4"/>
  <c r="O2284" i="4"/>
  <c r="O2283" i="4"/>
  <c r="O2282" i="4"/>
  <c r="O2281" i="4"/>
  <c r="O2280" i="4"/>
  <c r="O2279" i="4"/>
  <c r="O2278" i="4"/>
  <c r="O2277" i="4"/>
  <c r="O2276" i="4"/>
  <c r="O2275" i="4"/>
  <c r="O2274" i="4"/>
  <c r="O2273" i="4"/>
  <c r="O2272" i="4"/>
  <c r="O2271" i="4"/>
  <c r="O2270" i="4"/>
  <c r="O2269" i="4"/>
  <c r="O2268" i="4"/>
  <c r="O2267" i="4"/>
  <c r="O2266" i="4"/>
  <c r="O2265" i="4"/>
  <c r="O2264" i="4"/>
  <c r="O2263" i="4"/>
  <c r="O2262" i="4"/>
  <c r="O2261" i="4"/>
  <c r="O2260" i="4"/>
  <c r="O2259" i="4"/>
  <c r="O2258" i="4"/>
  <c r="O2257" i="4"/>
  <c r="O2256" i="4"/>
  <c r="O2255" i="4"/>
  <c r="O2254" i="4"/>
  <c r="O2253" i="4"/>
  <c r="O2252" i="4"/>
  <c r="O2251" i="4"/>
  <c r="O2250" i="4"/>
  <c r="O2249" i="4"/>
  <c r="O2248" i="4"/>
  <c r="O2247" i="4"/>
  <c r="O2246" i="4"/>
  <c r="O2245" i="4"/>
  <c r="O2244" i="4"/>
  <c r="O2243" i="4"/>
  <c r="O2242" i="4"/>
  <c r="O2241" i="4"/>
  <c r="O2240" i="4"/>
  <c r="O2239" i="4"/>
  <c r="O2238" i="4"/>
  <c r="O2237" i="4"/>
  <c r="O2236" i="4"/>
  <c r="O2235" i="4"/>
  <c r="O2234" i="4"/>
  <c r="O2233" i="4"/>
  <c r="O2232" i="4"/>
  <c r="O2231" i="4"/>
  <c r="O2230" i="4"/>
  <c r="O2229" i="4"/>
  <c r="O2228" i="4"/>
  <c r="O2227" i="4"/>
  <c r="O2226" i="4"/>
  <c r="O2225" i="4"/>
  <c r="O2224" i="4"/>
  <c r="O2223" i="4"/>
  <c r="O2222" i="4"/>
  <c r="O2221" i="4"/>
  <c r="O2220" i="4"/>
  <c r="O2219" i="4"/>
  <c r="O2218" i="4"/>
  <c r="O2217" i="4"/>
  <c r="O2216" i="4"/>
  <c r="O2215" i="4"/>
  <c r="O2214" i="4"/>
  <c r="O2213" i="4"/>
  <c r="O2212" i="4"/>
  <c r="O2211" i="4"/>
  <c r="O2210" i="4"/>
  <c r="O2209" i="4"/>
  <c r="O2208" i="4"/>
  <c r="O2207" i="4"/>
  <c r="O2206" i="4"/>
  <c r="O2205" i="4"/>
  <c r="O2204" i="4"/>
  <c r="O2203" i="4"/>
  <c r="O2202" i="4"/>
  <c r="O2201" i="4"/>
  <c r="O2200" i="4"/>
  <c r="O2199" i="4"/>
  <c r="O2198" i="4"/>
  <c r="O2197" i="4"/>
  <c r="O2196" i="4"/>
  <c r="O2195" i="4"/>
  <c r="O2194" i="4"/>
  <c r="O2193" i="4"/>
  <c r="O2192" i="4"/>
  <c r="O2191" i="4"/>
  <c r="O2190" i="4"/>
  <c r="O2189" i="4"/>
  <c r="O2188" i="4"/>
  <c r="O2187" i="4"/>
  <c r="O2186" i="4"/>
  <c r="O2185" i="4"/>
  <c r="O2184" i="4"/>
  <c r="O2183" i="4"/>
  <c r="O2182" i="4"/>
  <c r="O2181" i="4"/>
  <c r="O2180" i="4"/>
  <c r="O2179" i="4"/>
  <c r="O2178" i="4"/>
  <c r="O2177" i="4"/>
  <c r="O2176" i="4"/>
  <c r="O2175" i="4"/>
  <c r="O2174" i="4"/>
  <c r="O2173" i="4"/>
  <c r="O2172" i="4"/>
  <c r="O2171" i="4"/>
  <c r="O2170" i="4"/>
  <c r="O2169" i="4"/>
  <c r="O2168" i="4"/>
  <c r="O2167" i="4"/>
  <c r="O2166" i="4"/>
  <c r="O2165" i="4"/>
  <c r="O2164" i="4"/>
  <c r="O2163" i="4"/>
  <c r="O2162" i="4"/>
  <c r="O2161" i="4"/>
  <c r="O2160" i="4"/>
  <c r="O2159" i="4"/>
  <c r="O2158" i="4"/>
  <c r="O2157" i="4"/>
  <c r="O2156" i="4"/>
  <c r="O2155" i="4"/>
  <c r="O2154" i="4"/>
  <c r="O2153" i="4"/>
  <c r="O2152" i="4"/>
  <c r="O2151" i="4"/>
  <c r="O2150" i="4"/>
  <c r="O2149" i="4"/>
  <c r="O2148" i="4"/>
  <c r="O2147" i="4"/>
  <c r="O2146" i="4"/>
  <c r="O2145" i="4"/>
  <c r="O2144" i="4"/>
  <c r="O2143" i="4"/>
  <c r="O2142" i="4"/>
  <c r="O2141" i="4"/>
  <c r="O2140" i="4"/>
  <c r="O2139" i="4"/>
  <c r="O2138" i="4"/>
  <c r="O2137" i="4"/>
  <c r="O2136" i="4"/>
  <c r="O2135" i="4"/>
  <c r="O2134" i="4"/>
  <c r="O2133" i="4"/>
  <c r="O2132" i="4"/>
  <c r="O2131" i="4"/>
  <c r="O2130" i="4"/>
  <c r="O2129" i="4"/>
  <c r="O2128" i="4"/>
  <c r="O2127" i="4"/>
  <c r="O2126" i="4"/>
  <c r="O2125" i="4"/>
  <c r="O2124" i="4"/>
  <c r="O2123" i="4"/>
  <c r="O2122" i="4"/>
  <c r="O2121" i="4"/>
  <c r="O2120" i="4"/>
  <c r="O2119" i="4"/>
  <c r="O2118" i="4"/>
  <c r="O2117" i="4"/>
  <c r="O2116" i="4"/>
  <c r="O2115" i="4"/>
  <c r="O2114" i="4"/>
  <c r="O2113" i="4"/>
  <c r="O2112" i="4"/>
  <c r="O2111" i="4"/>
  <c r="O2110" i="4"/>
  <c r="O2109" i="4"/>
  <c r="O2108" i="4"/>
  <c r="O2107" i="4"/>
  <c r="O2106" i="4"/>
  <c r="O2105" i="4"/>
  <c r="O2104" i="4"/>
  <c r="O2103" i="4"/>
  <c r="O2102" i="4"/>
  <c r="O2101" i="4"/>
  <c r="O2100" i="4"/>
  <c r="O2099" i="4"/>
  <c r="O2098" i="4"/>
  <c r="O2097" i="4"/>
  <c r="O2096" i="4"/>
  <c r="O2095" i="4"/>
  <c r="O2094" i="4"/>
  <c r="O2093" i="4"/>
  <c r="O2092" i="4"/>
  <c r="O2091" i="4"/>
  <c r="O2090" i="4"/>
  <c r="O2089" i="4"/>
  <c r="O2088" i="4"/>
  <c r="O2087" i="4"/>
  <c r="O2086" i="4"/>
  <c r="O2085" i="4"/>
  <c r="O2084" i="4"/>
  <c r="O2083" i="4"/>
  <c r="O2082" i="4"/>
  <c r="O2081" i="4"/>
  <c r="O2080" i="4"/>
  <c r="O2079" i="4"/>
  <c r="O2078" i="4"/>
  <c r="O2077" i="4"/>
  <c r="O2076" i="4"/>
  <c r="O2075" i="4"/>
  <c r="O2074" i="4"/>
  <c r="O2073" i="4"/>
  <c r="O2072" i="4"/>
  <c r="O2071" i="4"/>
  <c r="O2070" i="4"/>
  <c r="O2069" i="4"/>
  <c r="O2068" i="4"/>
  <c r="O2067" i="4"/>
  <c r="O2066" i="4"/>
  <c r="O2065" i="4"/>
  <c r="O2064" i="4"/>
  <c r="O2063" i="4"/>
  <c r="O2062" i="4"/>
  <c r="O2061" i="4"/>
  <c r="O2060" i="4"/>
  <c r="O2059" i="4"/>
  <c r="O2058" i="4"/>
  <c r="O2057" i="4"/>
  <c r="O2056" i="4"/>
  <c r="O2055" i="4"/>
  <c r="O2054" i="4"/>
  <c r="O2053" i="4"/>
  <c r="O2052" i="4"/>
  <c r="O2051" i="4"/>
  <c r="O2050" i="4"/>
  <c r="O2049" i="4"/>
  <c r="O2048" i="4"/>
  <c r="O2047" i="4"/>
  <c r="O2046" i="4"/>
  <c r="O2045" i="4"/>
  <c r="O2044" i="4"/>
  <c r="O2043" i="4"/>
  <c r="O2042" i="4"/>
  <c r="O2041" i="4"/>
  <c r="O2040" i="4"/>
  <c r="O2039" i="4"/>
  <c r="O2038" i="4"/>
  <c r="O2037" i="4"/>
  <c r="O2036" i="4"/>
  <c r="O2035" i="4"/>
  <c r="O2034" i="4"/>
  <c r="O2033" i="4"/>
  <c r="O2032" i="4"/>
  <c r="O2031" i="4"/>
  <c r="O2030" i="4"/>
  <c r="O2029" i="4"/>
  <c r="O2028" i="4"/>
  <c r="O2027" i="4"/>
  <c r="O2026" i="4"/>
  <c r="O2025" i="4"/>
  <c r="O2024" i="4"/>
  <c r="O2023" i="4"/>
  <c r="O2022" i="4"/>
  <c r="O2021" i="4"/>
  <c r="O2020" i="4"/>
  <c r="O2019" i="4"/>
  <c r="O2018" i="4"/>
  <c r="O2017" i="4"/>
  <c r="O2016" i="4"/>
  <c r="O2015" i="4"/>
  <c r="O2014" i="4"/>
  <c r="O2013" i="4"/>
  <c r="O2012" i="4"/>
  <c r="O2011" i="4"/>
  <c r="O2010" i="4"/>
  <c r="O2009" i="4"/>
  <c r="O2008" i="4"/>
  <c r="O2007" i="4"/>
  <c r="O2006" i="4"/>
  <c r="O2005" i="4"/>
  <c r="O2004" i="4"/>
  <c r="O2003" i="4"/>
  <c r="O2002" i="4"/>
  <c r="O2001" i="4"/>
  <c r="O2000" i="4"/>
  <c r="O1999" i="4"/>
  <c r="O1998" i="4"/>
  <c r="O1997" i="4"/>
  <c r="O1996" i="4"/>
  <c r="O1995" i="4"/>
  <c r="O1994" i="4"/>
  <c r="O1993" i="4"/>
  <c r="O1992" i="4"/>
  <c r="O1991" i="4"/>
  <c r="O1990" i="4"/>
  <c r="O1989" i="4"/>
  <c r="O1988" i="4"/>
  <c r="O1987" i="4"/>
  <c r="O1986" i="4"/>
  <c r="O1985" i="4"/>
  <c r="O1984" i="4"/>
  <c r="O1983" i="4"/>
  <c r="O1982" i="4"/>
  <c r="O1981" i="4"/>
  <c r="O1980" i="4"/>
  <c r="O1979" i="4"/>
  <c r="O1978" i="4"/>
  <c r="O1977" i="4"/>
  <c r="O1976" i="4"/>
  <c r="O1975" i="4"/>
  <c r="O1974" i="4"/>
  <c r="O1973" i="4"/>
  <c r="O1972" i="4"/>
  <c r="O1971" i="4"/>
  <c r="O1970" i="4"/>
  <c r="O1969" i="4"/>
  <c r="O1968" i="4"/>
  <c r="O1967" i="4"/>
  <c r="O1966" i="4"/>
  <c r="O1965" i="4"/>
  <c r="O1964" i="4"/>
  <c r="O1963" i="4"/>
  <c r="O1962" i="4"/>
  <c r="O1961" i="4"/>
  <c r="O1960" i="4"/>
  <c r="O1959" i="4"/>
  <c r="O1958" i="4"/>
  <c r="O1957" i="4"/>
  <c r="O1956" i="4"/>
  <c r="O1955" i="4"/>
  <c r="O1954" i="4"/>
  <c r="O1953" i="4"/>
  <c r="O1952" i="4"/>
  <c r="O1951" i="4"/>
  <c r="O1950" i="4"/>
  <c r="O1949" i="4"/>
  <c r="O1948" i="4"/>
  <c r="O1947" i="4"/>
  <c r="O1946" i="4"/>
  <c r="O1945" i="4"/>
  <c r="O1944" i="4"/>
  <c r="O1943" i="4"/>
  <c r="O1942" i="4"/>
  <c r="O1941" i="4"/>
  <c r="O1940" i="4"/>
  <c r="O1939" i="4"/>
  <c r="O1938" i="4"/>
  <c r="O1937" i="4"/>
  <c r="O1936" i="4"/>
  <c r="O1935" i="4"/>
  <c r="O1934" i="4"/>
  <c r="O1933" i="4"/>
  <c r="O1932" i="4"/>
  <c r="O1931" i="4"/>
  <c r="O1930" i="4"/>
  <c r="O1929" i="4"/>
  <c r="O1928" i="4"/>
  <c r="O1927" i="4"/>
  <c r="O1926" i="4"/>
  <c r="O1925" i="4"/>
  <c r="O1924" i="4"/>
  <c r="O1923" i="4"/>
  <c r="O1922" i="4"/>
  <c r="O1921" i="4"/>
  <c r="O1920" i="4"/>
  <c r="O1919" i="4"/>
  <c r="O1918" i="4"/>
  <c r="O1917" i="4"/>
  <c r="O1916" i="4"/>
  <c r="O1915" i="4"/>
  <c r="O1914" i="4"/>
  <c r="O1913" i="4"/>
  <c r="O1912" i="4"/>
  <c r="O1911" i="4"/>
  <c r="O1910" i="4"/>
  <c r="O1909" i="4"/>
  <c r="O1908" i="4"/>
  <c r="O1907" i="4"/>
  <c r="O1906" i="4"/>
  <c r="O1905" i="4"/>
  <c r="O1904" i="4"/>
  <c r="O1903" i="4"/>
  <c r="O1902" i="4"/>
  <c r="O1901" i="4"/>
  <c r="O1900" i="4"/>
  <c r="O1899" i="4"/>
  <c r="O1898" i="4"/>
  <c r="O1897" i="4"/>
  <c r="O1896" i="4"/>
  <c r="O1895" i="4"/>
  <c r="O1894" i="4"/>
  <c r="O1893" i="4"/>
  <c r="O1892" i="4"/>
  <c r="O1891" i="4"/>
  <c r="O1890" i="4"/>
  <c r="O1889" i="4"/>
  <c r="O1888" i="4"/>
  <c r="O1887" i="4"/>
  <c r="O1886" i="4"/>
  <c r="O1885" i="4"/>
  <c r="O1884" i="4"/>
  <c r="O1883" i="4"/>
  <c r="O1882" i="4"/>
  <c r="O1881" i="4"/>
  <c r="O1880" i="4"/>
  <c r="O1879" i="4"/>
  <c r="O1878" i="4"/>
  <c r="O1877" i="4"/>
  <c r="O1876" i="4"/>
  <c r="O1875" i="4"/>
  <c r="O1874" i="4"/>
  <c r="O1873" i="4"/>
  <c r="O1872" i="4"/>
  <c r="O1871" i="4"/>
  <c r="O1870" i="4"/>
  <c r="O1869" i="4"/>
  <c r="O1868" i="4"/>
  <c r="O1867" i="4"/>
  <c r="O1866" i="4"/>
  <c r="O1865" i="4"/>
  <c r="O1864" i="4"/>
  <c r="O1863" i="4"/>
  <c r="O1862" i="4"/>
  <c r="O1861" i="4"/>
  <c r="O1860" i="4"/>
  <c r="O1859" i="4"/>
  <c r="O1858" i="4"/>
  <c r="O1857" i="4"/>
  <c r="O1856" i="4"/>
  <c r="O1855" i="4"/>
  <c r="O1854" i="4"/>
  <c r="O1853" i="4"/>
  <c r="O1852" i="4"/>
  <c r="O1851" i="4"/>
  <c r="O1850" i="4"/>
  <c r="O1849" i="4"/>
  <c r="O1848" i="4"/>
  <c r="O1847" i="4"/>
  <c r="O1846" i="4"/>
  <c r="O1845" i="4"/>
  <c r="O1844" i="4"/>
  <c r="O1843" i="4"/>
  <c r="O1842" i="4"/>
  <c r="O1841" i="4"/>
  <c r="O1840" i="4"/>
  <c r="O1839" i="4"/>
  <c r="O1838" i="4"/>
  <c r="O1837" i="4"/>
  <c r="O1836" i="4"/>
  <c r="O1835" i="4"/>
  <c r="O1834" i="4"/>
  <c r="O1833" i="4"/>
  <c r="O1832" i="4"/>
  <c r="O1831" i="4"/>
  <c r="O1830" i="4"/>
  <c r="O1829" i="4"/>
  <c r="O1828" i="4"/>
  <c r="O1827" i="4"/>
  <c r="O1826" i="4"/>
  <c r="O1825" i="4"/>
  <c r="O1824" i="4"/>
  <c r="O1823" i="4"/>
  <c r="O1822" i="4"/>
  <c r="O1821" i="4"/>
  <c r="O1820" i="4"/>
  <c r="O1819" i="4"/>
  <c r="O1818" i="4"/>
  <c r="O1817" i="4"/>
  <c r="O1816" i="4"/>
  <c r="O1815" i="4"/>
  <c r="O1814" i="4"/>
  <c r="O1813" i="4"/>
  <c r="O1812" i="4"/>
  <c r="O1811" i="4"/>
  <c r="O1810" i="4"/>
  <c r="O1809" i="4"/>
  <c r="O1808" i="4"/>
  <c r="O1807" i="4"/>
  <c r="O1806" i="4"/>
  <c r="O1805" i="4"/>
  <c r="O1804" i="4"/>
  <c r="O1803" i="4"/>
  <c r="O1802" i="4"/>
  <c r="O1801" i="4"/>
  <c r="O1800" i="4"/>
  <c r="O1799" i="4"/>
  <c r="O1798" i="4"/>
  <c r="O1797" i="4"/>
  <c r="O1796" i="4"/>
  <c r="O1795" i="4"/>
  <c r="O1794" i="4"/>
  <c r="O1793" i="4"/>
  <c r="O1792" i="4"/>
  <c r="O1791" i="4"/>
  <c r="O1790" i="4"/>
  <c r="O1789" i="4"/>
  <c r="O1788" i="4"/>
  <c r="O1787" i="4"/>
  <c r="O1786" i="4"/>
  <c r="O1785" i="4"/>
  <c r="O1784" i="4"/>
  <c r="O1783" i="4"/>
  <c r="O1782" i="4"/>
  <c r="O1781" i="4"/>
  <c r="O1780" i="4"/>
  <c r="O1779" i="4"/>
  <c r="O1778" i="4"/>
  <c r="O1777" i="4"/>
  <c r="O1776" i="4"/>
  <c r="O1775" i="4"/>
  <c r="O1774" i="4"/>
  <c r="O1773" i="4"/>
  <c r="O1772" i="4"/>
  <c r="O1771" i="4"/>
  <c r="O1770" i="4"/>
  <c r="O1769" i="4"/>
  <c r="O1768" i="4"/>
  <c r="O1767" i="4"/>
  <c r="O1766" i="4"/>
  <c r="O1765" i="4"/>
  <c r="O1764" i="4"/>
  <c r="O1763" i="4"/>
  <c r="O1762" i="4"/>
  <c r="O1761" i="4"/>
  <c r="O1760" i="4"/>
  <c r="O1759" i="4"/>
  <c r="O1758" i="4"/>
  <c r="O1757" i="4"/>
  <c r="O1756" i="4"/>
  <c r="O1755" i="4"/>
  <c r="O1754" i="4"/>
  <c r="O1753" i="4"/>
  <c r="O1752" i="4"/>
  <c r="O1751" i="4"/>
  <c r="O1750" i="4"/>
  <c r="O1749" i="4"/>
  <c r="O1748" i="4"/>
  <c r="O1747" i="4"/>
  <c r="O1746" i="4"/>
  <c r="O1745" i="4"/>
  <c r="O1744" i="4"/>
  <c r="O1743" i="4"/>
  <c r="O1742" i="4"/>
  <c r="O1741" i="4"/>
  <c r="O1740" i="4"/>
  <c r="O1739" i="4"/>
  <c r="O1738" i="4"/>
  <c r="O1737" i="4"/>
  <c r="O1736" i="4"/>
  <c r="O1735" i="4"/>
  <c r="O1734" i="4"/>
  <c r="O1733" i="4"/>
  <c r="O1732" i="4"/>
  <c r="O1731" i="4"/>
  <c r="O1730" i="4"/>
  <c r="O1729" i="4"/>
  <c r="O1728" i="4"/>
  <c r="O1727" i="4"/>
  <c r="O1726" i="4"/>
  <c r="O1725" i="4"/>
  <c r="O1724" i="4"/>
  <c r="O1723" i="4"/>
  <c r="O1722" i="4"/>
  <c r="O1721" i="4"/>
  <c r="O1720" i="4"/>
  <c r="O1719" i="4"/>
  <c r="O1718" i="4"/>
  <c r="O1717" i="4"/>
  <c r="O1716" i="4"/>
  <c r="O1715" i="4"/>
  <c r="O1714" i="4"/>
  <c r="O1713" i="4"/>
  <c r="O1712" i="4"/>
  <c r="O1711" i="4"/>
  <c r="O1710" i="4"/>
  <c r="O1709" i="4"/>
  <c r="O1708" i="4"/>
  <c r="O1707" i="4"/>
  <c r="O1706" i="4"/>
  <c r="O1705" i="4"/>
  <c r="O1704" i="4"/>
  <c r="O1703" i="4"/>
  <c r="O1702" i="4"/>
  <c r="O1701" i="4"/>
  <c r="O1700" i="4"/>
  <c r="O1699" i="4"/>
  <c r="O1698" i="4"/>
  <c r="O1697" i="4"/>
  <c r="O1696" i="4"/>
  <c r="O1695" i="4"/>
  <c r="O1694" i="4"/>
  <c r="O1693" i="4"/>
  <c r="O1692" i="4"/>
  <c r="O1691" i="4"/>
  <c r="O1690" i="4"/>
  <c r="O1689" i="4"/>
  <c r="O1688" i="4"/>
  <c r="O1687" i="4"/>
  <c r="O1686" i="4"/>
  <c r="O1685" i="4"/>
  <c r="O1684" i="4"/>
  <c r="O1683" i="4"/>
  <c r="O1682" i="4"/>
  <c r="O1681" i="4"/>
  <c r="O1680" i="4"/>
  <c r="O1679" i="4"/>
  <c r="O1678" i="4"/>
  <c r="O1677" i="4"/>
  <c r="O1676" i="4"/>
  <c r="O1675" i="4"/>
  <c r="O1674" i="4"/>
  <c r="O1673" i="4"/>
  <c r="O1672" i="4"/>
  <c r="O1671" i="4"/>
  <c r="O1670" i="4"/>
  <c r="O1669" i="4"/>
  <c r="O1668" i="4"/>
  <c r="O1667" i="4"/>
  <c r="O1666" i="4"/>
  <c r="O1665" i="4"/>
  <c r="O1664" i="4"/>
  <c r="O1663" i="4"/>
  <c r="O1662" i="4"/>
  <c r="O1661" i="4"/>
  <c r="O1660" i="4"/>
  <c r="O1659" i="4"/>
  <c r="O1658" i="4"/>
  <c r="O1657" i="4"/>
  <c r="O1656" i="4"/>
  <c r="O1655" i="4"/>
  <c r="O1654" i="4"/>
  <c r="O1653" i="4"/>
  <c r="O1652" i="4"/>
  <c r="O1651" i="4"/>
  <c r="O1650" i="4"/>
  <c r="O1649" i="4"/>
  <c r="O1648" i="4"/>
  <c r="O1647" i="4"/>
  <c r="O1646" i="4"/>
  <c r="O1645" i="4"/>
  <c r="O1644" i="4"/>
  <c r="O1643" i="4"/>
  <c r="O1642" i="4"/>
  <c r="O1641" i="4"/>
  <c r="O1640" i="4"/>
  <c r="O1639" i="4"/>
  <c r="O1638" i="4"/>
  <c r="O1637" i="4"/>
  <c r="O1636" i="4"/>
  <c r="O1635" i="4"/>
  <c r="O1634" i="4"/>
  <c r="O1633" i="4"/>
  <c r="O1632" i="4"/>
  <c r="O1631" i="4"/>
  <c r="O1630" i="4"/>
  <c r="O1629" i="4"/>
  <c r="O1628" i="4"/>
  <c r="O1627" i="4"/>
  <c r="O1626" i="4"/>
  <c r="O1625" i="4"/>
  <c r="O1624" i="4"/>
  <c r="O1623" i="4"/>
  <c r="O1622" i="4"/>
  <c r="O1621" i="4"/>
  <c r="O1620" i="4"/>
  <c r="O1619" i="4"/>
  <c r="O1618" i="4"/>
  <c r="O1617" i="4"/>
  <c r="O1616" i="4"/>
  <c r="O1615" i="4"/>
  <c r="O1614" i="4"/>
  <c r="O1613" i="4"/>
  <c r="O1612" i="4"/>
  <c r="O1611" i="4"/>
  <c r="O1610" i="4"/>
  <c r="O1609" i="4"/>
  <c r="O1608" i="4"/>
  <c r="O1607" i="4"/>
  <c r="O1606" i="4"/>
  <c r="O1605" i="4"/>
  <c r="O1604" i="4"/>
  <c r="O1603" i="4"/>
  <c r="O1602" i="4"/>
  <c r="O1601" i="4"/>
  <c r="O1600" i="4"/>
  <c r="O1599" i="4"/>
  <c r="O1598" i="4"/>
  <c r="O1597" i="4"/>
  <c r="O1596" i="4"/>
  <c r="O1595" i="4"/>
  <c r="O1594" i="4"/>
  <c r="O1593" i="4"/>
  <c r="O1592" i="4"/>
  <c r="O1591" i="4"/>
  <c r="O1590" i="4"/>
  <c r="O1589" i="4"/>
  <c r="O1588" i="4"/>
  <c r="O1587" i="4"/>
  <c r="O1586" i="4"/>
  <c r="O1585" i="4"/>
  <c r="O1584" i="4"/>
  <c r="O1583" i="4"/>
  <c r="O1582" i="4"/>
  <c r="O1581" i="4"/>
  <c r="O1580" i="4"/>
  <c r="O1579" i="4"/>
  <c r="O1578" i="4"/>
  <c r="O1577" i="4"/>
  <c r="O1576" i="4"/>
  <c r="O1575" i="4"/>
  <c r="O1574" i="4"/>
  <c r="O1573" i="4"/>
  <c r="O1572" i="4"/>
  <c r="O1571" i="4"/>
  <c r="O1570" i="4"/>
  <c r="O1569" i="4"/>
  <c r="O1568" i="4"/>
  <c r="O1567" i="4"/>
  <c r="O1566" i="4"/>
  <c r="O1565" i="4"/>
  <c r="O1564" i="4"/>
  <c r="O1563" i="4"/>
  <c r="O1562" i="4"/>
  <c r="O1561" i="4"/>
  <c r="O1560" i="4"/>
  <c r="O1559" i="4"/>
  <c r="O1558" i="4"/>
  <c r="O1557" i="4"/>
  <c r="O1556" i="4"/>
  <c r="O1555" i="4"/>
  <c r="O1554" i="4"/>
  <c r="O1553" i="4"/>
  <c r="O1552" i="4"/>
  <c r="O1551" i="4"/>
  <c r="O1550" i="4"/>
  <c r="O1549" i="4"/>
  <c r="O1548" i="4"/>
  <c r="O1547" i="4"/>
  <c r="O1546" i="4"/>
  <c r="O1545" i="4"/>
  <c r="O1544" i="4"/>
  <c r="O1543" i="4"/>
  <c r="O1542" i="4"/>
  <c r="O1541" i="4"/>
  <c r="O1540" i="4"/>
  <c r="O1539" i="4"/>
  <c r="O1538" i="4"/>
  <c r="O1537" i="4"/>
  <c r="O1536" i="4"/>
  <c r="O1535" i="4"/>
  <c r="O1534" i="4"/>
  <c r="O1533" i="4"/>
  <c r="O1532" i="4"/>
  <c r="O1531" i="4"/>
  <c r="O1530" i="4"/>
  <c r="O1529" i="4"/>
  <c r="O1528" i="4"/>
  <c r="O1527" i="4"/>
  <c r="O1526" i="4"/>
  <c r="O1525" i="4"/>
  <c r="O1524" i="4"/>
  <c r="O1523" i="4"/>
  <c r="O1522" i="4"/>
  <c r="O1521" i="4"/>
  <c r="O1520" i="4"/>
  <c r="O1519" i="4"/>
  <c r="O1518" i="4"/>
  <c r="O1517" i="4"/>
  <c r="O1516" i="4"/>
  <c r="O1515" i="4"/>
  <c r="O1514" i="4"/>
  <c r="O1513" i="4"/>
  <c r="O1512" i="4"/>
  <c r="O1511" i="4"/>
  <c r="O1510" i="4"/>
  <c r="O1509" i="4"/>
  <c r="O1508" i="4"/>
  <c r="O1507" i="4"/>
  <c r="O1506" i="4"/>
  <c r="O1505" i="4"/>
  <c r="O1504" i="4"/>
  <c r="O1503" i="4"/>
  <c r="O1502" i="4"/>
  <c r="O1501" i="4"/>
  <c r="O1500" i="4"/>
  <c r="O1499" i="4"/>
  <c r="O1498" i="4"/>
  <c r="O1497" i="4"/>
  <c r="O1496" i="4"/>
  <c r="O1495" i="4"/>
  <c r="O1494" i="4"/>
  <c r="O1493" i="4"/>
  <c r="O1492" i="4"/>
  <c r="O1491" i="4"/>
  <c r="O1490" i="4"/>
  <c r="O1489" i="4"/>
  <c r="O1488" i="4"/>
  <c r="O1487" i="4"/>
  <c r="O1486" i="4"/>
  <c r="O1485" i="4"/>
  <c r="O1484" i="4"/>
  <c r="O1483" i="4"/>
  <c r="O1482" i="4"/>
  <c r="O1481" i="4"/>
  <c r="O1480" i="4"/>
  <c r="O1479" i="4"/>
  <c r="O1478" i="4"/>
  <c r="O1477" i="4"/>
  <c r="O1476" i="4"/>
  <c r="O1475" i="4"/>
  <c r="O1474" i="4"/>
  <c r="O1473" i="4"/>
  <c r="O1472" i="4"/>
  <c r="O1471" i="4"/>
  <c r="O1470" i="4"/>
  <c r="O1469" i="4"/>
  <c r="O1468" i="4"/>
  <c r="O1467" i="4"/>
  <c r="O1466" i="4"/>
  <c r="O1465" i="4"/>
  <c r="O1464" i="4"/>
  <c r="O1463" i="4"/>
  <c r="O1462" i="4"/>
  <c r="O1461" i="4"/>
  <c r="O1460" i="4"/>
  <c r="O1459" i="4"/>
  <c r="O1458" i="4"/>
  <c r="O1457" i="4"/>
  <c r="O1456" i="4"/>
  <c r="O1455" i="4"/>
  <c r="O1454" i="4"/>
  <c r="O1453" i="4"/>
  <c r="O1452" i="4"/>
  <c r="O1451" i="4"/>
  <c r="O1450" i="4"/>
  <c r="O1449" i="4"/>
  <c r="O1448" i="4"/>
  <c r="O1447" i="4"/>
  <c r="O1446" i="4"/>
  <c r="O1445" i="4"/>
  <c r="O1444" i="4"/>
  <c r="O1443" i="4"/>
  <c r="O1442" i="4"/>
  <c r="O1441" i="4"/>
  <c r="O1440" i="4"/>
  <c r="O1439" i="4"/>
  <c r="O1438" i="4"/>
  <c r="O1437" i="4"/>
  <c r="O1436" i="4"/>
  <c r="O1435" i="4"/>
  <c r="O1434" i="4"/>
  <c r="O1433" i="4"/>
  <c r="O1432" i="4"/>
  <c r="O1431" i="4"/>
  <c r="O1430" i="4"/>
  <c r="O1429" i="4"/>
  <c r="O1428" i="4"/>
  <c r="O1427" i="4"/>
  <c r="O1426" i="4"/>
  <c r="O1425" i="4"/>
  <c r="O1424" i="4"/>
  <c r="O1423" i="4"/>
  <c r="O1422" i="4"/>
  <c r="O1421" i="4"/>
  <c r="O1420" i="4"/>
  <c r="O1419" i="4"/>
  <c r="O1418" i="4"/>
  <c r="O1417" i="4"/>
  <c r="O1416" i="4"/>
  <c r="O1415" i="4"/>
  <c r="O1414" i="4"/>
  <c r="O1413" i="4"/>
  <c r="O1412" i="4"/>
  <c r="O1411" i="4"/>
  <c r="O1410" i="4"/>
  <c r="O1409" i="4"/>
  <c r="O1408" i="4"/>
  <c r="O1407" i="4"/>
  <c r="O1406" i="4"/>
  <c r="O1405" i="4"/>
  <c r="O1404" i="4"/>
  <c r="O1403" i="4"/>
  <c r="O1402" i="4"/>
  <c r="O1401" i="4"/>
  <c r="O1400" i="4"/>
  <c r="O1399" i="4"/>
  <c r="O1398" i="4"/>
  <c r="O1397" i="4"/>
  <c r="O1396" i="4"/>
  <c r="O1395" i="4"/>
  <c r="O1394" i="4"/>
  <c r="O1393" i="4"/>
  <c r="O1392" i="4"/>
  <c r="O1391" i="4"/>
  <c r="O1390" i="4"/>
  <c r="O1389" i="4"/>
  <c r="O1388" i="4"/>
  <c r="O1387" i="4"/>
  <c r="O1386" i="4"/>
  <c r="O1385" i="4"/>
  <c r="O1384" i="4"/>
  <c r="O1383" i="4"/>
  <c r="O1382" i="4"/>
  <c r="O1381" i="4"/>
  <c r="O1380" i="4"/>
  <c r="O1379" i="4"/>
  <c r="O1378" i="4"/>
  <c r="O1377" i="4"/>
  <c r="O1376" i="4"/>
  <c r="O1375" i="4"/>
  <c r="O1374" i="4"/>
  <c r="O1373" i="4"/>
  <c r="O1372" i="4"/>
  <c r="O1371" i="4"/>
  <c r="O1370" i="4"/>
  <c r="O1369" i="4"/>
  <c r="O1368" i="4"/>
  <c r="O1367" i="4"/>
  <c r="O1366" i="4"/>
  <c r="O1365" i="4"/>
  <c r="O1364" i="4"/>
  <c r="O1363" i="4"/>
  <c r="O1362" i="4"/>
  <c r="O1361" i="4"/>
  <c r="O1360" i="4"/>
  <c r="O1359" i="4"/>
  <c r="O1358" i="4"/>
  <c r="O1357" i="4"/>
  <c r="O1356" i="4"/>
  <c r="O1355" i="4"/>
  <c r="O1354" i="4"/>
  <c r="O1353" i="4"/>
  <c r="O1352" i="4"/>
  <c r="O1351" i="4"/>
  <c r="O1350" i="4"/>
  <c r="O1349" i="4"/>
  <c r="O1348" i="4"/>
  <c r="O1347" i="4"/>
  <c r="O1346" i="4"/>
  <c r="O1345" i="4"/>
  <c r="O1344" i="4"/>
  <c r="O1343" i="4"/>
  <c r="O1342" i="4"/>
  <c r="O1341" i="4"/>
  <c r="O1340" i="4"/>
  <c r="O1339" i="4"/>
  <c r="O1338" i="4"/>
  <c r="O1337" i="4"/>
  <c r="O1336" i="4"/>
  <c r="O1335" i="4"/>
  <c r="O1334" i="4"/>
  <c r="O1333" i="4"/>
  <c r="O1332" i="4"/>
  <c r="O1331" i="4"/>
  <c r="O1330" i="4"/>
  <c r="O1329" i="4"/>
  <c r="O1328" i="4"/>
  <c r="O1327" i="4"/>
  <c r="O1326" i="4"/>
  <c r="O1325" i="4"/>
  <c r="O1324" i="4"/>
  <c r="O1323" i="4"/>
  <c r="O1322" i="4"/>
  <c r="O1321" i="4"/>
  <c r="O1320" i="4"/>
  <c r="O1319" i="4"/>
  <c r="O1318" i="4"/>
  <c r="O1317" i="4"/>
  <c r="O1316" i="4"/>
  <c r="O1315" i="4"/>
  <c r="O1314" i="4"/>
  <c r="O1313" i="4"/>
  <c r="O1312" i="4"/>
  <c r="O1311" i="4"/>
  <c r="O1310" i="4"/>
  <c r="O1309" i="4"/>
  <c r="O1308" i="4"/>
  <c r="O1307" i="4"/>
  <c r="O1306" i="4"/>
  <c r="O1305" i="4"/>
  <c r="O1304" i="4"/>
  <c r="O1303" i="4"/>
  <c r="O1302" i="4"/>
  <c r="O1301" i="4"/>
  <c r="O1300" i="4"/>
  <c r="O1299" i="4"/>
  <c r="O1298" i="4"/>
  <c r="O1297" i="4"/>
  <c r="O1296" i="4"/>
  <c r="O1295" i="4"/>
  <c r="O1294" i="4"/>
  <c r="O1293" i="4"/>
  <c r="O1292" i="4"/>
  <c r="O1291" i="4"/>
  <c r="O1290" i="4"/>
  <c r="O1289" i="4"/>
  <c r="O1288" i="4"/>
  <c r="O1287" i="4"/>
  <c r="O1286" i="4"/>
  <c r="O1285" i="4"/>
  <c r="O1284" i="4"/>
  <c r="O1283" i="4"/>
  <c r="O1282" i="4"/>
  <c r="O1281" i="4"/>
  <c r="O1280" i="4"/>
  <c r="O1279" i="4"/>
  <c r="O1278" i="4"/>
  <c r="O1277" i="4"/>
  <c r="O1276" i="4"/>
  <c r="O1275" i="4"/>
  <c r="O1274" i="4"/>
  <c r="O1273" i="4"/>
  <c r="O1272" i="4"/>
  <c r="O1271" i="4"/>
  <c r="O1270" i="4"/>
  <c r="O1269" i="4"/>
  <c r="O1268" i="4"/>
  <c r="O1267" i="4"/>
  <c r="O1266" i="4"/>
  <c r="O1265" i="4"/>
  <c r="O1264" i="4"/>
  <c r="O1263" i="4"/>
  <c r="O1262" i="4"/>
  <c r="O1261" i="4"/>
  <c r="O1260" i="4"/>
  <c r="O1259" i="4"/>
  <c r="O1258" i="4"/>
  <c r="O1257" i="4"/>
  <c r="O1256" i="4"/>
  <c r="O1255" i="4"/>
  <c r="O1254" i="4"/>
  <c r="O1253" i="4"/>
  <c r="O1252" i="4"/>
  <c r="O1251" i="4"/>
  <c r="O1250" i="4"/>
  <c r="O1249" i="4"/>
  <c r="O1248" i="4"/>
  <c r="O1247" i="4"/>
  <c r="O1246" i="4"/>
  <c r="O1245" i="4"/>
  <c r="O1244" i="4"/>
  <c r="O1243" i="4"/>
  <c r="O1242" i="4"/>
  <c r="O1241" i="4"/>
  <c r="O1240" i="4"/>
  <c r="O1239" i="4"/>
  <c r="O1238" i="4"/>
  <c r="O1237" i="4"/>
  <c r="O1236" i="4"/>
  <c r="O1235" i="4"/>
  <c r="O1234" i="4"/>
  <c r="O1233" i="4"/>
  <c r="O1232" i="4"/>
  <c r="O1231" i="4"/>
  <c r="O1230" i="4"/>
  <c r="O1229" i="4"/>
  <c r="O1228" i="4"/>
  <c r="O1227" i="4"/>
  <c r="O1226" i="4"/>
  <c r="O1225" i="4"/>
  <c r="O1224" i="4"/>
  <c r="O1223" i="4"/>
  <c r="O1222" i="4"/>
  <c r="O1221" i="4"/>
  <c r="O1220" i="4"/>
  <c r="O1219" i="4"/>
  <c r="O1218" i="4"/>
  <c r="O1217" i="4"/>
  <c r="O1216" i="4"/>
  <c r="O1215" i="4"/>
  <c r="O1214" i="4"/>
  <c r="O1213" i="4"/>
  <c r="O1212" i="4"/>
  <c r="O1211" i="4"/>
  <c r="O1210" i="4"/>
  <c r="O1209" i="4"/>
  <c r="O1208" i="4"/>
  <c r="O1207" i="4"/>
  <c r="O1206" i="4"/>
  <c r="O1205" i="4"/>
  <c r="O1204" i="4"/>
  <c r="O1203" i="4"/>
  <c r="O1202" i="4"/>
  <c r="O1201" i="4"/>
  <c r="O1200" i="4"/>
  <c r="O1199" i="4"/>
  <c r="O1198" i="4"/>
  <c r="O1197" i="4"/>
  <c r="O1196" i="4"/>
  <c r="O1195" i="4"/>
  <c r="O1194" i="4"/>
  <c r="O1193" i="4"/>
  <c r="O1192" i="4"/>
  <c r="O1191" i="4"/>
  <c r="O1190" i="4"/>
  <c r="O1189" i="4"/>
  <c r="O1188" i="4"/>
  <c r="O1187" i="4"/>
  <c r="O1186" i="4"/>
  <c r="O1185" i="4"/>
  <c r="O1184" i="4"/>
  <c r="O1183" i="4"/>
  <c r="O1182" i="4"/>
  <c r="O1181" i="4"/>
  <c r="O1180" i="4"/>
  <c r="O1179" i="4"/>
  <c r="O1178" i="4"/>
  <c r="O1177" i="4"/>
  <c r="O1176" i="4"/>
  <c r="O1175" i="4"/>
  <c r="O1174" i="4"/>
  <c r="O1173" i="4"/>
  <c r="O1172" i="4"/>
  <c r="O1171" i="4"/>
  <c r="O1170" i="4"/>
  <c r="O1169" i="4"/>
  <c r="O1168" i="4"/>
  <c r="O1167" i="4"/>
  <c r="O1166" i="4"/>
  <c r="O1165" i="4"/>
  <c r="O1164" i="4"/>
  <c r="O1163" i="4"/>
  <c r="O1162" i="4"/>
  <c r="O1161" i="4"/>
  <c r="O1160" i="4"/>
  <c r="O1159" i="4"/>
  <c r="O1158" i="4"/>
  <c r="O1157" i="4"/>
  <c r="O1156" i="4"/>
  <c r="O1155" i="4"/>
  <c r="O1154" i="4"/>
  <c r="O1153" i="4"/>
  <c r="O1152" i="4"/>
  <c r="O1151" i="4"/>
  <c r="O1150" i="4"/>
  <c r="O1149" i="4"/>
  <c r="O1148" i="4"/>
  <c r="O1147" i="4"/>
  <c r="O1146" i="4"/>
  <c r="O1145" i="4"/>
  <c r="O1144" i="4"/>
  <c r="O1143" i="4"/>
  <c r="O1142" i="4"/>
  <c r="O1141" i="4"/>
  <c r="O1140" i="4"/>
  <c r="O1139" i="4"/>
  <c r="O1138" i="4"/>
  <c r="O1137" i="4"/>
  <c r="O1136" i="4"/>
  <c r="O1135" i="4"/>
  <c r="O1134" i="4"/>
  <c r="O1133" i="4"/>
  <c r="O1132" i="4"/>
  <c r="O1131" i="4"/>
  <c r="O1130" i="4"/>
  <c r="O1129" i="4"/>
  <c r="O1128" i="4"/>
  <c r="O1127" i="4"/>
  <c r="O1126" i="4"/>
  <c r="O1125" i="4"/>
  <c r="O1124" i="4"/>
  <c r="O1123" i="4"/>
  <c r="O1122" i="4"/>
  <c r="O1121" i="4"/>
  <c r="O1120" i="4"/>
  <c r="O1119" i="4"/>
  <c r="O1118" i="4"/>
  <c r="O1117" i="4"/>
  <c r="O1116" i="4"/>
  <c r="O1115" i="4"/>
  <c r="O1114" i="4"/>
  <c r="O1113" i="4"/>
  <c r="O1112" i="4"/>
  <c r="O1111" i="4"/>
  <c r="O1110" i="4"/>
  <c r="O1109" i="4"/>
  <c r="O1108" i="4"/>
  <c r="O1107" i="4"/>
  <c r="O1106" i="4"/>
  <c r="O1105" i="4"/>
  <c r="O1104" i="4"/>
  <c r="O1103" i="4"/>
  <c r="O1102" i="4"/>
  <c r="O1101" i="4"/>
  <c r="O1100" i="4"/>
  <c r="O1099" i="4"/>
  <c r="O1098" i="4"/>
  <c r="O1097" i="4"/>
  <c r="O1096" i="4"/>
  <c r="O1095" i="4"/>
  <c r="O1094" i="4"/>
  <c r="O1093" i="4"/>
  <c r="O1092" i="4"/>
  <c r="O1091" i="4"/>
  <c r="O1090" i="4"/>
  <c r="O1089" i="4"/>
  <c r="O1088" i="4"/>
  <c r="O1087" i="4"/>
  <c r="O1086" i="4"/>
  <c r="O1085" i="4"/>
  <c r="O1084" i="4"/>
  <c r="O1083" i="4"/>
  <c r="O1082" i="4"/>
  <c r="O1081" i="4"/>
  <c r="O1080" i="4"/>
  <c r="O1079" i="4"/>
  <c r="O1078" i="4"/>
  <c r="O1077" i="4"/>
  <c r="O1076" i="4"/>
  <c r="O1075" i="4"/>
  <c r="O1074" i="4"/>
  <c r="O1073" i="4"/>
  <c r="O1072" i="4"/>
  <c r="O1071" i="4"/>
  <c r="O1070" i="4"/>
  <c r="O1069" i="4"/>
  <c r="O1068" i="4"/>
  <c r="O1067" i="4"/>
  <c r="O1066" i="4"/>
  <c r="O1065" i="4"/>
  <c r="O1064" i="4"/>
  <c r="O1063" i="4"/>
  <c r="O1062" i="4"/>
  <c r="O1061" i="4"/>
  <c r="O1060" i="4"/>
  <c r="O1059" i="4"/>
  <c r="O1058" i="4"/>
  <c r="O1057" i="4"/>
  <c r="O1056" i="4"/>
  <c r="O1055" i="4"/>
  <c r="O1054" i="4"/>
  <c r="O1053" i="4"/>
  <c r="O1052" i="4"/>
  <c r="O1051" i="4"/>
  <c r="O1050" i="4"/>
  <c r="O1049" i="4"/>
  <c r="O1048" i="4"/>
  <c r="O1047" i="4"/>
  <c r="O1046" i="4"/>
  <c r="O1045" i="4"/>
  <c r="O1044" i="4"/>
  <c r="O1043" i="4"/>
  <c r="O1042" i="4"/>
  <c r="O1041" i="4"/>
  <c r="O1040" i="4"/>
  <c r="O1039" i="4"/>
  <c r="O1038" i="4"/>
  <c r="O1037" i="4"/>
  <c r="O1036" i="4"/>
  <c r="O1035" i="4"/>
  <c r="O1034" i="4"/>
  <c r="O1033" i="4"/>
  <c r="O1032" i="4"/>
  <c r="O1031" i="4"/>
  <c r="O1030" i="4"/>
  <c r="O1029" i="4"/>
  <c r="O1028" i="4"/>
  <c r="O1027" i="4"/>
  <c r="O1026" i="4"/>
  <c r="O1025" i="4"/>
  <c r="O1024" i="4"/>
  <c r="O1023" i="4"/>
  <c r="O1022" i="4"/>
  <c r="O1021" i="4"/>
  <c r="O1020" i="4"/>
  <c r="O1019" i="4"/>
  <c r="O1018" i="4"/>
  <c r="O1017" i="4"/>
  <c r="O1016" i="4"/>
  <c r="O1015" i="4"/>
  <c r="O1014" i="4"/>
  <c r="O1013" i="4"/>
  <c r="O1012" i="4"/>
  <c r="O1011" i="4"/>
  <c r="O1010" i="4"/>
  <c r="O1009" i="4"/>
  <c r="O1008" i="4"/>
  <c r="O1007" i="4"/>
  <c r="O1006" i="4"/>
  <c r="O1005" i="4"/>
  <c r="O1004" i="4"/>
  <c r="O1003" i="4"/>
  <c r="O1002" i="4"/>
  <c r="O1001" i="4"/>
  <c r="O1000" i="4"/>
  <c r="O999" i="4"/>
  <c r="O998" i="4"/>
  <c r="O997" i="4"/>
  <c r="O996" i="4"/>
  <c r="O995" i="4"/>
  <c r="O994" i="4"/>
  <c r="O993" i="4"/>
  <c r="O992" i="4"/>
  <c r="O991" i="4"/>
  <c r="O990" i="4"/>
  <c r="O989" i="4"/>
  <c r="O988" i="4"/>
  <c r="O987" i="4"/>
  <c r="O986" i="4"/>
  <c r="O985" i="4"/>
  <c r="O984" i="4"/>
  <c r="O983" i="4"/>
  <c r="O982" i="4"/>
  <c r="O981" i="4"/>
  <c r="O980" i="4"/>
  <c r="O979" i="4"/>
  <c r="O978" i="4"/>
  <c r="O977" i="4"/>
  <c r="O976" i="4"/>
  <c r="O975" i="4"/>
  <c r="O974" i="4"/>
  <c r="O973" i="4"/>
  <c r="O972" i="4"/>
  <c r="O971" i="4"/>
  <c r="O970" i="4"/>
  <c r="O969" i="4"/>
  <c r="O968" i="4"/>
  <c r="O967" i="4"/>
  <c r="O966" i="4"/>
  <c r="O965" i="4"/>
  <c r="O964" i="4"/>
  <c r="O963" i="4"/>
  <c r="O962" i="4"/>
  <c r="O961" i="4"/>
  <c r="O960" i="4"/>
  <c r="O959" i="4"/>
  <c r="O958" i="4"/>
  <c r="O957" i="4"/>
  <c r="O956" i="4"/>
  <c r="O955" i="4"/>
  <c r="O954" i="4"/>
  <c r="O953" i="4"/>
  <c r="O952" i="4"/>
  <c r="O951" i="4"/>
  <c r="O950" i="4"/>
  <c r="O949" i="4"/>
  <c r="O948" i="4"/>
  <c r="O947" i="4"/>
  <c r="O946" i="4"/>
  <c r="O945" i="4"/>
  <c r="O944" i="4"/>
  <c r="O943" i="4"/>
  <c r="O942" i="4"/>
  <c r="O941" i="4"/>
  <c r="O940" i="4"/>
  <c r="O939" i="4"/>
  <c r="O938" i="4"/>
  <c r="O937" i="4"/>
  <c r="O936" i="4"/>
  <c r="O935" i="4"/>
  <c r="O934" i="4"/>
  <c r="O933" i="4"/>
  <c r="O932" i="4"/>
  <c r="O931" i="4"/>
  <c r="O930" i="4"/>
  <c r="O929" i="4"/>
  <c r="O928" i="4"/>
  <c r="O927" i="4"/>
  <c r="O926" i="4"/>
  <c r="O925" i="4"/>
  <c r="O924" i="4"/>
  <c r="O923" i="4"/>
  <c r="O922" i="4"/>
  <c r="O921" i="4"/>
  <c r="O920" i="4"/>
  <c r="O919" i="4"/>
  <c r="O918" i="4"/>
  <c r="O917" i="4"/>
  <c r="O916" i="4"/>
  <c r="O915" i="4"/>
  <c r="O914" i="4"/>
  <c r="O913" i="4"/>
  <c r="O912" i="4"/>
  <c r="O911" i="4"/>
  <c r="O910" i="4"/>
  <c r="O909" i="4"/>
  <c r="O908" i="4"/>
  <c r="O907" i="4"/>
  <c r="O906" i="4"/>
  <c r="O905" i="4"/>
  <c r="O904" i="4"/>
  <c r="O903" i="4"/>
  <c r="O902" i="4"/>
  <c r="O901" i="4"/>
  <c r="O900" i="4"/>
  <c r="O899" i="4"/>
  <c r="O898" i="4"/>
  <c r="O897" i="4"/>
  <c r="O896" i="4"/>
  <c r="O895" i="4"/>
  <c r="O894" i="4"/>
  <c r="O893" i="4"/>
  <c r="O892" i="4"/>
  <c r="O891" i="4"/>
  <c r="O890" i="4"/>
  <c r="O889" i="4"/>
  <c r="O888" i="4"/>
  <c r="O887" i="4"/>
  <c r="O886" i="4"/>
  <c r="O885" i="4"/>
  <c r="O884" i="4"/>
  <c r="O883" i="4"/>
  <c r="O882" i="4"/>
  <c r="O881" i="4"/>
  <c r="O880" i="4"/>
  <c r="O879" i="4"/>
  <c r="O878" i="4"/>
  <c r="O877" i="4"/>
  <c r="O876" i="4"/>
  <c r="O875" i="4"/>
  <c r="O874" i="4"/>
  <c r="O873" i="4"/>
  <c r="O872" i="4"/>
  <c r="O871" i="4"/>
  <c r="O870" i="4"/>
  <c r="O869" i="4"/>
  <c r="O868" i="4"/>
  <c r="O867" i="4"/>
  <c r="O866" i="4"/>
  <c r="O865" i="4"/>
  <c r="O864" i="4"/>
  <c r="O863" i="4"/>
  <c r="O862" i="4"/>
  <c r="O861" i="4"/>
  <c r="O860" i="4"/>
  <c r="O859" i="4"/>
  <c r="O858" i="4"/>
  <c r="O857" i="4"/>
  <c r="O856" i="4"/>
  <c r="O855" i="4"/>
  <c r="O854" i="4"/>
  <c r="O853" i="4"/>
  <c r="O852" i="4"/>
  <c r="O851" i="4"/>
  <c r="O850" i="4"/>
  <c r="O849" i="4"/>
  <c r="O848" i="4"/>
  <c r="O847" i="4"/>
  <c r="O846" i="4"/>
  <c r="O845" i="4"/>
  <c r="O844" i="4"/>
  <c r="O843" i="4"/>
  <c r="O842" i="4"/>
  <c r="O841" i="4"/>
  <c r="O840" i="4"/>
  <c r="O839" i="4"/>
  <c r="O838" i="4"/>
  <c r="O837" i="4"/>
  <c r="O836" i="4"/>
  <c r="O835" i="4"/>
  <c r="O834" i="4"/>
  <c r="O833" i="4"/>
  <c r="O832" i="4"/>
  <c r="O831" i="4"/>
  <c r="O830" i="4"/>
  <c r="O829" i="4"/>
  <c r="O828" i="4"/>
  <c r="O827" i="4"/>
  <c r="O826" i="4"/>
  <c r="O825" i="4"/>
  <c r="O824" i="4"/>
  <c r="O823" i="4"/>
  <c r="O822" i="4"/>
  <c r="O821" i="4"/>
  <c r="O820" i="4"/>
  <c r="O819" i="4"/>
  <c r="O818" i="4"/>
  <c r="O817" i="4"/>
  <c r="O816" i="4"/>
  <c r="O815" i="4"/>
  <c r="O814" i="4"/>
  <c r="O813" i="4"/>
  <c r="O812" i="4"/>
  <c r="O811" i="4"/>
  <c r="O810" i="4"/>
  <c r="O809" i="4"/>
  <c r="O808" i="4"/>
  <c r="O807" i="4"/>
  <c r="O806" i="4"/>
  <c r="O805" i="4"/>
  <c r="O804" i="4"/>
  <c r="O803" i="4"/>
  <c r="O802" i="4"/>
  <c r="O801" i="4"/>
  <c r="O800" i="4"/>
  <c r="O799" i="4"/>
  <c r="O798" i="4"/>
  <c r="O797" i="4"/>
  <c r="O796" i="4"/>
  <c r="O795" i="4"/>
  <c r="O794" i="4"/>
  <c r="O793" i="4"/>
  <c r="O792" i="4"/>
  <c r="O791" i="4"/>
  <c r="O790" i="4"/>
  <c r="O789" i="4"/>
  <c r="O788" i="4"/>
  <c r="O787" i="4"/>
  <c r="O786" i="4"/>
  <c r="O785" i="4"/>
  <c r="O784" i="4"/>
  <c r="O783" i="4"/>
  <c r="O782" i="4"/>
  <c r="O781" i="4"/>
  <c r="O780" i="4"/>
  <c r="O779" i="4"/>
  <c r="O778" i="4"/>
  <c r="O777" i="4"/>
  <c r="O776" i="4"/>
  <c r="O775" i="4"/>
  <c r="O774" i="4"/>
  <c r="O773" i="4"/>
  <c r="O772" i="4"/>
  <c r="O771" i="4"/>
  <c r="O770" i="4"/>
  <c r="O769" i="4"/>
  <c r="O768" i="4"/>
  <c r="O767" i="4"/>
  <c r="O766" i="4"/>
  <c r="O765" i="4"/>
  <c r="O764" i="4"/>
  <c r="O763" i="4"/>
  <c r="O762" i="4"/>
  <c r="O761" i="4"/>
  <c r="O760" i="4"/>
  <c r="O759" i="4"/>
  <c r="O758" i="4"/>
  <c r="O757" i="4"/>
  <c r="O756" i="4"/>
  <c r="O755" i="4"/>
  <c r="O754" i="4"/>
  <c r="O753" i="4"/>
  <c r="O752" i="4"/>
  <c r="O751" i="4"/>
  <c r="O750" i="4"/>
  <c r="O749" i="4"/>
  <c r="O748" i="4"/>
  <c r="O747" i="4"/>
  <c r="O746" i="4"/>
  <c r="O745" i="4"/>
  <c r="O744" i="4"/>
  <c r="O743" i="4"/>
  <c r="O742" i="4"/>
  <c r="O741" i="4"/>
  <c r="O740" i="4"/>
  <c r="O739" i="4"/>
  <c r="O738" i="4"/>
  <c r="O737" i="4"/>
  <c r="O736" i="4"/>
  <c r="O735" i="4"/>
  <c r="O734" i="4"/>
  <c r="O733" i="4"/>
  <c r="O732" i="4"/>
  <c r="O731" i="4"/>
  <c r="O730" i="4"/>
  <c r="O729" i="4"/>
  <c r="O728" i="4"/>
  <c r="O727" i="4"/>
  <c r="O726" i="4"/>
  <c r="O725" i="4"/>
  <c r="O724" i="4"/>
  <c r="O723" i="4"/>
  <c r="O722" i="4"/>
  <c r="O721" i="4"/>
  <c r="O720" i="4"/>
  <c r="O719" i="4"/>
  <c r="O718" i="4"/>
  <c r="O717" i="4"/>
  <c r="O716" i="4"/>
  <c r="O715" i="4"/>
  <c r="O714" i="4"/>
  <c r="O713" i="4"/>
  <c r="O712" i="4"/>
  <c r="O711" i="4"/>
  <c r="O710" i="4"/>
  <c r="O709" i="4"/>
  <c r="O708" i="4"/>
  <c r="O707" i="4"/>
  <c r="O706" i="4"/>
  <c r="O705" i="4"/>
  <c r="O704" i="4"/>
  <c r="O703" i="4"/>
  <c r="O702" i="4"/>
  <c r="O701" i="4"/>
  <c r="O700" i="4"/>
  <c r="O699" i="4"/>
  <c r="O698" i="4"/>
  <c r="O697" i="4"/>
  <c r="O696" i="4"/>
  <c r="O695" i="4"/>
  <c r="O694" i="4"/>
  <c r="O693" i="4"/>
  <c r="O692" i="4"/>
  <c r="O691" i="4"/>
  <c r="O690" i="4"/>
  <c r="O689" i="4"/>
  <c r="O688" i="4"/>
  <c r="O687" i="4"/>
  <c r="O686" i="4"/>
  <c r="O685" i="4"/>
  <c r="O684" i="4"/>
  <c r="O683" i="4"/>
  <c r="O682" i="4"/>
  <c r="O681" i="4"/>
  <c r="O680" i="4"/>
  <c r="O679" i="4"/>
  <c r="O678" i="4"/>
  <c r="O677" i="4"/>
  <c r="O676" i="4"/>
  <c r="O675" i="4"/>
  <c r="O674" i="4"/>
  <c r="O673" i="4"/>
  <c r="O672" i="4"/>
  <c r="O671" i="4"/>
  <c r="O670" i="4"/>
  <c r="O669" i="4"/>
  <c r="O668" i="4"/>
  <c r="O667" i="4"/>
  <c r="O666" i="4"/>
  <c r="O665" i="4"/>
  <c r="O664" i="4"/>
  <c r="O663" i="4"/>
  <c r="O662" i="4"/>
  <c r="O661" i="4"/>
  <c r="O660" i="4"/>
  <c r="O659" i="4"/>
  <c r="O658" i="4"/>
  <c r="O657" i="4"/>
  <c r="O656" i="4"/>
  <c r="O655" i="4"/>
  <c r="O654" i="4"/>
  <c r="O653" i="4"/>
  <c r="O652" i="4"/>
  <c r="O651" i="4"/>
  <c r="O650" i="4"/>
  <c r="O649" i="4"/>
  <c r="O648" i="4"/>
  <c r="O647" i="4"/>
  <c r="O646" i="4"/>
  <c r="O645" i="4"/>
  <c r="O644" i="4"/>
  <c r="O643" i="4"/>
  <c r="O642" i="4"/>
  <c r="O641" i="4"/>
  <c r="O640" i="4"/>
  <c r="O639" i="4"/>
  <c r="O638" i="4"/>
  <c r="O637" i="4"/>
  <c r="O636" i="4"/>
  <c r="O635" i="4"/>
  <c r="O634" i="4"/>
  <c r="O633" i="4"/>
  <c r="O632" i="4"/>
  <c r="O631" i="4"/>
  <c r="O630" i="4"/>
  <c r="O629" i="4"/>
  <c r="O628" i="4"/>
  <c r="O627" i="4"/>
  <c r="O626" i="4"/>
  <c r="O625" i="4"/>
  <c r="O624" i="4"/>
  <c r="O623" i="4"/>
  <c r="O622" i="4"/>
  <c r="O621" i="4"/>
  <c r="O620" i="4"/>
  <c r="O619" i="4"/>
  <c r="O618" i="4"/>
  <c r="O617" i="4"/>
  <c r="O616" i="4"/>
  <c r="O615" i="4"/>
  <c r="O614" i="4"/>
  <c r="O613" i="4"/>
  <c r="O612" i="4"/>
  <c r="O611" i="4"/>
  <c r="O610" i="4"/>
  <c r="O609" i="4"/>
  <c r="O608" i="4"/>
  <c r="O607" i="4"/>
  <c r="O606" i="4"/>
  <c r="O605" i="4"/>
  <c r="O604" i="4"/>
  <c r="O603" i="4"/>
  <c r="O602" i="4"/>
  <c r="O601" i="4"/>
  <c r="O600" i="4"/>
  <c r="O599" i="4"/>
  <c r="O598" i="4"/>
  <c r="O597" i="4"/>
  <c r="O596" i="4"/>
  <c r="O595" i="4"/>
  <c r="O594" i="4"/>
  <c r="O593" i="4"/>
  <c r="O592" i="4"/>
  <c r="O591" i="4"/>
  <c r="O590" i="4"/>
  <c r="O589" i="4"/>
  <c r="O588" i="4"/>
  <c r="O587" i="4"/>
  <c r="O586" i="4"/>
  <c r="O585" i="4"/>
  <c r="O584" i="4"/>
  <c r="O583" i="4"/>
  <c r="O582" i="4"/>
  <c r="O581" i="4"/>
  <c r="O580" i="4"/>
  <c r="O579" i="4"/>
  <c r="O578" i="4"/>
  <c r="O577" i="4"/>
  <c r="O576" i="4"/>
  <c r="O575" i="4"/>
  <c r="O574" i="4"/>
  <c r="O573" i="4"/>
  <c r="O572" i="4"/>
  <c r="O571" i="4"/>
  <c r="O570" i="4"/>
  <c r="O569" i="4"/>
  <c r="O568" i="4"/>
  <c r="O567" i="4"/>
  <c r="O566" i="4"/>
  <c r="O565" i="4"/>
  <c r="O564" i="4"/>
  <c r="O563" i="4"/>
  <c r="O562" i="4"/>
  <c r="O561" i="4"/>
  <c r="O560" i="4"/>
  <c r="O559" i="4"/>
  <c r="O558" i="4"/>
  <c r="O557" i="4"/>
  <c r="O556" i="4"/>
  <c r="O555" i="4"/>
  <c r="O554" i="4"/>
  <c r="O553" i="4"/>
  <c r="O552" i="4"/>
  <c r="O551" i="4"/>
  <c r="O550" i="4"/>
  <c r="O549" i="4"/>
  <c r="O548" i="4"/>
  <c r="O547" i="4"/>
  <c r="O546" i="4"/>
  <c r="O545" i="4"/>
  <c r="O544" i="4"/>
  <c r="O543" i="4"/>
  <c r="O542" i="4"/>
  <c r="O541" i="4"/>
  <c r="O540" i="4"/>
  <c r="O539" i="4"/>
  <c r="O538" i="4"/>
  <c r="O537" i="4"/>
  <c r="O536" i="4"/>
  <c r="O535" i="4"/>
  <c r="O534" i="4"/>
  <c r="O533" i="4"/>
  <c r="O532" i="4"/>
  <c r="O531" i="4"/>
  <c r="O530" i="4"/>
  <c r="O529" i="4"/>
  <c r="O528" i="4"/>
  <c r="O527" i="4"/>
  <c r="O526" i="4"/>
  <c r="O525" i="4"/>
  <c r="O524" i="4"/>
  <c r="O523" i="4"/>
  <c r="O522" i="4"/>
  <c r="O521" i="4"/>
  <c r="O520" i="4"/>
  <c r="O519" i="4"/>
  <c r="O518" i="4"/>
  <c r="O517" i="4"/>
  <c r="O516" i="4"/>
  <c r="O515" i="4"/>
  <c r="O514" i="4"/>
  <c r="O513" i="4"/>
  <c r="O512" i="4"/>
  <c r="O511" i="4"/>
  <c r="O510" i="4"/>
  <c r="O509" i="4"/>
  <c r="O508" i="4"/>
  <c r="O507" i="4"/>
  <c r="O506" i="4"/>
  <c r="O505" i="4"/>
  <c r="O504" i="4"/>
  <c r="O503" i="4"/>
  <c r="O502" i="4"/>
  <c r="O501" i="4"/>
  <c r="O500" i="4"/>
  <c r="O499" i="4"/>
  <c r="O498" i="4"/>
  <c r="O497" i="4"/>
  <c r="O496" i="4"/>
  <c r="O495" i="4"/>
  <c r="O494" i="4"/>
  <c r="O493" i="4"/>
  <c r="O492" i="4"/>
  <c r="O491" i="4"/>
  <c r="O490" i="4"/>
  <c r="O489" i="4"/>
  <c r="O488" i="4"/>
  <c r="O487" i="4"/>
  <c r="O486" i="4"/>
  <c r="O485" i="4"/>
  <c r="O484" i="4"/>
  <c r="O483" i="4"/>
  <c r="O482" i="4"/>
  <c r="O481" i="4"/>
  <c r="O480" i="4"/>
  <c r="O479" i="4"/>
  <c r="O478" i="4"/>
  <c r="O477" i="4"/>
  <c r="O476" i="4"/>
  <c r="O475" i="4"/>
  <c r="O474" i="4"/>
  <c r="O473" i="4"/>
  <c r="O472" i="4"/>
  <c r="O471" i="4"/>
  <c r="O470" i="4"/>
  <c r="O469" i="4"/>
  <c r="O468" i="4"/>
  <c r="O467" i="4"/>
  <c r="O466" i="4"/>
  <c r="O465" i="4"/>
  <c r="O464" i="4"/>
  <c r="O463" i="4"/>
  <c r="O462" i="4"/>
  <c r="O461" i="4"/>
  <c r="O460" i="4"/>
  <c r="O459" i="4"/>
  <c r="O458" i="4"/>
  <c r="O457" i="4"/>
  <c r="O456" i="4"/>
  <c r="O455" i="4"/>
  <c r="O454" i="4"/>
  <c r="O453" i="4"/>
  <c r="O452" i="4"/>
  <c r="O451" i="4"/>
  <c r="O450" i="4"/>
  <c r="O449" i="4"/>
  <c r="O448" i="4"/>
  <c r="O447" i="4"/>
  <c r="O446" i="4"/>
  <c r="O445" i="4"/>
  <c r="O444" i="4"/>
  <c r="O443" i="4"/>
  <c r="O442" i="4"/>
  <c r="O441" i="4"/>
  <c r="O440" i="4"/>
  <c r="O439" i="4"/>
  <c r="O438" i="4"/>
  <c r="O437" i="4"/>
  <c r="O436" i="4"/>
  <c r="O435" i="4"/>
  <c r="O434" i="4"/>
  <c r="O433" i="4"/>
  <c r="O432" i="4"/>
  <c r="O431" i="4"/>
  <c r="O430" i="4"/>
  <c r="O429" i="4"/>
  <c r="O428" i="4"/>
  <c r="O427" i="4"/>
  <c r="O426" i="4"/>
  <c r="O425" i="4"/>
  <c r="O424" i="4"/>
  <c r="O423" i="4"/>
  <c r="O422" i="4"/>
  <c r="O421" i="4"/>
  <c r="O420" i="4"/>
  <c r="O419" i="4"/>
  <c r="O418" i="4"/>
  <c r="O417" i="4"/>
  <c r="O416" i="4"/>
  <c r="O415" i="4"/>
  <c r="O414" i="4"/>
  <c r="O413" i="4"/>
  <c r="O412" i="4"/>
  <c r="O411" i="4"/>
  <c r="O410" i="4"/>
  <c r="O409" i="4"/>
  <c r="O408" i="4"/>
  <c r="O407" i="4"/>
  <c r="O406" i="4"/>
  <c r="O405" i="4"/>
  <c r="O404" i="4"/>
  <c r="O403" i="4"/>
  <c r="O402" i="4"/>
  <c r="O401" i="4"/>
  <c r="O400" i="4"/>
  <c r="O399" i="4"/>
  <c r="O398" i="4"/>
  <c r="O397" i="4"/>
  <c r="O396" i="4"/>
  <c r="O395" i="4"/>
  <c r="O394" i="4"/>
  <c r="O393" i="4"/>
  <c r="O392" i="4"/>
  <c r="O391" i="4"/>
  <c r="O390" i="4"/>
  <c r="O389" i="4"/>
  <c r="O388" i="4"/>
  <c r="O387" i="4"/>
  <c r="O386" i="4"/>
  <c r="O385" i="4"/>
  <c r="O384" i="4"/>
  <c r="O383" i="4"/>
  <c r="O382" i="4"/>
  <c r="O381" i="4"/>
  <c r="O380" i="4"/>
  <c r="O379" i="4"/>
  <c r="O378" i="4"/>
  <c r="O377" i="4"/>
  <c r="O376" i="4"/>
  <c r="O375" i="4"/>
  <c r="O374" i="4"/>
  <c r="O373" i="4"/>
  <c r="O372" i="4"/>
  <c r="O371" i="4"/>
  <c r="O370" i="4"/>
  <c r="O369" i="4"/>
  <c r="O368" i="4"/>
  <c r="O367" i="4"/>
  <c r="O366" i="4"/>
  <c r="O365" i="4"/>
  <c r="O364" i="4"/>
  <c r="O363" i="4"/>
  <c r="O362" i="4"/>
  <c r="O361" i="4"/>
  <c r="O360" i="4"/>
  <c r="O359" i="4"/>
  <c r="O358" i="4"/>
  <c r="O357" i="4"/>
  <c r="O356" i="4"/>
  <c r="O355" i="4"/>
  <c r="O354" i="4"/>
  <c r="O353" i="4"/>
  <c r="O352" i="4"/>
  <c r="O351" i="4"/>
  <c r="O350" i="4"/>
  <c r="O349" i="4"/>
  <c r="O348" i="4"/>
  <c r="O347" i="4"/>
  <c r="O346" i="4"/>
  <c r="O345" i="4"/>
  <c r="O344" i="4"/>
  <c r="O343" i="4"/>
  <c r="O342" i="4"/>
  <c r="O341" i="4"/>
  <c r="O340" i="4"/>
  <c r="O339" i="4"/>
  <c r="O338" i="4"/>
  <c r="O337" i="4"/>
  <c r="O336" i="4"/>
  <c r="O335" i="4"/>
  <c r="O334" i="4"/>
  <c r="O333" i="4"/>
  <c r="O332" i="4"/>
  <c r="O331" i="4"/>
  <c r="O330" i="4"/>
  <c r="O329" i="4"/>
  <c r="O328" i="4"/>
  <c r="O327" i="4"/>
  <c r="O326" i="4"/>
  <c r="O325" i="4"/>
  <c r="O324" i="4"/>
  <c r="O323" i="4"/>
  <c r="O322" i="4"/>
  <c r="O321" i="4"/>
  <c r="O320" i="4"/>
  <c r="O319" i="4"/>
  <c r="O318" i="4"/>
  <c r="O317" i="4"/>
  <c r="O316" i="4"/>
  <c r="O315" i="4"/>
  <c r="O314" i="4"/>
  <c r="O313" i="4"/>
  <c r="O312" i="4"/>
  <c r="O311" i="4"/>
  <c r="O310" i="4"/>
  <c r="O309" i="4"/>
  <c r="O308" i="4"/>
  <c r="O307" i="4"/>
  <c r="O306" i="4"/>
  <c r="O305" i="4"/>
  <c r="O304" i="4"/>
  <c r="O303" i="4"/>
  <c r="O302" i="4"/>
  <c r="O301" i="4"/>
  <c r="O300" i="4"/>
  <c r="O299" i="4"/>
  <c r="O298" i="4"/>
  <c r="O297" i="4"/>
  <c r="O296" i="4"/>
  <c r="O295" i="4"/>
  <c r="O294" i="4"/>
  <c r="O293" i="4"/>
  <c r="O292" i="4"/>
  <c r="O291" i="4"/>
  <c r="O290" i="4"/>
  <c r="O289" i="4"/>
  <c r="O288" i="4"/>
  <c r="O287" i="4"/>
  <c r="O286" i="4"/>
  <c r="O285" i="4"/>
  <c r="O284" i="4"/>
  <c r="O283" i="4"/>
  <c r="O282" i="4"/>
  <c r="O281" i="4"/>
  <c r="O280" i="4"/>
  <c r="O279" i="4"/>
  <c r="O278" i="4"/>
  <c r="O277" i="4"/>
  <c r="O276" i="4"/>
  <c r="O275" i="4"/>
  <c r="O274" i="4"/>
  <c r="O273" i="4"/>
  <c r="O272" i="4"/>
  <c r="O271" i="4"/>
  <c r="O270" i="4"/>
  <c r="O269" i="4"/>
  <c r="O268" i="4"/>
  <c r="O267" i="4"/>
  <c r="O266" i="4"/>
  <c r="O265" i="4"/>
  <c r="O264" i="4"/>
  <c r="O263" i="4"/>
  <c r="O262" i="4"/>
  <c r="O261" i="4"/>
  <c r="O260" i="4"/>
  <c r="O259" i="4"/>
  <c r="O258" i="4"/>
  <c r="O257" i="4"/>
  <c r="O256" i="4"/>
  <c r="O255" i="4"/>
  <c r="O254" i="4"/>
  <c r="O253" i="4"/>
  <c r="O252" i="4"/>
  <c r="O251" i="4"/>
  <c r="O250" i="4"/>
  <c r="O249" i="4"/>
  <c r="O248" i="4"/>
  <c r="O247" i="4"/>
  <c r="O246" i="4"/>
  <c r="O245" i="4"/>
  <c r="O244" i="4"/>
  <c r="O243" i="4"/>
  <c r="O242" i="4"/>
  <c r="O241" i="4"/>
  <c r="O240" i="4"/>
  <c r="O239" i="4"/>
  <c r="O238" i="4"/>
  <c r="O237" i="4"/>
  <c r="O236" i="4"/>
  <c r="O235" i="4"/>
  <c r="O234" i="4"/>
  <c r="O233" i="4"/>
  <c r="O232" i="4"/>
  <c r="O231" i="4"/>
  <c r="O230" i="4"/>
  <c r="O229" i="4"/>
  <c r="O228" i="4"/>
  <c r="O227" i="4"/>
  <c r="O226" i="4"/>
  <c r="O225" i="4"/>
  <c r="O224" i="4"/>
  <c r="O223" i="4"/>
  <c r="O222" i="4"/>
  <c r="O221" i="4"/>
  <c r="O220" i="4"/>
  <c r="O219" i="4"/>
  <c r="O218" i="4"/>
  <c r="O217" i="4"/>
  <c r="O216" i="4"/>
  <c r="O215" i="4"/>
  <c r="O214" i="4"/>
  <c r="O213" i="4"/>
  <c r="O212" i="4"/>
  <c r="O211" i="4"/>
  <c r="O210" i="4"/>
  <c r="O209" i="4"/>
  <c r="O208" i="4"/>
  <c r="O207" i="4"/>
  <c r="O206" i="4"/>
  <c r="O205" i="4"/>
  <c r="O204" i="4"/>
  <c r="O203" i="4"/>
  <c r="O202" i="4"/>
  <c r="O201" i="4"/>
  <c r="O200" i="4"/>
  <c r="O199" i="4"/>
  <c r="O198" i="4"/>
  <c r="O197" i="4"/>
  <c r="O196" i="4"/>
  <c r="O195" i="4"/>
  <c r="O194" i="4"/>
  <c r="O193" i="4"/>
  <c r="O192" i="4"/>
  <c r="O191" i="4"/>
  <c r="O190" i="4"/>
  <c r="O189" i="4"/>
  <c r="O188" i="4"/>
  <c r="O187" i="4"/>
  <c r="O186" i="4"/>
  <c r="O185" i="4"/>
  <c r="O184" i="4"/>
  <c r="O183" i="4"/>
  <c r="O182" i="4"/>
  <c r="O181" i="4"/>
  <c r="O180" i="4"/>
  <c r="O179" i="4"/>
  <c r="O178" i="4"/>
  <c r="O177" i="4"/>
  <c r="O176" i="4"/>
  <c r="O175" i="4"/>
  <c r="O174" i="4"/>
  <c r="O173" i="4"/>
  <c r="O172" i="4"/>
  <c r="O171" i="4"/>
  <c r="O170" i="4"/>
  <c r="O169" i="4"/>
  <c r="O168" i="4"/>
  <c r="O167" i="4"/>
  <c r="O166" i="4"/>
  <c r="O165" i="4"/>
  <c r="O164" i="4"/>
  <c r="O163" i="4"/>
  <c r="O162" i="4"/>
  <c r="O161" i="4"/>
  <c r="O160" i="4"/>
  <c r="O159" i="4"/>
  <c r="O158" i="4"/>
  <c r="O157" i="4"/>
  <c r="O156" i="4"/>
  <c r="O155" i="4"/>
  <c r="O154" i="4"/>
  <c r="O153" i="4"/>
  <c r="O152" i="4"/>
  <c r="O151" i="4"/>
  <c r="O150" i="4"/>
  <c r="O149" i="4"/>
  <c r="O148" i="4"/>
  <c r="O147" i="4"/>
  <c r="O146" i="4"/>
  <c r="O145" i="4"/>
  <c r="O144" i="4"/>
  <c r="O143" i="4"/>
  <c r="O142" i="4"/>
  <c r="O141" i="4"/>
  <c r="O140" i="4"/>
  <c r="O139" i="4"/>
  <c r="O138" i="4"/>
  <c r="O137" i="4"/>
  <c r="O136" i="4"/>
  <c r="O135" i="4"/>
  <c r="O134" i="4"/>
  <c r="O133" i="4"/>
  <c r="O132" i="4"/>
  <c r="O131" i="4"/>
  <c r="O130" i="4"/>
  <c r="O129" i="4"/>
  <c r="O128" i="4"/>
  <c r="O127" i="4"/>
  <c r="O126" i="4"/>
  <c r="O125" i="4"/>
  <c r="O124" i="4"/>
  <c r="O123" i="4"/>
  <c r="O122" i="4"/>
  <c r="O121" i="4"/>
  <c r="O120" i="4"/>
  <c r="O119" i="4"/>
  <c r="O118" i="4"/>
  <c r="O117" i="4"/>
  <c r="O116" i="4"/>
  <c r="O115" i="4"/>
  <c r="O114" i="4"/>
  <c r="O113" i="4"/>
  <c r="O112" i="4"/>
  <c r="O111" i="4"/>
  <c r="O110" i="4"/>
  <c r="O109" i="4"/>
  <c r="O108" i="4"/>
  <c r="O107" i="4"/>
  <c r="O106" i="4"/>
  <c r="O105" i="4"/>
  <c r="O104" i="4"/>
  <c r="O103" i="4"/>
  <c r="O102" i="4"/>
  <c r="O101" i="4"/>
  <c r="O100" i="4"/>
  <c r="O99" i="4"/>
  <c r="O98" i="4"/>
  <c r="O97" i="4"/>
  <c r="O96" i="4"/>
  <c r="O95" i="4"/>
  <c r="O94" i="4"/>
  <c r="O93" i="4"/>
  <c r="O92" i="4"/>
  <c r="O91" i="4"/>
  <c r="O90" i="4"/>
  <c r="O89" i="4"/>
  <c r="O88" i="4"/>
  <c r="O87" i="4"/>
  <c r="O86" i="4"/>
  <c r="O85" i="4"/>
  <c r="O84" i="4"/>
  <c r="O83" i="4"/>
  <c r="O82" i="4"/>
  <c r="O81" i="4"/>
  <c r="O80" i="4"/>
  <c r="O79" i="4"/>
  <c r="O78" i="4"/>
  <c r="O77" i="4"/>
  <c r="O76" i="4"/>
  <c r="O75" i="4"/>
  <c r="O74" i="4"/>
  <c r="O73" i="4"/>
  <c r="O72" i="4"/>
  <c r="O71" i="4"/>
  <c r="O70" i="4"/>
  <c r="O69" i="4"/>
  <c r="O68" i="4"/>
  <c r="O67" i="4"/>
  <c r="O66" i="4"/>
  <c r="O65" i="4"/>
  <c r="O64" i="4"/>
  <c r="O63" i="4"/>
  <c r="O62" i="4"/>
  <c r="O61" i="4"/>
  <c r="O60" i="4"/>
  <c r="O59" i="4"/>
  <c r="O58" i="4"/>
  <c r="O57" i="4"/>
  <c r="O56" i="4"/>
  <c r="O55" i="4"/>
  <c r="O54" i="4"/>
  <c r="O53" i="4"/>
  <c r="O52" i="4"/>
  <c r="O51" i="4"/>
  <c r="O50" i="4"/>
  <c r="O49" i="4"/>
  <c r="O48" i="4"/>
  <c r="O47" i="4"/>
  <c r="O46" i="4"/>
  <c r="O45" i="4"/>
  <c r="O44" i="4"/>
  <c r="O43" i="4"/>
  <c r="O42" i="4"/>
  <c r="O41" i="4"/>
  <c r="O40" i="4"/>
  <c r="O39" i="4"/>
  <c r="O38" i="4"/>
  <c r="O37" i="4"/>
  <c r="O36" i="4"/>
  <c r="O35" i="4"/>
  <c r="O34" i="4"/>
  <c r="O33" i="4"/>
  <c r="O32" i="4"/>
  <c r="O31" i="4"/>
  <c r="O30" i="4"/>
  <c r="O29" i="4"/>
  <c r="O28" i="4"/>
  <c r="O27" i="4"/>
  <c r="O26" i="4"/>
  <c r="O25" i="4"/>
  <c r="O24" i="4"/>
  <c r="O23" i="4"/>
  <c r="O22" i="4"/>
  <c r="O21" i="4"/>
  <c r="O20" i="4"/>
  <c r="O19" i="4"/>
  <c r="O18" i="4"/>
  <c r="O17" i="4"/>
  <c r="O16" i="4"/>
  <c r="O15" i="4"/>
  <c r="O14" i="4"/>
  <c r="O13" i="4"/>
  <c r="O12" i="4"/>
  <c r="O11" i="4"/>
  <c r="O10" i="4"/>
  <c r="O8" i="4"/>
  <c r="O7" i="4"/>
  <c r="O6" i="4"/>
  <c r="O5" i="4"/>
  <c r="O4" i="4"/>
  <c r="O3" i="4"/>
  <c r="B68" i="20"/>
  <c r="B224" i="20"/>
  <c r="B450" i="20"/>
  <c r="B158" i="20"/>
  <c r="B255" i="20"/>
  <c r="B352" i="20"/>
  <c r="B437" i="20"/>
  <c r="B26" i="20"/>
  <c r="B141" i="20"/>
  <c r="B323" i="20"/>
  <c r="B112" i="20"/>
  <c r="B213" i="20"/>
  <c r="B308" i="20"/>
  <c r="B395" i="20"/>
  <c r="B73" i="20"/>
  <c r="B242" i="20"/>
  <c r="B42" i="20"/>
  <c r="B163" i="20"/>
  <c r="B260" i="20"/>
  <c r="B358" i="20"/>
  <c r="B440" i="20"/>
  <c r="B91" i="20"/>
  <c r="B270" i="20"/>
  <c r="B129" i="20"/>
  <c r="B94" i="20"/>
  <c r="B253" i="20"/>
  <c r="B399" i="20"/>
  <c r="B70" i="20"/>
  <c r="B33" i="20"/>
  <c r="B221" i="20"/>
  <c r="B370" i="20"/>
  <c r="B104" i="20"/>
  <c r="B77" i="20"/>
  <c r="B240" i="20"/>
  <c r="B387" i="20"/>
  <c r="B157" i="20"/>
  <c r="B107" i="20"/>
  <c r="B262" i="20"/>
  <c r="B408" i="20"/>
  <c r="B56" i="20"/>
  <c r="B411" i="20"/>
  <c r="B210" i="20"/>
  <c r="B362" i="20"/>
  <c r="B58" i="20"/>
  <c r="B413" i="20"/>
  <c r="B212" i="20"/>
  <c r="B363" i="20"/>
  <c r="B87" i="20"/>
  <c r="B54" i="20"/>
  <c r="B232" i="20"/>
  <c r="B379" i="20"/>
  <c r="B22" i="20"/>
  <c r="B313" i="20"/>
  <c r="B176" i="20"/>
  <c r="B334" i="20"/>
  <c r="G4" i="20"/>
  <c r="B79" i="20"/>
  <c r="B257" i="20"/>
  <c r="B53" i="20"/>
  <c r="B170" i="20"/>
  <c r="B268" i="20"/>
  <c r="B364" i="20"/>
  <c r="B447" i="20"/>
  <c r="B35" i="20"/>
  <c r="B169" i="20"/>
  <c r="B355" i="20"/>
  <c r="B128" i="20"/>
  <c r="B227" i="20"/>
  <c r="B325" i="20"/>
  <c r="B405" i="20"/>
  <c r="B86" i="20"/>
  <c r="B266" i="20"/>
  <c r="B60" i="20"/>
  <c r="B175" i="20"/>
  <c r="B272" i="20"/>
  <c r="B367" i="20"/>
  <c r="B451" i="20"/>
  <c r="B13" i="20"/>
  <c r="B105" i="20"/>
  <c r="B294" i="20"/>
  <c r="B183" i="20"/>
  <c r="B122" i="20"/>
  <c r="B274" i="20"/>
  <c r="B421" i="20"/>
  <c r="B99" i="20"/>
  <c r="B71" i="20"/>
  <c r="B239" i="20"/>
  <c r="B386" i="20"/>
  <c r="B149" i="20"/>
  <c r="B106" i="20"/>
  <c r="B261" i="20"/>
  <c r="B404" i="20"/>
  <c r="B197" i="20"/>
  <c r="B132" i="20"/>
  <c r="B279" i="20"/>
  <c r="B424" i="20"/>
  <c r="B78" i="20"/>
  <c r="B48" i="20"/>
  <c r="B230" i="20"/>
  <c r="B376" i="20"/>
  <c r="B80" i="20"/>
  <c r="B50" i="20"/>
  <c r="B231" i="20"/>
  <c r="B377" i="20"/>
  <c r="B121" i="20"/>
  <c r="B90" i="20"/>
  <c r="B249" i="20"/>
  <c r="B397" i="20"/>
  <c r="B39" i="20"/>
  <c r="B382" i="20"/>
  <c r="B196" i="20"/>
  <c r="B349" i="20"/>
  <c r="B8" i="20"/>
  <c r="B97" i="20"/>
  <c r="B283" i="20"/>
  <c r="B81" i="20"/>
  <c r="B182" i="20"/>
  <c r="B277" i="20"/>
  <c r="B372" i="20"/>
  <c r="F5" i="20"/>
  <c r="B46" i="20"/>
  <c r="B187" i="20"/>
  <c r="B400" i="20"/>
  <c r="B139" i="20"/>
  <c r="B235" i="20"/>
  <c r="B335" i="20"/>
  <c r="B419" i="20"/>
  <c r="B11" i="20"/>
  <c r="B103" i="20"/>
  <c r="B287" i="20"/>
  <c r="B85" i="20"/>
  <c r="B190" i="20"/>
  <c r="B282" i="20"/>
  <c r="B375" i="20"/>
  <c r="C5" i="20"/>
  <c r="B21" i="20"/>
  <c r="B123" i="20"/>
  <c r="B312" i="20"/>
  <c r="B223" i="20"/>
  <c r="B142" i="20"/>
  <c r="B293" i="20"/>
  <c r="B436" i="20"/>
  <c r="B136" i="20"/>
  <c r="B102" i="20"/>
  <c r="B256" i="20"/>
  <c r="B401" i="20"/>
  <c r="B194" i="20"/>
  <c r="B127" i="20"/>
  <c r="B276" i="20"/>
  <c r="B423" i="20"/>
  <c r="B252" i="20"/>
  <c r="B145" i="20"/>
  <c r="B301" i="20"/>
  <c r="B443" i="20"/>
  <c r="B113" i="20"/>
  <c r="B88" i="20"/>
  <c r="B244" i="20"/>
  <c r="B390" i="20"/>
  <c r="B117" i="20"/>
  <c r="B89" i="20"/>
  <c r="B248" i="20"/>
  <c r="B392" i="20"/>
  <c r="B173" i="20"/>
  <c r="B116" i="20"/>
  <c r="B269" i="20"/>
  <c r="B416" i="20"/>
  <c r="B66" i="20"/>
  <c r="B442" i="20"/>
  <c r="B217" i="20"/>
  <c r="B368" i="20"/>
  <c r="C8" i="20"/>
  <c r="C97" i="20"/>
  <c r="F97" i="20"/>
  <c r="F81" i="20"/>
  <c r="C170" i="20"/>
  <c r="B16" i="20"/>
  <c r="B114" i="20"/>
  <c r="B302" i="20"/>
  <c r="B93" i="20"/>
  <c r="B198" i="20"/>
  <c r="B291" i="20"/>
  <c r="B381" i="20"/>
  <c r="E4" i="20"/>
  <c r="B61" i="20"/>
  <c r="B206" i="20"/>
  <c r="B426" i="20"/>
  <c r="B150" i="20"/>
  <c r="B245" i="20"/>
  <c r="B345" i="20"/>
  <c r="F345" i="20" s="1"/>
  <c r="B429" i="20"/>
  <c r="B19" i="20"/>
  <c r="B119" i="20"/>
  <c r="B309" i="20"/>
  <c r="B100" i="20"/>
  <c r="B204" i="20"/>
  <c r="B298" i="20"/>
  <c r="B385" i="20"/>
  <c r="C385" i="20" s="1"/>
  <c r="F291" i="20"/>
  <c r="B29" i="20"/>
  <c r="B152" i="20"/>
  <c r="B330" i="20"/>
  <c r="B7" i="20"/>
  <c r="B281" i="20"/>
  <c r="B156" i="20"/>
  <c r="B317" i="20"/>
  <c r="I5" i="20"/>
  <c r="I26" i="20" s="1"/>
  <c r="C421" i="20"/>
  <c r="B185" i="20"/>
  <c r="B124" i="20"/>
  <c r="B275" i="20"/>
  <c r="B422" i="20"/>
  <c r="I447" i="20"/>
  <c r="B246" i="20"/>
  <c r="B144" i="20"/>
  <c r="B300" i="20"/>
  <c r="B441" i="20"/>
  <c r="I441" i="20" s="1"/>
  <c r="I385" i="20"/>
  <c r="B14" i="20"/>
  <c r="B296" i="20"/>
  <c r="B165" i="20"/>
  <c r="B328" i="20"/>
  <c r="E5" i="20"/>
  <c r="B161" i="20"/>
  <c r="B109" i="20"/>
  <c r="B263" i="20"/>
  <c r="B414" i="20"/>
  <c r="I390" i="20"/>
  <c r="B166" i="20"/>
  <c r="B111" i="20"/>
  <c r="B264" i="20"/>
  <c r="B415" i="20"/>
  <c r="B216" i="20"/>
  <c r="B135" i="20"/>
  <c r="B289" i="20"/>
  <c r="B433" i="20"/>
  <c r="F335" i="20"/>
  <c r="I440" i="20"/>
  <c r="B95" i="20"/>
  <c r="B64" i="20"/>
  <c r="B234" i="20"/>
  <c r="B380" i="20"/>
  <c r="F16" i="20"/>
  <c r="I79" i="20"/>
  <c r="E114" i="20"/>
  <c r="C257" i="20"/>
  <c r="I283" i="20"/>
  <c r="F302" i="20"/>
  <c r="C450" i="20"/>
  <c r="I53" i="20"/>
  <c r="E93" i="20"/>
  <c r="I198" i="20"/>
  <c r="F198" i="20"/>
  <c r="E255" i="20"/>
  <c r="B24" i="20"/>
  <c r="I24" i="20" s="1"/>
  <c r="B131" i="20"/>
  <c r="B319" i="20"/>
  <c r="B110" i="20"/>
  <c r="B211" i="20"/>
  <c r="B306" i="20"/>
  <c r="B391" i="20"/>
  <c r="F268" i="20"/>
  <c r="B72" i="20"/>
  <c r="B237" i="20"/>
  <c r="B40" i="20"/>
  <c r="B160" i="20"/>
  <c r="B258" i="20"/>
  <c r="F258" i="20" s="1"/>
  <c r="B357" i="20"/>
  <c r="B439" i="20"/>
  <c r="B27" i="20"/>
  <c r="I27" i="20" s="1"/>
  <c r="B146" i="20"/>
  <c r="B324" i="20"/>
  <c r="B115" i="20"/>
  <c r="B214" i="20"/>
  <c r="B310" i="20"/>
  <c r="B396" i="20"/>
  <c r="C396" i="20" s="1"/>
  <c r="F391" i="20"/>
  <c r="F437" i="20"/>
  <c r="B38" i="20"/>
  <c r="B179" i="20"/>
  <c r="B378" i="20"/>
  <c r="B23" i="20"/>
  <c r="B316" i="20"/>
  <c r="B177" i="20"/>
  <c r="B337" i="20"/>
  <c r="C4" i="20"/>
  <c r="B225" i="20"/>
  <c r="B143" i="20"/>
  <c r="B299" i="20"/>
  <c r="B438" i="20"/>
  <c r="B12" i="20"/>
  <c r="B292" i="20"/>
  <c r="B164" i="20"/>
  <c r="B321" i="20"/>
  <c r="G5" i="20"/>
  <c r="G399" i="20"/>
  <c r="B30" i="20"/>
  <c r="B339" i="20"/>
  <c r="B186" i="20"/>
  <c r="B341" i="20"/>
  <c r="B201" i="20"/>
  <c r="B133" i="20"/>
  <c r="B284" i="20"/>
  <c r="B428" i="20"/>
  <c r="G395" i="20"/>
  <c r="C441" i="20"/>
  <c r="B203" i="20"/>
  <c r="B134" i="20"/>
  <c r="B288" i="20"/>
  <c r="B431" i="20"/>
  <c r="G451" i="20"/>
  <c r="B267" i="20"/>
  <c r="B154" i="20"/>
  <c r="B314" i="20"/>
  <c r="B448" i="20"/>
  <c r="C386" i="20"/>
  <c r="F443" i="20"/>
  <c r="B125" i="20"/>
  <c r="B92" i="20"/>
  <c r="B250" i="20"/>
  <c r="B398" i="20"/>
  <c r="I8" i="20"/>
  <c r="C16" i="20"/>
  <c r="G16" i="20"/>
  <c r="E24" i="20"/>
  <c r="B350" i="20"/>
  <c r="B393" i="20"/>
  <c r="B320" i="20"/>
  <c r="B18" i="20"/>
  <c r="B84" i="20"/>
  <c r="B366" i="20"/>
  <c r="B62" i="20"/>
  <c r="B140" i="20"/>
  <c r="B406" i="20"/>
  <c r="B409" i="20"/>
  <c r="B69" i="20"/>
  <c r="B159" i="20"/>
  <c r="B207" i="20"/>
  <c r="B83" i="20"/>
  <c r="B254" i="20"/>
  <c r="B343" i="20"/>
  <c r="F414" i="20"/>
  <c r="B153" i="20"/>
  <c r="B37" i="20"/>
  <c r="B332" i="20"/>
  <c r="E448" i="20"/>
  <c r="B273" i="20"/>
  <c r="G24" i="20"/>
  <c r="G68" i="20"/>
  <c r="I97" i="20"/>
  <c r="G224" i="20"/>
  <c r="E283" i="20"/>
  <c r="F110" i="20"/>
  <c r="G158" i="20"/>
  <c r="E268" i="20"/>
  <c r="G277" i="20"/>
  <c r="I291" i="20"/>
  <c r="C320" i="20"/>
  <c r="C18" i="20"/>
  <c r="F35" i="20"/>
  <c r="G46" i="20"/>
  <c r="C61" i="20"/>
  <c r="I72" i="20"/>
  <c r="G169" i="20"/>
  <c r="F187" i="20"/>
  <c r="C206" i="20"/>
  <c r="I400" i="20"/>
  <c r="G426" i="20"/>
  <c r="C40" i="20"/>
  <c r="G84" i="20"/>
  <c r="C112" i="20"/>
  <c r="I128" i="20"/>
  <c r="E139" i="20"/>
  <c r="C139" i="20"/>
  <c r="I150" i="20"/>
  <c r="G160" i="20"/>
  <c r="G213" i="20"/>
  <c r="F227" i="20"/>
  <c r="E235" i="20"/>
  <c r="C325" i="20"/>
  <c r="F429" i="20"/>
  <c r="C19" i="20"/>
  <c r="C62" i="20"/>
  <c r="G73" i="20"/>
  <c r="B32" i="20"/>
  <c r="B44" i="20"/>
  <c r="B126" i="20"/>
  <c r="B342" i="20"/>
  <c r="G342" i="20" s="1"/>
  <c r="B101" i="20"/>
  <c r="B174" i="20"/>
  <c r="B384" i="20"/>
  <c r="B189" i="20"/>
  <c r="B228" i="20"/>
  <c r="B430" i="20"/>
  <c r="F447" i="20"/>
  <c r="B52" i="20"/>
  <c r="F357" i="20"/>
  <c r="B219" i="20"/>
  <c r="B9" i="20"/>
  <c r="B205" i="20"/>
  <c r="B51" i="20"/>
  <c r="B340" i="20"/>
  <c r="F422" i="20"/>
  <c r="B229" i="20"/>
  <c r="B344" i="20"/>
  <c r="L5" i="20"/>
  <c r="I451" i="20"/>
  <c r="B192" i="20"/>
  <c r="L391" i="20"/>
  <c r="B311" i="20"/>
  <c r="B365" i="20"/>
  <c r="E365" i="20" s="1"/>
  <c r="I396" i="20"/>
  <c r="B181" i="20"/>
  <c r="B315" i="20"/>
  <c r="I16" i="20"/>
  <c r="L32" i="20"/>
  <c r="C114" i="20"/>
  <c r="L131" i="20"/>
  <c r="E257" i="20"/>
  <c r="F319" i="20"/>
  <c r="I393" i="20"/>
  <c r="F93" i="20"/>
  <c r="F211" i="20"/>
  <c r="F255" i="20"/>
  <c r="I277" i="20"/>
  <c r="E320" i="20"/>
  <c r="I342" i="20"/>
  <c r="G18" i="20"/>
  <c r="C26" i="20"/>
  <c r="I35" i="20"/>
  <c r="E46" i="20"/>
  <c r="F61" i="20"/>
  <c r="C72" i="20"/>
  <c r="G101" i="20"/>
  <c r="I141" i="20"/>
  <c r="E206" i="20"/>
  <c r="C237" i="20"/>
  <c r="C323" i="20"/>
  <c r="E355" i="20"/>
  <c r="E400" i="20"/>
  <c r="E40" i="20"/>
  <c r="E112" i="20"/>
  <c r="L128" i="20"/>
  <c r="L139" i="20"/>
  <c r="E150" i="20"/>
  <c r="C150" i="20"/>
  <c r="I160" i="20"/>
  <c r="G174" i="20"/>
  <c r="I213" i="20"/>
  <c r="L227" i="20"/>
  <c r="I235" i="20"/>
  <c r="E245" i="20"/>
  <c r="L258" i="20"/>
  <c r="L308" i="20"/>
  <c r="L335" i="20"/>
  <c r="G357" i="20"/>
  <c r="E366" i="20"/>
  <c r="E384" i="20"/>
  <c r="F405" i="20"/>
  <c r="L439" i="20"/>
  <c r="I11" i="20"/>
  <c r="E11" i="20"/>
  <c r="C27" i="20"/>
  <c r="B57" i="20"/>
  <c r="B137" i="20"/>
  <c r="B403" i="20"/>
  <c r="B118" i="20"/>
  <c r="B188" i="20"/>
  <c r="B449" i="20"/>
  <c r="B209" i="20"/>
  <c r="B236" i="20"/>
  <c r="B162" i="20"/>
  <c r="B147" i="20"/>
  <c r="B417" i="20"/>
  <c r="B265" i="20"/>
  <c r="B200" i="20"/>
  <c r="D5" i="20"/>
  <c r="B356" i="20"/>
  <c r="B202" i="20"/>
  <c r="B333" i="20"/>
  <c r="B98" i="20"/>
  <c r="B171" i="20"/>
  <c r="B346" i="20"/>
  <c r="D451" i="20"/>
  <c r="B195" i="20"/>
  <c r="B446" i="20"/>
  <c r="B25" i="20"/>
  <c r="I25" i="20" s="1"/>
  <c r="B354" i="20"/>
  <c r="L354" i="20" s="1"/>
  <c r="B180" i="20"/>
  <c r="B55" i="20"/>
  <c r="B373" i="20"/>
  <c r="B31" i="20"/>
  <c r="D262" i="20"/>
  <c r="B259" i="20"/>
  <c r="K5" i="20"/>
  <c r="B360" i="20"/>
  <c r="L268" i="20"/>
  <c r="B418" i="20"/>
  <c r="C24" i="20"/>
  <c r="L44" i="20"/>
  <c r="L79" i="20"/>
  <c r="K114" i="20"/>
  <c r="C162" i="20"/>
  <c r="F257" i="20"/>
  <c r="I81" i="20"/>
  <c r="D110" i="20"/>
  <c r="L137" i="20"/>
  <c r="F158" i="20"/>
  <c r="I268" i="20"/>
  <c r="E291" i="20"/>
  <c r="G352" i="20"/>
  <c r="L18" i="20"/>
  <c r="L26" i="20"/>
  <c r="L35" i="20"/>
  <c r="G61" i="20"/>
  <c r="F72" i="20"/>
  <c r="K101" i="20"/>
  <c r="K118" i="20"/>
  <c r="G141" i="20"/>
  <c r="K169" i="20"/>
  <c r="C187" i="20"/>
  <c r="K237" i="20"/>
  <c r="K265" i="20"/>
  <c r="L323" i="20"/>
  <c r="L355" i="20"/>
  <c r="I426" i="20"/>
  <c r="L84" i="20"/>
  <c r="L98" i="20"/>
  <c r="I112" i="20"/>
  <c r="D128" i="20"/>
  <c r="K200" i="20"/>
  <c r="K213" i="20"/>
  <c r="K227" i="20"/>
  <c r="G245" i="20"/>
  <c r="I258" i="20"/>
  <c r="G308" i="20"/>
  <c r="I325" i="20"/>
  <c r="E335" i="20"/>
  <c r="D357" i="20"/>
  <c r="D419" i="20"/>
  <c r="L449" i="20"/>
  <c r="K11" i="20"/>
  <c r="L19" i="20"/>
  <c r="L27" i="20"/>
  <c r="F62" i="20"/>
  <c r="E73" i="20"/>
  <c r="D86" i="20"/>
  <c r="I119" i="20"/>
  <c r="I146" i="20"/>
  <c r="L146" i="20"/>
  <c r="K171" i="20"/>
  <c r="C189" i="20"/>
  <c r="K242" i="20"/>
  <c r="E242" i="20"/>
  <c r="D266" i="20"/>
  <c r="C287" i="20"/>
  <c r="K309" i="20"/>
  <c r="G324" i="20"/>
  <c r="E324" i="20"/>
  <c r="L356" i="20"/>
  <c r="C42" i="20"/>
  <c r="I42" i="20"/>
  <c r="G60" i="20"/>
  <c r="F85" i="20"/>
  <c r="K100" i="20"/>
  <c r="C115" i="20"/>
  <c r="I115" i="20"/>
  <c r="K140" i="20"/>
  <c r="G175" i="20"/>
  <c r="L175" i="20"/>
  <c r="K190" i="20"/>
  <c r="B425" i="20"/>
  <c r="B271" i="20"/>
  <c r="B402" i="20"/>
  <c r="L402" i="20" s="1"/>
  <c r="B420" i="20"/>
  <c r="B218" i="20"/>
  <c r="B199" i="20"/>
  <c r="B45" i="20"/>
  <c r="H5" i="20"/>
  <c r="B226" i="20"/>
  <c r="B76" i="20"/>
  <c r="B389" i="20"/>
  <c r="B297" i="20"/>
  <c r="B304" i="20"/>
  <c r="D386" i="20"/>
  <c r="B432" i="20"/>
  <c r="H354" i="20"/>
  <c r="B6" i="20"/>
  <c r="B434" i="20"/>
  <c r="K24" i="20"/>
  <c r="K57" i="20"/>
  <c r="E79" i="20"/>
  <c r="F114" i="20"/>
  <c r="E162" i="20"/>
  <c r="I224" i="20"/>
  <c r="K283" i="20"/>
  <c r="K319" i="20"/>
  <c r="K393" i="20"/>
  <c r="K450" i="20"/>
  <c r="C81" i="20"/>
  <c r="L110" i="20"/>
  <c r="H147" i="20"/>
  <c r="I170" i="20"/>
  <c r="C198" i="20"/>
  <c r="D277" i="20"/>
  <c r="G291" i="20"/>
  <c r="K320" i="20"/>
  <c r="F320" i="20"/>
  <c r="B280" i="20"/>
  <c r="B427" i="20"/>
  <c r="K427" i="20" s="1"/>
  <c r="C358" i="20"/>
  <c r="F342" i="20"/>
  <c r="B251" i="20"/>
  <c r="B238" i="20"/>
  <c r="B285" i="20"/>
  <c r="H370" i="20"/>
  <c r="B359" i="20"/>
  <c r="F359" i="20" s="1"/>
  <c r="B108" i="20"/>
  <c r="F262" i="20"/>
  <c r="B148" i="20"/>
  <c r="B353" i="20"/>
  <c r="I401" i="20"/>
  <c r="B172" i="20"/>
  <c r="G362" i="20"/>
  <c r="B220" i="20"/>
  <c r="J5" i="20"/>
  <c r="F24" i="20"/>
  <c r="H57" i="20"/>
  <c r="F79" i="20"/>
  <c r="H114" i="20"/>
  <c r="J224" i="20"/>
  <c r="C283" i="20"/>
  <c r="G319" i="20"/>
  <c r="D393" i="20"/>
  <c r="D450" i="20"/>
  <c r="H93" i="20"/>
  <c r="D126" i="20"/>
  <c r="J147" i="20"/>
  <c r="B184" i="20"/>
  <c r="B412" i="20"/>
  <c r="B82" i="20"/>
  <c r="B374" i="20"/>
  <c r="B151" i="20"/>
  <c r="J151" i="20" s="1"/>
  <c r="D367" i="20"/>
  <c r="C420" i="20"/>
  <c r="B41" i="20"/>
  <c r="B369" i="20"/>
  <c r="B394" i="20"/>
  <c r="B74" i="20"/>
  <c r="H221" i="20"/>
  <c r="B47" i="20"/>
  <c r="E399" i="20"/>
  <c r="B191" i="20"/>
  <c r="I406" i="20"/>
  <c r="B307" i="20"/>
  <c r="F307" i="20" s="1"/>
  <c r="I425" i="20"/>
  <c r="B215" i="20"/>
  <c r="G401" i="20"/>
  <c r="B120" i="20"/>
  <c r="D8" i="20"/>
  <c r="E32" i="20"/>
  <c r="J68" i="20"/>
  <c r="K97" i="20"/>
  <c r="E131" i="20"/>
  <c r="G184" i="20"/>
  <c r="F224" i="20"/>
  <c r="I302" i="20"/>
  <c r="C350" i="20"/>
  <c r="L412" i="20"/>
  <c r="C53" i="20"/>
  <c r="I93" i="20"/>
  <c r="I126" i="20"/>
  <c r="I158" i="20"/>
  <c r="F170" i="20"/>
  <c r="H211" i="20"/>
  <c r="I255" i="20"/>
  <c r="E277" i="20"/>
  <c r="E306" i="20"/>
  <c r="I320" i="20"/>
  <c r="E342" i="20"/>
  <c r="H18" i="20"/>
  <c r="H26" i="20"/>
  <c r="J35" i="20"/>
  <c r="J46" i="20"/>
  <c r="J61" i="20"/>
  <c r="K72" i="20"/>
  <c r="K82" i="20"/>
  <c r="J101" i="20"/>
  <c r="L118" i="20"/>
  <c r="L141" i="20"/>
  <c r="L169" i="20"/>
  <c r="F206" i="20"/>
  <c r="F237" i="20"/>
  <c r="F265" i="20"/>
  <c r="I323" i="20"/>
  <c r="H355" i="20"/>
  <c r="H400" i="20"/>
  <c r="F426" i="20"/>
  <c r="F40" i="20"/>
  <c r="F84" i="20"/>
  <c r="H98" i="20"/>
  <c r="H112" i="20"/>
  <c r="G128" i="20"/>
  <c r="D150" i="20"/>
  <c r="D160" i="20"/>
  <c r="D174" i="20"/>
  <c r="F188" i="20"/>
  <c r="F200" i="20"/>
  <c r="F213" i="20"/>
  <c r="H227" i="20"/>
  <c r="K235" i="20"/>
  <c r="K245" i="20"/>
  <c r="E258" i="20"/>
  <c r="G280" i="20"/>
  <c r="E308" i="20"/>
  <c r="G335" i="20"/>
  <c r="D345" i="20"/>
  <c r="F366" i="20"/>
  <c r="L395" i="20"/>
  <c r="L429" i="20"/>
  <c r="G11" i="20"/>
  <c r="G19" i="20"/>
  <c r="G27" i="20"/>
  <c r="J62" i="20"/>
  <c r="C73" i="20"/>
  <c r="G86" i="20"/>
  <c r="I103" i="20"/>
  <c r="L103" i="20"/>
  <c r="K119" i="20"/>
  <c r="H146" i="20"/>
  <c r="G171" i="20"/>
  <c r="G189" i="20"/>
  <c r="E189" i="20"/>
  <c r="D209" i="20"/>
  <c r="C242" i="20"/>
  <c r="K266" i="20"/>
  <c r="G287" i="20"/>
  <c r="E287" i="20"/>
  <c r="D309" i="20"/>
  <c r="C324" i="20"/>
  <c r="H356" i="20"/>
  <c r="K402" i="20"/>
  <c r="E402" i="20"/>
  <c r="G427" i="20"/>
  <c r="L42" i="20"/>
  <c r="F60" i="20"/>
  <c r="L85" i="20"/>
  <c r="I85" i="20"/>
  <c r="G100" i="20"/>
  <c r="L115" i="20"/>
  <c r="H140" i="20"/>
  <c r="G151" i="20"/>
  <c r="L151" i="20"/>
  <c r="K163" i="20"/>
  <c r="J175" i="20"/>
  <c r="H190" i="20"/>
  <c r="G204" i="20"/>
  <c r="L204" i="20"/>
  <c r="B222" i="20"/>
  <c r="B286" i="20"/>
  <c r="F306" i="20"/>
  <c r="B247" i="20"/>
  <c r="D396" i="20"/>
  <c r="C440" i="20"/>
  <c r="B67" i="20"/>
  <c r="B383" i="20"/>
  <c r="B178" i="20"/>
  <c r="B326" i="20"/>
  <c r="H260" i="20"/>
  <c r="B208" i="20"/>
  <c r="C403" i="20"/>
  <c r="B303" i="20"/>
  <c r="H303" i="20" s="1"/>
  <c r="L421" i="20"/>
  <c r="B331" i="20"/>
  <c r="G429" i="20"/>
  <c r="B348" i="20"/>
  <c r="I421" i="20"/>
  <c r="B138" i="20"/>
  <c r="K16" i="20"/>
  <c r="F32" i="20"/>
  <c r="E68" i="20"/>
  <c r="D97" i="20"/>
  <c r="F131" i="20"/>
  <c r="I202" i="20"/>
  <c r="H224" i="20"/>
  <c r="K302" i="20"/>
  <c r="J350" i="20"/>
  <c r="E412" i="20"/>
  <c r="K53" i="20"/>
  <c r="L93" i="20"/>
  <c r="C126" i="20"/>
  <c r="H158" i="20"/>
  <c r="C182" i="20"/>
  <c r="C211" i="20"/>
  <c r="C268" i="20"/>
  <c r="H277" i="20"/>
  <c r="G306" i="20"/>
  <c r="D333" i="20"/>
  <c r="B305" i="20"/>
  <c r="F364" i="20"/>
  <c r="B388" i="20"/>
  <c r="B407" i="20"/>
  <c r="D342" i="20"/>
  <c r="B34" i="20"/>
  <c r="I4" i="20"/>
  <c r="J8" i="20"/>
  <c r="H68" i="20"/>
  <c r="J202" i="20"/>
  <c r="H319" i="20"/>
  <c r="G81" i="20"/>
  <c r="J158" i="20"/>
  <c r="G211" i="20"/>
  <c r="K268" i="20"/>
  <c r="H306" i="20"/>
  <c r="K342" i="20"/>
  <c r="G26" i="20"/>
  <c r="H35" i="20"/>
  <c r="K46" i="20"/>
  <c r="E72" i="20"/>
  <c r="C82" i="20"/>
  <c r="F118" i="20"/>
  <c r="K141" i="20"/>
  <c r="D169" i="20"/>
  <c r="I206" i="20"/>
  <c r="D237" i="20"/>
  <c r="F286" i="20"/>
  <c r="J305" i="20"/>
  <c r="F355" i="20"/>
  <c r="G400" i="20"/>
  <c r="L426" i="20"/>
  <c r="B59" i="20"/>
  <c r="F403" i="20"/>
  <c r="B351" i="20"/>
  <c r="B43" i="20"/>
  <c r="C447" i="20"/>
  <c r="B168" i="20"/>
  <c r="J16" i="20"/>
  <c r="J97" i="20"/>
  <c r="C202" i="20"/>
  <c r="D350" i="20"/>
  <c r="G93" i="20"/>
  <c r="E158" i="20"/>
  <c r="C222" i="20"/>
  <c r="G268" i="20"/>
  <c r="I306" i="20"/>
  <c r="H342" i="20"/>
  <c r="E26" i="20"/>
  <c r="C35" i="20"/>
  <c r="L46" i="20"/>
  <c r="H72" i="20"/>
  <c r="D82" i="20"/>
  <c r="G118" i="20"/>
  <c r="J141" i="20"/>
  <c r="G187" i="20"/>
  <c r="H206" i="20"/>
  <c r="L237" i="20"/>
  <c r="H286" i="20"/>
  <c r="K305" i="20"/>
  <c r="G355" i="20"/>
  <c r="C400" i="20"/>
  <c r="L40" i="20"/>
  <c r="K59" i="20"/>
  <c r="H84" i="20"/>
  <c r="D112" i="20"/>
  <c r="K128" i="20"/>
  <c r="L150" i="20"/>
  <c r="H160" i="20"/>
  <c r="K174" i="20"/>
  <c r="G200" i="20"/>
  <c r="C213" i="20"/>
  <c r="J235" i="20"/>
  <c r="L245" i="20"/>
  <c r="G271" i="20"/>
  <c r="F325" i="20"/>
  <c r="D335" i="20"/>
  <c r="E357" i="20"/>
  <c r="E395" i="20"/>
  <c r="D449" i="20"/>
  <c r="F11" i="20"/>
  <c r="J27" i="20"/>
  <c r="I62" i="20"/>
  <c r="K73" i="20"/>
  <c r="K86" i="20"/>
  <c r="K103" i="20"/>
  <c r="D119" i="20"/>
  <c r="D146" i="20"/>
  <c r="L171" i="20"/>
  <c r="F189" i="20"/>
  <c r="F209" i="20"/>
  <c r="H266" i="20"/>
  <c r="H287" i="20"/>
  <c r="H309" i="20"/>
  <c r="K324" i="20"/>
  <c r="G356" i="20"/>
  <c r="I402" i="20"/>
  <c r="C427" i="20"/>
  <c r="E42" i="20"/>
  <c r="E60" i="20"/>
  <c r="G85" i="20"/>
  <c r="H100" i="20"/>
  <c r="H115" i="20"/>
  <c r="F151" i="20"/>
  <c r="F163" i="20"/>
  <c r="H175" i="20"/>
  <c r="I190" i="20"/>
  <c r="I204" i="20"/>
  <c r="I214" i="20"/>
  <c r="G228" i="20"/>
  <c r="E228" i="20"/>
  <c r="F236" i="20"/>
  <c r="L247" i="20"/>
  <c r="D260" i="20"/>
  <c r="C272" i="20"/>
  <c r="L282" i="20"/>
  <c r="H298" i="20"/>
  <c r="C310" i="20"/>
  <c r="H346" i="20"/>
  <c r="H358" i="20"/>
  <c r="F367" i="20"/>
  <c r="F385" i="20"/>
  <c r="H406" i="20"/>
  <c r="F440" i="20"/>
  <c r="C419" i="20"/>
  <c r="K13" i="20"/>
  <c r="E21" i="20"/>
  <c r="I21" i="20"/>
  <c r="G29" i="20"/>
  <c r="L38" i="20"/>
  <c r="D52" i="20"/>
  <c r="K91" i="20"/>
  <c r="D105" i="20"/>
  <c r="D123" i="20"/>
  <c r="H123" i="20"/>
  <c r="C152" i="20"/>
  <c r="K179" i="20"/>
  <c r="C195" i="20"/>
  <c r="K218" i="20"/>
  <c r="I218" i="20"/>
  <c r="F251" i="20"/>
  <c r="E270" i="20"/>
  <c r="C294" i="20"/>
  <c r="L312" i="20"/>
  <c r="I312" i="20"/>
  <c r="F330" i="20"/>
  <c r="E378" i="20"/>
  <c r="F409" i="20"/>
  <c r="B295" i="20"/>
  <c r="D440" i="20"/>
  <c r="F280" i="20"/>
  <c r="B371" i="20"/>
  <c r="I371" i="20" s="1"/>
  <c r="B15" i="20"/>
  <c r="B347" i="20"/>
  <c r="K391" i="20"/>
  <c r="H16" i="20"/>
  <c r="G114" i="20"/>
  <c r="L224" i="20"/>
  <c r="G350" i="20"/>
  <c r="E110" i="20"/>
  <c r="L170" i="20"/>
  <c r="E222" i="20"/>
  <c r="C277" i="20"/>
  <c r="G320" i="20"/>
  <c r="C352" i="20"/>
  <c r="F26" i="20"/>
  <c r="K35" i="20"/>
  <c r="E61" i="20"/>
  <c r="J72" i="20"/>
  <c r="L82" i="20"/>
  <c r="E118" i="20"/>
  <c r="D141" i="20"/>
  <c r="K187" i="20"/>
  <c r="K206" i="20"/>
  <c r="E265" i="20"/>
  <c r="J286" i="20"/>
  <c r="E323" i="20"/>
  <c r="I355" i="20"/>
  <c r="K400" i="20"/>
  <c r="D40" i="20"/>
  <c r="E59" i="20"/>
  <c r="I98" i="20"/>
  <c r="K112" i="20"/>
  <c r="F128" i="20"/>
  <c r="F150" i="20"/>
  <c r="C160" i="20"/>
  <c r="D188" i="20"/>
  <c r="H200" i="20"/>
  <c r="E227" i="20"/>
  <c r="C235" i="20"/>
  <c r="F245" i="20"/>
  <c r="K271" i="20"/>
  <c r="C295" i="20"/>
  <c r="H325" i="20"/>
  <c r="G345" i="20"/>
  <c r="L366" i="20"/>
  <c r="F395" i="20"/>
  <c r="F449" i="20"/>
  <c r="I19" i="20"/>
  <c r="K27" i="20"/>
  <c r="G62" i="20"/>
  <c r="D73" i="20"/>
  <c r="L86" i="20"/>
  <c r="D103" i="20"/>
  <c r="L119" i="20"/>
  <c r="F146" i="20"/>
  <c r="F171" i="20"/>
  <c r="K209" i="20"/>
  <c r="H242" i="20"/>
  <c r="G266" i="20"/>
  <c r="K287" i="20"/>
  <c r="I309" i="20"/>
  <c r="I324" i="20"/>
  <c r="I356" i="20"/>
  <c r="C402" i="20"/>
  <c r="E427" i="20"/>
  <c r="G42" i="20"/>
  <c r="H60" i="20"/>
  <c r="H85" i="20"/>
  <c r="I100" i="20"/>
  <c r="J115" i="20"/>
  <c r="F140" i="20"/>
  <c r="H151" i="20"/>
  <c r="I163" i="20"/>
  <c r="I175" i="20"/>
  <c r="J190" i="20"/>
  <c r="C204" i="20"/>
  <c r="J214" i="20"/>
  <c r="H228" i="20"/>
  <c r="J236" i="20"/>
  <c r="G236" i="20"/>
  <c r="E247" i="20"/>
  <c r="L260" i="20"/>
  <c r="K272" i="20"/>
  <c r="I282" i="20"/>
  <c r="I298" i="20"/>
  <c r="K310" i="20"/>
  <c r="J346" i="20"/>
  <c r="J358" i="20"/>
  <c r="G367" i="20"/>
  <c r="G385" i="20"/>
  <c r="E420" i="20"/>
  <c r="H440" i="20"/>
  <c r="C405" i="20"/>
  <c r="D13" i="20"/>
  <c r="C21" i="20"/>
  <c r="J21" i="20"/>
  <c r="H29" i="20"/>
  <c r="F38" i="20"/>
  <c r="C52" i="20"/>
  <c r="F91" i="20"/>
  <c r="E105" i="20"/>
  <c r="E123" i="20"/>
  <c r="J123" i="20"/>
  <c r="G152" i="20"/>
  <c r="C179" i="20"/>
  <c r="D195" i="20"/>
  <c r="L218" i="20"/>
  <c r="J218" i="20"/>
  <c r="H251" i="20"/>
  <c r="G270" i="20"/>
  <c r="D294" i="20"/>
  <c r="K312" i="20"/>
  <c r="J312" i="20"/>
  <c r="H330" i="20"/>
  <c r="G378" i="20"/>
  <c r="E409" i="20"/>
  <c r="B36" i="20"/>
  <c r="D352" i="20"/>
  <c r="D337" i="20"/>
  <c r="H300" i="20"/>
  <c r="B167" i="20"/>
  <c r="B445" i="20"/>
  <c r="G423" i="20"/>
  <c r="H24" i="20"/>
  <c r="J114" i="20"/>
  <c r="D257" i="20"/>
  <c r="K412" i="20"/>
  <c r="H110" i="20"/>
  <c r="E170" i="20"/>
  <c r="G222" i="20"/>
  <c r="K277" i="20"/>
  <c r="H320" i="20"/>
  <c r="K352" i="20"/>
  <c r="E18" i="20"/>
  <c r="J26" i="20"/>
  <c r="D35" i="20"/>
  <c r="H61" i="20"/>
  <c r="D72" i="20"/>
  <c r="F101" i="20"/>
  <c r="H118" i="20"/>
  <c r="C169" i="20"/>
  <c r="I187" i="20"/>
  <c r="L206" i="20"/>
  <c r="I265" i="20"/>
  <c r="C286" i="20"/>
  <c r="F323" i="20"/>
  <c r="C355" i="20"/>
  <c r="L400" i="20"/>
  <c r="I40" i="20"/>
  <c r="G59" i="20"/>
  <c r="J98" i="20"/>
  <c r="F112" i="20"/>
  <c r="D139" i="20"/>
  <c r="G150" i="20"/>
  <c r="K160" i="20"/>
  <c r="G188" i="20"/>
  <c r="J200" i="20"/>
  <c r="D227" i="20"/>
  <c r="D235" i="20"/>
  <c r="G258" i="20"/>
  <c r="L271" i="20"/>
  <c r="L295" i="20"/>
  <c r="G325" i="20"/>
  <c r="C345" i="20"/>
  <c r="D374" i="20"/>
  <c r="L405" i="20"/>
  <c r="D320" i="20"/>
  <c r="H19" i="20"/>
  <c r="D27" i="20"/>
  <c r="K62" i="20"/>
  <c r="L73" i="20"/>
  <c r="E86" i="20"/>
  <c r="F103" i="20"/>
  <c r="F119" i="20"/>
  <c r="E171" i="20"/>
  <c r="H189" i="20"/>
  <c r="G209" i="20"/>
  <c r="G242" i="20"/>
  <c r="I266" i="20"/>
  <c r="I287" i="20"/>
  <c r="C309" i="20"/>
  <c r="J324" i="20"/>
  <c r="K356" i="20"/>
  <c r="D402" i="20"/>
  <c r="H427" i="20"/>
  <c r="H42" i="20"/>
  <c r="I60" i="20"/>
  <c r="J85" i="20"/>
  <c r="J100" i="20"/>
  <c r="I140" i="20"/>
  <c r="I151" i="20"/>
  <c r="J163" i="20"/>
  <c r="C175" i="20"/>
  <c r="C190" i="20"/>
  <c r="K204" i="20"/>
  <c r="C214" i="20"/>
  <c r="I228" i="20"/>
  <c r="I236" i="20"/>
  <c r="H236" i="20"/>
  <c r="F247" i="20"/>
  <c r="E260" i="20"/>
  <c r="E272" i="20"/>
  <c r="C282" i="20"/>
  <c r="C298" i="20"/>
  <c r="B49" i="20"/>
  <c r="B65" i="20"/>
  <c r="B322" i="20"/>
  <c r="I420" i="20"/>
  <c r="B329" i="20"/>
  <c r="H423" i="20"/>
  <c r="D425" i="20"/>
  <c r="J44" i="20"/>
  <c r="C131" i="20"/>
  <c r="L257" i="20"/>
  <c r="E450" i="20"/>
  <c r="G126" i="20"/>
  <c r="K182" i="20"/>
  <c r="C291" i="20"/>
  <c r="C333" i="20"/>
  <c r="H352" i="20"/>
  <c r="F18" i="20"/>
  <c r="K26" i="20"/>
  <c r="F46" i="20"/>
  <c r="I61" i="20"/>
  <c r="L72" i="20"/>
  <c r="E101" i="20"/>
  <c r="J118" i="20"/>
  <c r="E169" i="20"/>
  <c r="E187" i="20"/>
  <c r="E237" i="20"/>
  <c r="J265" i="20"/>
  <c r="L286" i="20"/>
  <c r="G323" i="20"/>
  <c r="K355" i="20"/>
  <c r="J426" i="20"/>
  <c r="K40" i="20"/>
  <c r="H59" i="20"/>
  <c r="C98" i="20"/>
  <c r="G112" i="20"/>
  <c r="F139" i="20"/>
  <c r="J150" i="20"/>
  <c r="E174" i="20"/>
  <c r="H188" i="20"/>
  <c r="E213" i="20"/>
  <c r="G227" i="20"/>
  <c r="L235" i="20"/>
  <c r="J258" i="20"/>
  <c r="E271" i="20"/>
  <c r="H308" i="20"/>
  <c r="K325" i="20"/>
  <c r="K345" i="20"/>
  <c r="L374" i="20"/>
  <c r="L419" i="20"/>
  <c r="D255" i="20"/>
  <c r="J19" i="20"/>
  <c r="E27" i="20"/>
  <c r="G49" i="20"/>
  <c r="L62" i="20"/>
  <c r="F73" i="20"/>
  <c r="F86" i="20"/>
  <c r="E119" i="20"/>
  <c r="J146" i="20"/>
  <c r="J171" i="20"/>
  <c r="K189" i="20"/>
  <c r="I209" i="20"/>
  <c r="I242" i="20"/>
  <c r="C266" i="20"/>
  <c r="J287" i="20"/>
  <c r="J309" i="20"/>
  <c r="D324" i="20"/>
  <c r="J356" i="20"/>
  <c r="J402" i="20"/>
  <c r="I427" i="20"/>
  <c r="J42" i="20"/>
  <c r="J60" i="20"/>
  <c r="F100" i="20"/>
  <c r="D115" i="20"/>
  <c r="J140" i="20"/>
  <c r="C151" i="20"/>
  <c r="C163" i="20"/>
  <c r="K175" i="20"/>
  <c r="D190" i="20"/>
  <c r="D204" i="20"/>
  <c r="K214" i="20"/>
  <c r="J228" i="20"/>
  <c r="C236" i="20"/>
  <c r="J247" i="20"/>
  <c r="G247" i="20"/>
  <c r="F260" i="20"/>
  <c r="F272" i="20"/>
  <c r="K282" i="20"/>
  <c r="K298" i="20"/>
  <c r="F310" i="20"/>
  <c r="I346" i="20"/>
  <c r="I358" i="20"/>
  <c r="E375" i="20"/>
  <c r="E396" i="20"/>
  <c r="H420" i="20"/>
  <c r="F451" i="20"/>
  <c r="C384" i="20"/>
  <c r="F13" i="20"/>
  <c r="D21" i="20"/>
  <c r="C29" i="20"/>
  <c r="J29" i="20"/>
  <c r="H38" i="20"/>
  <c r="F52" i="20"/>
  <c r="C65" i="20"/>
  <c r="H91" i="20"/>
  <c r="K105" i="20"/>
  <c r="L123" i="20"/>
  <c r="D152" i="20"/>
  <c r="J152" i="20"/>
  <c r="G179" i="20"/>
  <c r="G195" i="20"/>
  <c r="D218" i="20"/>
  <c r="L251" i="20"/>
  <c r="J251" i="20"/>
  <c r="H270" i="20"/>
  <c r="G294" i="20"/>
  <c r="D312" i="20"/>
  <c r="K330" i="20"/>
  <c r="J330" i="20"/>
  <c r="F378" i="20"/>
  <c r="H409" i="20"/>
  <c r="B233" i="20"/>
  <c r="B130" i="20"/>
  <c r="B75" i="20"/>
  <c r="B318" i="20"/>
  <c r="D318" i="20" s="1"/>
  <c r="B410" i="20"/>
  <c r="B444" i="20"/>
  <c r="B20" i="20"/>
  <c r="B278" i="20"/>
  <c r="D44" i="20"/>
  <c r="H131" i="20"/>
  <c r="D283" i="20"/>
  <c r="F450" i="20"/>
  <c r="K137" i="20"/>
  <c r="L182" i="20"/>
  <c r="K291" i="20"/>
  <c r="E333" i="20"/>
  <c r="I352" i="20"/>
  <c r="I18" i="20"/>
  <c r="D26" i="20"/>
  <c r="H46" i="20"/>
  <c r="K61" i="20"/>
  <c r="F82" i="20"/>
  <c r="H101" i="20"/>
  <c r="C141" i="20"/>
  <c r="F169" i="20"/>
  <c r="J187" i="20"/>
  <c r="G237" i="20"/>
  <c r="C265" i="20"/>
  <c r="F305" i="20"/>
  <c r="J323" i="20"/>
  <c r="D355" i="20"/>
  <c r="C426" i="20"/>
  <c r="G40" i="20"/>
  <c r="I84" i="20"/>
  <c r="K98" i="20"/>
  <c r="H128" i="20"/>
  <c r="G139" i="20"/>
  <c r="K150" i="20"/>
  <c r="F174" i="20"/>
  <c r="I188" i="20"/>
  <c r="D213" i="20"/>
  <c r="I227" i="20"/>
  <c r="F235" i="20"/>
  <c r="C258" i="20"/>
  <c r="I280" i="20"/>
  <c r="J308" i="20"/>
  <c r="L325" i="20"/>
  <c r="E345" i="20"/>
  <c r="E374" i="20"/>
  <c r="F419" i="20"/>
  <c r="H11" i="20"/>
  <c r="K19" i="20"/>
  <c r="F27" i="20"/>
  <c r="C49" i="20"/>
  <c r="E62" i="20"/>
  <c r="H86" i="20"/>
  <c r="E103" i="20"/>
  <c r="H119" i="20"/>
  <c r="E146" i="20"/>
  <c r="H171" i="20"/>
  <c r="I189" i="20"/>
  <c r="C209" i="20"/>
  <c r="J242" i="20"/>
  <c r="J266" i="20"/>
  <c r="D287" i="20"/>
  <c r="L309" i="20"/>
  <c r="L324" i="20"/>
  <c r="E356" i="20"/>
  <c r="F402" i="20"/>
  <c r="J427" i="20"/>
  <c r="C60" i="20"/>
  <c r="K85" i="20"/>
  <c r="D100" i="20"/>
  <c r="F115" i="20"/>
  <c r="J130" i="20"/>
  <c r="C140" i="20"/>
  <c r="K151" i="20"/>
  <c r="D163" i="20"/>
  <c r="D175" i="20"/>
  <c r="L190" i="20"/>
  <c r="E204" i="20"/>
  <c r="D214" i="20"/>
  <c r="C228" i="20"/>
  <c r="K236" i="20"/>
  <c r="I247" i="20"/>
  <c r="H247" i="20"/>
  <c r="G260" i="20"/>
  <c r="G272" i="20"/>
  <c r="E282" i="20"/>
  <c r="E298" i="20"/>
  <c r="G310" i="20"/>
  <c r="E346" i="20"/>
  <c r="E358" i="20"/>
  <c r="F375" i="20"/>
  <c r="F396" i="20"/>
  <c r="E430" i="20"/>
  <c r="H451" i="20"/>
  <c r="C374" i="20"/>
  <c r="G13" i="20"/>
  <c r="L21" i="20"/>
  <c r="K29" i="20"/>
  <c r="E38" i="20"/>
  <c r="I38" i="20"/>
  <c r="G52" i="20"/>
  <c r="K65" i="20"/>
  <c r="D75" i="20"/>
  <c r="D91" i="20"/>
  <c r="I91" i="20"/>
  <c r="F105" i="20"/>
  <c r="C123" i="20"/>
  <c r="F152" i="20"/>
  <c r="E179" i="20"/>
  <c r="H179" i="20"/>
  <c r="F195" i="20"/>
  <c r="E218" i="20"/>
  <c r="C251" i="20"/>
  <c r="K270" i="20"/>
  <c r="I270" i="20"/>
  <c r="F294" i="20"/>
  <c r="E312" i="20"/>
  <c r="C330" i="20"/>
  <c r="C378" i="20"/>
  <c r="I378" i="20"/>
  <c r="K409" i="20"/>
  <c r="B10" i="20"/>
  <c r="B336" i="20"/>
  <c r="B96" i="20"/>
  <c r="B28" i="20"/>
  <c r="I28" i="20" s="1"/>
  <c r="B361" i="20"/>
  <c r="B17" i="20"/>
  <c r="B193" i="20"/>
  <c r="B290" i="20"/>
  <c r="F68" i="20"/>
  <c r="D184" i="20"/>
  <c r="G302" i="20"/>
  <c r="D53" i="20"/>
  <c r="K147" i="20"/>
  <c r="G198" i="20"/>
  <c r="H255" i="20"/>
  <c r="C306" i="20"/>
  <c r="C342" i="20"/>
  <c r="I10" i="20"/>
  <c r="K18" i="20"/>
  <c r="E35" i="20"/>
  <c r="C46" i="20"/>
  <c r="G72" i="20"/>
  <c r="J82" i="20"/>
  <c r="L101" i="20"/>
  <c r="F141" i="20"/>
  <c r="J169" i="20"/>
  <c r="G206" i="20"/>
  <c r="J237" i="20"/>
  <c r="L265" i="20"/>
  <c r="H305" i="20"/>
  <c r="D323" i="20"/>
  <c r="F400" i="20"/>
  <c r="H426" i="20"/>
  <c r="I59" i="20"/>
  <c r="K84" i="20"/>
  <c r="L112" i="20"/>
  <c r="J128" i="20"/>
  <c r="J139" i="20"/>
  <c r="L160" i="20"/>
  <c r="I174" i="20"/>
  <c r="D200" i="20"/>
  <c r="H213" i="20"/>
  <c r="C227" i="20"/>
  <c r="J245" i="20"/>
  <c r="F271" i="20"/>
  <c r="D280" i="20"/>
  <c r="C308" i="20"/>
  <c r="I335" i="20"/>
  <c r="K357" i="20"/>
  <c r="F384" i="20"/>
  <c r="D439" i="20"/>
  <c r="C11" i="20"/>
  <c r="F19" i="20"/>
  <c r="C36" i="20"/>
  <c r="L49" i="20"/>
  <c r="I73" i="20"/>
  <c r="J86" i="20"/>
  <c r="G103" i="20"/>
  <c r="J119" i="20"/>
  <c r="C146" i="20"/>
  <c r="C171" i="20"/>
  <c r="D189" i="20"/>
  <c r="L209" i="20"/>
  <c r="L242" i="20"/>
  <c r="E266" i="20"/>
  <c r="F287" i="20"/>
  <c r="F309" i="20"/>
  <c r="C356" i="20"/>
  <c r="H402" i="20"/>
  <c r="D427" i="20"/>
  <c r="F42" i="20"/>
  <c r="K60" i="20"/>
  <c r="D85" i="20"/>
  <c r="C100" i="20"/>
  <c r="E115" i="20"/>
  <c r="L130" i="20"/>
  <c r="L140" i="20"/>
  <c r="E151" i="20"/>
  <c r="E163" i="20"/>
  <c r="G190" i="20"/>
  <c r="F204" i="20"/>
  <c r="F214" i="20"/>
  <c r="E214" i="20"/>
  <c r="D228" i="20"/>
  <c r="L236" i="20"/>
  <c r="K247" i="20"/>
  <c r="C260" i="20"/>
  <c r="L272" i="20"/>
  <c r="H282" i="20"/>
  <c r="G282" i="20"/>
  <c r="G298" i="20"/>
  <c r="H336" i="20"/>
  <c r="G336" i="20"/>
  <c r="G346" i="20"/>
  <c r="G358" i="20"/>
  <c r="H375" i="20"/>
  <c r="E406" i="20"/>
  <c r="H430" i="20"/>
  <c r="C439" i="20"/>
  <c r="E13" i="20"/>
  <c r="I13" i="20"/>
  <c r="G21" i="20"/>
  <c r="L29" i="20"/>
  <c r="K38" i="20"/>
  <c r="L52" i="20"/>
  <c r="I52" i="20"/>
  <c r="G65" i="20"/>
  <c r="K75" i="20"/>
  <c r="L91" i="20"/>
  <c r="I105" i="20"/>
  <c r="H105" i="20"/>
  <c r="F123" i="20"/>
  <c r="K152" i="20"/>
  <c r="I179" i="20"/>
  <c r="K195" i="20"/>
  <c r="I195" i="20"/>
  <c r="F218" i="20"/>
  <c r="E251" i="20"/>
  <c r="C270" i="20"/>
  <c r="K294" i="20"/>
  <c r="I294" i="20"/>
  <c r="F312" i="20"/>
  <c r="E330" i="20"/>
  <c r="L378" i="20"/>
  <c r="C409" i="20"/>
  <c r="I409" i="20"/>
  <c r="B435" i="20"/>
  <c r="C302" i="20"/>
  <c r="J18" i="20"/>
  <c r="L187" i="20"/>
  <c r="C84" i="20"/>
  <c r="E160" i="20"/>
  <c r="J227" i="20"/>
  <c r="I308" i="20"/>
  <c r="D429" i="20"/>
  <c r="K49" i="20"/>
  <c r="G119" i="20"/>
  <c r="J209" i="20"/>
  <c r="E309" i="20"/>
  <c r="D42" i="20"/>
  <c r="K115" i="20"/>
  <c r="L163" i="20"/>
  <c r="L214" i="20"/>
  <c r="I260" i="20"/>
  <c r="F298" i="20"/>
  <c r="C336" i="20"/>
  <c r="E367" i="20"/>
  <c r="F430" i="20"/>
  <c r="L13" i="20"/>
  <c r="F29" i="20"/>
  <c r="H52" i="20"/>
  <c r="I75" i="20"/>
  <c r="J105" i="20"/>
  <c r="F179" i="20"/>
  <c r="C218" i="20"/>
  <c r="D270" i="20"/>
  <c r="G312" i="20"/>
  <c r="H378" i="20"/>
  <c r="D435" i="20"/>
  <c r="C7" i="20"/>
  <c r="H23" i="20"/>
  <c r="I41" i="20"/>
  <c r="E41" i="20"/>
  <c r="D67" i="20"/>
  <c r="J96" i="20"/>
  <c r="I129" i="20"/>
  <c r="G183" i="20"/>
  <c r="L183" i="20"/>
  <c r="D223" i="20"/>
  <c r="K281" i="20"/>
  <c r="H316" i="20"/>
  <c r="G388" i="20"/>
  <c r="E388" i="20"/>
  <c r="G446" i="20"/>
  <c r="C69" i="20"/>
  <c r="J94" i="20"/>
  <c r="J122" i="20"/>
  <c r="F122" i="20"/>
  <c r="L142" i="20"/>
  <c r="J156" i="20"/>
  <c r="J177" i="20"/>
  <c r="C199" i="20"/>
  <c r="H199" i="20"/>
  <c r="I219" i="20"/>
  <c r="E238" i="20"/>
  <c r="C253" i="20"/>
  <c r="D274" i="20"/>
  <c r="C274" i="20"/>
  <c r="J293" i="20"/>
  <c r="C317" i="20"/>
  <c r="C337" i="20"/>
  <c r="L351" i="20"/>
  <c r="H369" i="20"/>
  <c r="H383" i="20"/>
  <c r="J399" i="20"/>
  <c r="F421" i="20"/>
  <c r="L436" i="20"/>
  <c r="I419" i="20"/>
  <c r="I345" i="20"/>
  <c r="K9" i="20"/>
  <c r="E25" i="20"/>
  <c r="G45" i="20"/>
  <c r="K70" i="20"/>
  <c r="E99" i="20"/>
  <c r="E136" i="20"/>
  <c r="H136" i="20"/>
  <c r="E185" i="20"/>
  <c r="K225" i="20"/>
  <c r="G285" i="20"/>
  <c r="G322" i="20"/>
  <c r="I322" i="20"/>
  <c r="K394" i="20"/>
  <c r="C33" i="20"/>
  <c r="J71" i="20"/>
  <c r="E102" i="20"/>
  <c r="D102" i="20"/>
  <c r="E124" i="20"/>
  <c r="L143" i="20"/>
  <c r="J159" i="20"/>
  <c r="E178" i="20"/>
  <c r="C178" i="20"/>
  <c r="L205" i="20"/>
  <c r="C221" i="20"/>
  <c r="H239" i="20"/>
  <c r="E256" i="20"/>
  <c r="L256" i="20"/>
  <c r="E275" i="20"/>
  <c r="G299" i="20"/>
  <c r="K318" i="20"/>
  <c r="G354" i="20"/>
  <c r="C370" i="20"/>
  <c r="G386" i="20"/>
  <c r="E401" i="20"/>
  <c r="L422" i="20"/>
  <c r="L438" i="20"/>
  <c r="H345" i="20"/>
  <c r="H417" i="20"/>
  <c r="I12" i="20"/>
  <c r="C28" i="20"/>
  <c r="G28" i="20"/>
  <c r="E51" i="20"/>
  <c r="D74" i="20"/>
  <c r="B338" i="20"/>
  <c r="E338" i="20" s="1"/>
  <c r="H53" i="20"/>
  <c r="G35" i="20"/>
  <c r="I237" i="20"/>
  <c r="E84" i="20"/>
  <c r="F160" i="20"/>
  <c r="G235" i="20"/>
  <c r="D308" i="20"/>
  <c r="F439" i="20"/>
  <c r="H62" i="20"/>
  <c r="C119" i="20"/>
  <c r="E209" i="20"/>
  <c r="H324" i="20"/>
  <c r="K42" i="20"/>
  <c r="G115" i="20"/>
  <c r="F175" i="20"/>
  <c r="F228" i="20"/>
  <c r="K260" i="20"/>
  <c r="I310" i="20"/>
  <c r="F336" i="20"/>
  <c r="H367" i="20"/>
  <c r="E440" i="20"/>
  <c r="H13" i="20"/>
  <c r="I29" i="20"/>
  <c r="J52" i="20"/>
  <c r="E91" i="20"/>
  <c r="I123" i="20"/>
  <c r="L179" i="20"/>
  <c r="G218" i="20"/>
  <c r="F270" i="20"/>
  <c r="H312" i="20"/>
  <c r="J378" i="20"/>
  <c r="L435" i="20"/>
  <c r="K7" i="20"/>
  <c r="J23" i="20"/>
  <c r="G41" i="20"/>
  <c r="F41" i="20"/>
  <c r="L67" i="20"/>
  <c r="C96" i="20"/>
  <c r="G129" i="20"/>
  <c r="E183" i="20"/>
  <c r="F183" i="20"/>
  <c r="L223" i="20"/>
  <c r="J281" i="20"/>
  <c r="I316" i="20"/>
  <c r="D388" i="20"/>
  <c r="F388" i="20"/>
  <c r="H446" i="20"/>
  <c r="K69" i="20"/>
  <c r="I94" i="20"/>
  <c r="I122" i="20"/>
  <c r="G122" i="20"/>
  <c r="E142" i="20"/>
  <c r="C156" i="20"/>
  <c r="D177" i="20"/>
  <c r="K199" i="20"/>
  <c r="I199" i="20"/>
  <c r="J219" i="20"/>
  <c r="F238" i="20"/>
  <c r="K253" i="20"/>
  <c r="F274" i="20"/>
  <c r="K274" i="20"/>
  <c r="C293" i="20"/>
  <c r="K317" i="20"/>
  <c r="K337" i="20"/>
  <c r="C351" i="20"/>
  <c r="I369" i="20"/>
  <c r="I383" i="20"/>
  <c r="C399" i="20"/>
  <c r="G421" i="20"/>
  <c r="E436" i="20"/>
  <c r="I405" i="20"/>
  <c r="I391" i="20"/>
  <c r="D9" i="20"/>
  <c r="C25" i="20"/>
  <c r="J25" i="20"/>
  <c r="H45" i="20"/>
  <c r="F70" i="20"/>
  <c r="I99" i="20"/>
  <c r="D136" i="20"/>
  <c r="J136" i="20"/>
  <c r="G185" i="20"/>
  <c r="L225" i="20"/>
  <c r="E285" i="20"/>
  <c r="C322" i="20"/>
  <c r="J322" i="20"/>
  <c r="F394" i="20"/>
  <c r="K33" i="20"/>
  <c r="L71" i="20"/>
  <c r="F102" i="20"/>
  <c r="L102" i="20"/>
  <c r="G124" i="20"/>
  <c r="E143" i="20"/>
  <c r="D159" i="20"/>
  <c r="D178" i="20"/>
  <c r="K178" i="20"/>
  <c r="E205" i="20"/>
  <c r="K221" i="20"/>
  <c r="I239" i="20"/>
  <c r="G256" i="20"/>
  <c r="F275" i="20"/>
  <c r="D299" i="20"/>
  <c r="H299" i="20"/>
  <c r="E318" i="20"/>
  <c r="G338" i="20"/>
  <c r="E354" i="20"/>
  <c r="K370" i="20"/>
  <c r="H386" i="20"/>
  <c r="F401" i="20"/>
  <c r="E438" i="20"/>
  <c r="H449" i="20"/>
  <c r="H403" i="20"/>
  <c r="J12" i="20"/>
  <c r="K28" i="20"/>
  <c r="H28" i="20"/>
  <c r="F51" i="20"/>
  <c r="L74" i="20"/>
  <c r="K104" i="20"/>
  <c r="I149" i="20"/>
  <c r="H149" i="20"/>
  <c r="F194" i="20"/>
  <c r="D246" i="20"/>
  <c r="J292" i="20"/>
  <c r="C326" i="20"/>
  <c r="H326" i="20"/>
  <c r="L407" i="20"/>
  <c r="B241" i="20"/>
  <c r="D137" i="20"/>
  <c r="I46" i="20"/>
  <c r="D265" i="20"/>
  <c r="F98" i="20"/>
  <c r="H174" i="20"/>
  <c r="I245" i="20"/>
  <c r="E325" i="20"/>
  <c r="J11" i="20"/>
  <c r="H73" i="20"/>
  <c r="G146" i="20"/>
  <c r="D242" i="20"/>
  <c r="F324" i="20"/>
  <c r="D60" i="20"/>
  <c r="K130" i="20"/>
  <c r="E175" i="20"/>
  <c r="K228" i="20"/>
  <c r="J272" i="20"/>
  <c r="E310" i="20"/>
  <c r="D346" i="20"/>
  <c r="G375" i="20"/>
  <c r="E451" i="20"/>
  <c r="J13" i="20"/>
  <c r="C38" i="20"/>
  <c r="L65" i="20"/>
  <c r="C91" i="20"/>
  <c r="K123" i="20"/>
  <c r="D179" i="20"/>
  <c r="H218" i="20"/>
  <c r="J270" i="20"/>
  <c r="L330" i="20"/>
  <c r="D409" i="20"/>
  <c r="B63" i="20"/>
  <c r="G255" i="20"/>
  <c r="H82" i="20"/>
  <c r="K323" i="20"/>
  <c r="E128" i="20"/>
  <c r="K188" i="20"/>
  <c r="D258" i="20"/>
  <c r="C357" i="20"/>
  <c r="E19" i="20"/>
  <c r="I86" i="20"/>
  <c r="I171" i="20"/>
  <c r="L266" i="20"/>
  <c r="F356" i="20"/>
  <c r="C85" i="20"/>
  <c r="D140" i="20"/>
  <c r="E190" i="20"/>
  <c r="D236" i="20"/>
  <c r="D282" i="20"/>
  <c r="F346" i="20"/>
  <c r="H385" i="20"/>
  <c r="C429" i="20"/>
  <c r="F21" i="20"/>
  <c r="G38" i="20"/>
  <c r="H65" i="20"/>
  <c r="J91" i="20"/>
  <c r="E152" i="20"/>
  <c r="L195" i="20"/>
  <c r="D251" i="20"/>
  <c r="E294" i="20"/>
  <c r="G330" i="20"/>
  <c r="L409" i="20"/>
  <c r="I7" i="20"/>
  <c r="E7" i="20"/>
  <c r="D23" i="20"/>
  <c r="C41" i="20"/>
  <c r="G67" i="20"/>
  <c r="E96" i="20"/>
  <c r="L96" i="20"/>
  <c r="K129" i="20"/>
  <c r="J183" i="20"/>
  <c r="H223" i="20"/>
  <c r="C281" i="20"/>
  <c r="E281" i="20"/>
  <c r="D316" i="20"/>
  <c r="K388" i="20"/>
  <c r="F446" i="20"/>
  <c r="G69" i="20"/>
  <c r="E69" i="20"/>
  <c r="D94" i="20"/>
  <c r="H122" i="20"/>
  <c r="J142" i="20"/>
  <c r="G156" i="20"/>
  <c r="L156" i="20"/>
  <c r="F177" i="20"/>
  <c r="L199" i="20"/>
  <c r="F219" i="20"/>
  <c r="D238" i="20"/>
  <c r="I238" i="20"/>
  <c r="E253" i="20"/>
  <c r="E274" i="20"/>
  <c r="H293" i="20"/>
  <c r="H317" i="20"/>
  <c r="E317" i="20"/>
  <c r="H337" i="20"/>
  <c r="F351" i="20"/>
  <c r="K369" i="20"/>
  <c r="K383" i="20"/>
  <c r="L399" i="20"/>
  <c r="I436" i="20"/>
  <c r="I417" i="20"/>
  <c r="I374" i="20"/>
  <c r="I364" i="20"/>
  <c r="G9" i="20"/>
  <c r="L25" i="20"/>
  <c r="L45" i="20"/>
  <c r="D70" i="20"/>
  <c r="I70" i="20"/>
  <c r="F99" i="20"/>
  <c r="L136" i="20"/>
  <c r="K185" i="20"/>
  <c r="C225" i="20"/>
  <c r="I225" i="20"/>
  <c r="F285" i="20"/>
  <c r="K322" i="20"/>
  <c r="C394" i="20"/>
  <c r="G33" i="20"/>
  <c r="E33" i="20"/>
  <c r="E71" i="20"/>
  <c r="I102" i="20"/>
  <c r="F124" i="20"/>
  <c r="C143" i="20"/>
  <c r="H143" i="20"/>
  <c r="F159" i="20"/>
  <c r="G178" i="20"/>
  <c r="J205" i="20"/>
  <c r="G221" i="20"/>
  <c r="E221" i="20"/>
  <c r="K239" i="20"/>
  <c r="J256" i="20"/>
  <c r="C275" i="20"/>
  <c r="L299" i="20"/>
  <c r="J318" i="20"/>
  <c r="D338" i="20"/>
  <c r="C338" i="20"/>
  <c r="C354" i="20"/>
  <c r="E370" i="20"/>
  <c r="C401" i="20"/>
  <c r="H422" i="20"/>
  <c r="H438" i="20"/>
  <c r="H366" i="20"/>
  <c r="H258" i="20"/>
  <c r="H372" i="20"/>
  <c r="E12" i="20"/>
  <c r="D28" i="20"/>
  <c r="K51" i="20"/>
  <c r="C74" i="20"/>
  <c r="B155" i="20"/>
  <c r="H291" i="20"/>
  <c r="I101" i="20"/>
  <c r="J400" i="20"/>
  <c r="C128" i="20"/>
  <c r="L200" i="20"/>
  <c r="H271" i="20"/>
  <c r="L357" i="20"/>
  <c r="C86" i="20"/>
  <c r="D171" i="20"/>
  <c r="F266" i="20"/>
  <c r="G402" i="20"/>
  <c r="E85" i="20"/>
  <c r="E140" i="20"/>
  <c r="H204" i="20"/>
  <c r="E236" i="20"/>
  <c r="J282" i="20"/>
  <c r="D358" i="20"/>
  <c r="H396" i="20"/>
  <c r="C395" i="20"/>
  <c r="H21" i="20"/>
  <c r="J38" i="20"/>
  <c r="L75" i="20"/>
  <c r="L105" i="20"/>
  <c r="I152" i="20"/>
  <c r="E195" i="20"/>
  <c r="G251" i="20"/>
  <c r="H294" i="20"/>
  <c r="I330" i="20"/>
  <c r="J409" i="20"/>
  <c r="G7" i="20"/>
  <c r="F7" i="20"/>
  <c r="L23" i="20"/>
  <c r="K41" i="20"/>
  <c r="J67" i="20"/>
  <c r="H96" i="20"/>
  <c r="F96" i="20"/>
  <c r="D129" i="20"/>
  <c r="C183" i="20"/>
  <c r="I223" i="20"/>
  <c r="G281" i="20"/>
  <c r="F281" i="20"/>
  <c r="L316" i="20"/>
  <c r="L388" i="20"/>
  <c r="K446" i="20"/>
  <c r="H69" i="20"/>
  <c r="F69" i="20"/>
  <c r="L94" i="20"/>
  <c r="C122" i="20"/>
  <c r="C142" i="20"/>
  <c r="F156" i="20"/>
  <c r="E156" i="20"/>
  <c r="G177" i="20"/>
  <c r="E199" i="20"/>
  <c r="L219" i="20"/>
  <c r="L238" i="20"/>
  <c r="J238" i="20"/>
  <c r="F253" i="20"/>
  <c r="G274" i="20"/>
  <c r="E293" i="20"/>
  <c r="J317" i="20"/>
  <c r="F337" i="20"/>
  <c r="I337" i="20"/>
  <c r="G351" i="20"/>
  <c r="D369" i="20"/>
  <c r="D383" i="20"/>
  <c r="F399" i="20"/>
  <c r="C436" i="20"/>
  <c r="I449" i="20"/>
  <c r="I366" i="20"/>
  <c r="I319" i="20"/>
  <c r="H9" i="20"/>
  <c r="F25" i="20"/>
  <c r="C45" i="20"/>
  <c r="E70" i="20"/>
  <c r="J70" i="20"/>
  <c r="G99" i="20"/>
  <c r="C136" i="20"/>
  <c r="L185" i="20"/>
  <c r="D225" i="20"/>
  <c r="J225" i="20"/>
  <c r="H285" i="20"/>
  <c r="L322" i="20"/>
  <c r="E394" i="20"/>
  <c r="H33" i="20"/>
  <c r="F33" i="20"/>
  <c r="F71" i="20"/>
  <c r="J102" i="20"/>
  <c r="J124" i="20"/>
  <c r="K143" i="20"/>
  <c r="I143" i="20"/>
  <c r="G159" i="20"/>
  <c r="H178" i="20"/>
  <c r="C205" i="20"/>
  <c r="F221" i="20"/>
  <c r="F239" i="20"/>
  <c r="D239" i="20"/>
  <c r="C256" i="20"/>
  <c r="K275" i="20"/>
  <c r="C299" i="20"/>
  <c r="L318" i="20"/>
  <c r="F338" i="20"/>
  <c r="K338" i="20"/>
  <c r="K354" i="20"/>
  <c r="F370" i="20"/>
  <c r="K401" i="20"/>
  <c r="I422" i="20"/>
  <c r="I438" i="20"/>
  <c r="H310" i="20"/>
  <c r="H447" i="20"/>
  <c r="H364" i="20"/>
  <c r="F12" i="20"/>
  <c r="L28" i="20"/>
  <c r="I51" i="20"/>
  <c r="J74" i="20"/>
  <c r="H74" i="20"/>
  <c r="E104" i="20"/>
  <c r="C149" i="20"/>
  <c r="J194" i="20"/>
  <c r="C246" i="20"/>
  <c r="H246" i="20"/>
  <c r="F292" i="20"/>
  <c r="D326" i="20"/>
  <c r="F407" i="20"/>
  <c r="E43" i="20"/>
  <c r="B243" i="20"/>
  <c r="L61" i="20"/>
  <c r="K139" i="20"/>
  <c r="L384" i="20"/>
  <c r="K146" i="20"/>
  <c r="L427" i="20"/>
  <c r="G214" i="20"/>
  <c r="F420" i="20"/>
  <c r="E52" i="20"/>
  <c r="G123" i="20"/>
  <c r="L270" i="20"/>
  <c r="J435" i="20"/>
  <c r="I23" i="20"/>
  <c r="D41" i="20"/>
  <c r="I96" i="20"/>
  <c r="L129" i="20"/>
  <c r="K223" i="20"/>
  <c r="C316" i="20"/>
  <c r="C388" i="20"/>
  <c r="J69" i="20"/>
  <c r="E94" i="20"/>
  <c r="K142" i="20"/>
  <c r="K177" i="20"/>
  <c r="F199" i="20"/>
  <c r="C238" i="20"/>
  <c r="G253" i="20"/>
  <c r="G293" i="20"/>
  <c r="J337" i="20"/>
  <c r="F369" i="20"/>
  <c r="L383" i="20"/>
  <c r="K436" i="20"/>
  <c r="I211" i="20"/>
  <c r="I9" i="20"/>
  <c r="K45" i="20"/>
  <c r="L99" i="20"/>
  <c r="K136" i="20"/>
  <c r="G225" i="20"/>
  <c r="I285" i="20"/>
  <c r="G394" i="20"/>
  <c r="D71" i="20"/>
  <c r="C102" i="20"/>
  <c r="J143" i="20"/>
  <c r="H159" i="20"/>
  <c r="K205" i="20"/>
  <c r="E239" i="20"/>
  <c r="K256" i="20"/>
  <c r="K299" i="20"/>
  <c r="H338" i="20"/>
  <c r="I370" i="20"/>
  <c r="D401" i="20"/>
  <c r="J438" i="20"/>
  <c r="H437" i="20"/>
  <c r="G12" i="20"/>
  <c r="D51" i="20"/>
  <c r="G74" i="20"/>
  <c r="H104" i="20"/>
  <c r="E194" i="20"/>
  <c r="E246" i="20"/>
  <c r="C292" i="20"/>
  <c r="I326" i="20"/>
  <c r="I407" i="20"/>
  <c r="G43" i="20"/>
  <c r="C77" i="20"/>
  <c r="J77" i="20"/>
  <c r="L106" i="20"/>
  <c r="G127" i="20"/>
  <c r="F144" i="20"/>
  <c r="H164" i="20"/>
  <c r="G164" i="20"/>
  <c r="D180" i="20"/>
  <c r="E207" i="20"/>
  <c r="C226" i="20"/>
  <c r="G240" i="20"/>
  <c r="F240" i="20"/>
  <c r="G261" i="20"/>
  <c r="C276" i="20"/>
  <c r="E300" i="20"/>
  <c r="H321" i="20"/>
  <c r="F340" i="20"/>
  <c r="L340" i="20"/>
  <c r="G359" i="20"/>
  <c r="F371" i="20"/>
  <c r="J387" i="20"/>
  <c r="I404" i="20"/>
  <c r="K423" i="20"/>
  <c r="G441" i="20"/>
  <c r="G366" i="20"/>
  <c r="G417" i="20"/>
  <c r="F14" i="20"/>
  <c r="G30" i="20"/>
  <c r="D30" i="20"/>
  <c r="C55" i="20"/>
  <c r="I76" i="20"/>
  <c r="G108" i="20"/>
  <c r="C157" i="20"/>
  <c r="D157" i="20"/>
  <c r="C197" i="20"/>
  <c r="H252" i="20"/>
  <c r="I296" i="20"/>
  <c r="E339" i="20"/>
  <c r="D339" i="20"/>
  <c r="C410" i="20"/>
  <c r="C47" i="20"/>
  <c r="H83" i="20"/>
  <c r="L107" i="20"/>
  <c r="G107" i="20"/>
  <c r="G132" i="20"/>
  <c r="J145" i="20"/>
  <c r="J165" i="20"/>
  <c r="C186" i="20"/>
  <c r="H186" i="20"/>
  <c r="I208" i="20"/>
  <c r="C229" i="20"/>
  <c r="K241" i="20"/>
  <c r="L262" i="20"/>
  <c r="F279" i="20"/>
  <c r="K279" i="20"/>
  <c r="D301" i="20"/>
  <c r="K328" i="20"/>
  <c r="J341" i="20"/>
  <c r="H361" i="20"/>
  <c r="F373" i="20"/>
  <c r="L373" i="20"/>
  <c r="L389" i="20"/>
  <c r="F408" i="20"/>
  <c r="K424" i="20"/>
  <c r="B327" i="20"/>
  <c r="E141" i="20"/>
  <c r="C174" i="20"/>
  <c r="D395" i="20"/>
  <c r="J189" i="20"/>
  <c r="L60" i="20"/>
  <c r="H214" i="20"/>
  <c r="D336" i="20"/>
  <c r="C449" i="20"/>
  <c r="K52" i="20"/>
  <c r="L152" i="20"/>
  <c r="L294" i="20"/>
  <c r="K435" i="20"/>
  <c r="G23" i="20"/>
  <c r="L41" i="20"/>
  <c r="G96" i="20"/>
  <c r="F129" i="20"/>
  <c r="J223" i="20"/>
  <c r="G316" i="20"/>
  <c r="J388" i="20"/>
  <c r="I69" i="20"/>
  <c r="F94" i="20"/>
  <c r="D142" i="20"/>
  <c r="C177" i="20"/>
  <c r="G199" i="20"/>
  <c r="K238" i="20"/>
  <c r="H253" i="20"/>
  <c r="I293" i="20"/>
  <c r="L337" i="20"/>
  <c r="G369" i="20"/>
  <c r="I399" i="20"/>
  <c r="D436" i="20"/>
  <c r="I357" i="20"/>
  <c r="J9" i="20"/>
  <c r="F45" i="20"/>
  <c r="D99" i="20"/>
  <c r="G136" i="20"/>
  <c r="E225" i="20"/>
  <c r="J285" i="20"/>
  <c r="H394" i="20"/>
  <c r="I71" i="20"/>
  <c r="K102" i="20"/>
  <c r="D143" i="20"/>
  <c r="I159" i="20"/>
  <c r="D205" i="20"/>
  <c r="G239" i="20"/>
  <c r="D256" i="20"/>
  <c r="E299" i="20"/>
  <c r="L338" i="20"/>
  <c r="J370" i="20"/>
  <c r="L401" i="20"/>
  <c r="D438" i="20"/>
  <c r="H425" i="20"/>
  <c r="H12" i="20"/>
  <c r="L51" i="20"/>
  <c r="C104" i="20"/>
  <c r="G149" i="20"/>
  <c r="C194" i="20"/>
  <c r="I246" i="20"/>
  <c r="I292" i="20"/>
  <c r="J326" i="20"/>
  <c r="J407" i="20"/>
  <c r="I43" i="20"/>
  <c r="D77" i="20"/>
  <c r="G106" i="20"/>
  <c r="E106" i="20"/>
  <c r="I127" i="20"/>
  <c r="G144" i="20"/>
  <c r="J164" i="20"/>
  <c r="G180" i="20"/>
  <c r="L180" i="20"/>
  <c r="F207" i="20"/>
  <c r="D226" i="20"/>
  <c r="I240" i="20"/>
  <c r="D261" i="20"/>
  <c r="H261" i="20"/>
  <c r="K276" i="20"/>
  <c r="G300" i="20"/>
  <c r="L321" i="20"/>
  <c r="H340" i="20"/>
  <c r="E340" i="20"/>
  <c r="H359" i="20"/>
  <c r="G371" i="20"/>
  <c r="C387" i="20"/>
  <c r="J404" i="20"/>
  <c r="D423" i="20"/>
  <c r="H441" i="20"/>
  <c r="G440" i="20"/>
  <c r="G403" i="20"/>
  <c r="H14" i="20"/>
  <c r="E30" i="20"/>
  <c r="L30" i="20"/>
  <c r="K55" i="20"/>
  <c r="J76" i="20"/>
  <c r="K108" i="20"/>
  <c r="E157" i="20"/>
  <c r="L157" i="20"/>
  <c r="K197" i="20"/>
  <c r="J252" i="20"/>
  <c r="G296" i="20"/>
  <c r="F339" i="20"/>
  <c r="L339" i="20"/>
  <c r="K410" i="20"/>
  <c r="K47" i="20"/>
  <c r="I83" i="20"/>
  <c r="D107" i="20"/>
  <c r="H107" i="20"/>
  <c r="J132" i="20"/>
  <c r="C145" i="20"/>
  <c r="D165" i="20"/>
  <c r="K186" i="20"/>
  <c r="I186" i="20"/>
  <c r="J208" i="20"/>
  <c r="D229" i="20"/>
  <c r="D241" i="20"/>
  <c r="E262" i="20"/>
  <c r="H279" i="20"/>
  <c r="F301" i="20"/>
  <c r="L301" i="20"/>
  <c r="E328" i="20"/>
  <c r="I341" i="20"/>
  <c r="L361" i="20"/>
  <c r="G373" i="20"/>
  <c r="G389" i="20"/>
  <c r="E389" i="20"/>
  <c r="G408" i="20"/>
  <c r="D424" i="20"/>
  <c r="C364" i="20"/>
  <c r="I169" i="20"/>
  <c r="L213" i="20"/>
  <c r="L11" i="20"/>
  <c r="L189" i="20"/>
  <c r="L100" i="20"/>
  <c r="L228" i="20"/>
  <c r="J336" i="20"/>
  <c r="C366" i="20"/>
  <c r="F65" i="20"/>
  <c r="H152" i="20"/>
  <c r="J294" i="20"/>
  <c r="E435" i="20"/>
  <c r="C23" i="20"/>
  <c r="I67" i="20"/>
  <c r="K96" i="20"/>
  <c r="H183" i="20"/>
  <c r="E223" i="20"/>
  <c r="K316" i="20"/>
  <c r="D446" i="20"/>
  <c r="D69" i="20"/>
  <c r="L122" i="20"/>
  <c r="F142" i="20"/>
  <c r="L177" i="20"/>
  <c r="D219" i="20"/>
  <c r="G238" i="20"/>
  <c r="H274" i="20"/>
  <c r="K293" i="20"/>
  <c r="E337" i="20"/>
  <c r="J369" i="20"/>
  <c r="K399" i="20"/>
  <c r="F436" i="20"/>
  <c r="I381" i="20"/>
  <c r="K25" i="20"/>
  <c r="I45" i="20"/>
  <c r="C99" i="20"/>
  <c r="I185" i="20"/>
  <c r="F225" i="20"/>
  <c r="D322" i="20"/>
  <c r="I394" i="20"/>
  <c r="C71" i="20"/>
  <c r="D124" i="20"/>
  <c r="F143" i="20"/>
  <c r="L178" i="20"/>
  <c r="F205" i="20"/>
  <c r="J239" i="20"/>
  <c r="G275" i="20"/>
  <c r="I299" i="20"/>
  <c r="I338" i="20"/>
  <c r="D370" i="20"/>
  <c r="H401" i="20"/>
  <c r="H405" i="20"/>
  <c r="H391" i="20"/>
  <c r="G51" i="20"/>
  <c r="G104" i="20"/>
  <c r="J149" i="20"/>
  <c r="I194" i="20"/>
  <c r="J246" i="20"/>
  <c r="K292" i="20"/>
  <c r="K326" i="20"/>
  <c r="K407" i="20"/>
  <c r="J43" i="20"/>
  <c r="F77" i="20"/>
  <c r="H106" i="20"/>
  <c r="F106" i="20"/>
  <c r="D127" i="20"/>
  <c r="H144" i="20"/>
  <c r="C164" i="20"/>
  <c r="F180" i="20"/>
  <c r="E180" i="20"/>
  <c r="G207" i="20"/>
  <c r="E226" i="20"/>
  <c r="J240" i="20"/>
  <c r="F261" i="20"/>
  <c r="I261" i="20"/>
  <c r="E276" i="20"/>
  <c r="I300" i="20"/>
  <c r="E321" i="20"/>
  <c r="J340" i="20"/>
  <c r="J359" i="20"/>
  <c r="I359" i="20"/>
  <c r="H371" i="20"/>
  <c r="K387" i="20"/>
  <c r="D404" i="20"/>
  <c r="L423" i="20"/>
  <c r="J441" i="20"/>
  <c r="G419" i="20"/>
  <c r="G391" i="20"/>
  <c r="I14" i="20"/>
  <c r="F30" i="20"/>
  <c r="F55" i="20"/>
  <c r="D55" i="20"/>
  <c r="C76" i="20"/>
  <c r="E108" i="20"/>
  <c r="F157" i="20"/>
  <c r="I197" i="20"/>
  <c r="D197" i="20"/>
  <c r="C252" i="20"/>
  <c r="H296" i="20"/>
  <c r="I339" i="20"/>
  <c r="F410" i="20"/>
  <c r="D410" i="20"/>
  <c r="D47" i="20"/>
  <c r="C83" i="20"/>
  <c r="I107" i="20"/>
  <c r="D132" i="20"/>
  <c r="C132" i="20"/>
  <c r="K145" i="20"/>
  <c r="L165" i="20"/>
  <c r="C68" i="20"/>
  <c r="G305" i="20"/>
  <c r="J213" i="20"/>
  <c r="G36" i="20"/>
  <c r="F242" i="20"/>
  <c r="E100" i="20"/>
  <c r="C247" i="20"/>
  <c r="K346" i="20"/>
  <c r="C13" i="20"/>
  <c r="C75" i="20"/>
  <c r="J179" i="20"/>
  <c r="C312" i="20"/>
  <c r="F435" i="20"/>
  <c r="K23" i="20"/>
  <c r="H67" i="20"/>
  <c r="D96" i="20"/>
  <c r="I183" i="20"/>
  <c r="F223" i="20"/>
  <c r="J316" i="20"/>
  <c r="C446" i="20"/>
  <c r="L69" i="20"/>
  <c r="D122" i="20"/>
  <c r="G142" i="20"/>
  <c r="E177" i="20"/>
  <c r="E219" i="20"/>
  <c r="H238" i="20"/>
  <c r="L274" i="20"/>
  <c r="F317" i="20"/>
  <c r="G337" i="20"/>
  <c r="C369" i="20"/>
  <c r="D399" i="20"/>
  <c r="H436" i="20"/>
  <c r="I372" i="20"/>
  <c r="D25" i="20"/>
  <c r="J45" i="20"/>
  <c r="K99" i="20"/>
  <c r="F185" i="20"/>
  <c r="H225" i="20"/>
  <c r="E322" i="20"/>
  <c r="J394" i="20"/>
  <c r="K71" i="20"/>
  <c r="C124" i="20"/>
  <c r="G143" i="20"/>
  <c r="F178" i="20"/>
  <c r="G205" i="20"/>
  <c r="C239" i="20"/>
  <c r="I275" i="20"/>
  <c r="H318" i="20"/>
  <c r="J338" i="20"/>
  <c r="L370" i="20"/>
  <c r="G422" i="20"/>
  <c r="H384" i="20"/>
  <c r="H381" i="20"/>
  <c r="J28" i="20"/>
  <c r="H51" i="20"/>
  <c r="J104" i="20"/>
  <c r="K149" i="20"/>
  <c r="K194" i="20"/>
  <c r="K246" i="20"/>
  <c r="D292" i="20"/>
  <c r="L326" i="20"/>
  <c r="D407" i="20"/>
  <c r="K162" i="20"/>
  <c r="E426" i="20"/>
  <c r="C245" i="20"/>
  <c r="K36" i="20"/>
  <c r="L287" i="20"/>
  <c r="H130" i="20"/>
  <c r="D247" i="20"/>
  <c r="K358" i="20"/>
  <c r="K21" i="20"/>
  <c r="F75" i="20"/>
  <c r="H195" i="20"/>
  <c r="D330" i="20"/>
  <c r="H7" i="20"/>
  <c r="E23" i="20"/>
  <c r="C67" i="20"/>
  <c r="E129" i="20"/>
  <c r="K183" i="20"/>
  <c r="H281" i="20"/>
  <c r="E316" i="20"/>
  <c r="L446" i="20"/>
  <c r="H94" i="20"/>
  <c r="K122" i="20"/>
  <c r="H156" i="20"/>
  <c r="H177" i="20"/>
  <c r="G219" i="20"/>
  <c r="J253" i="20"/>
  <c r="I274" i="20"/>
  <c r="G317" i="20"/>
  <c r="J351" i="20"/>
  <c r="L369" i="20"/>
  <c r="D421" i="20"/>
  <c r="I439" i="20"/>
  <c r="E9" i="20"/>
  <c r="G25" i="20"/>
  <c r="L70" i="20"/>
  <c r="H99" i="20"/>
  <c r="C185" i="20"/>
  <c r="C285" i="20"/>
  <c r="F322" i="20"/>
  <c r="J33" i="20"/>
  <c r="G71" i="20"/>
  <c r="K124" i="20"/>
  <c r="K159" i="20"/>
  <c r="I178" i="20"/>
  <c r="I221" i="20"/>
  <c r="L239" i="20"/>
  <c r="D275" i="20"/>
  <c r="I318" i="20"/>
  <c r="D354" i="20"/>
  <c r="E386" i="20"/>
  <c r="J422" i="20"/>
  <c r="H280" i="20"/>
  <c r="K12" i="20"/>
  <c r="E28" i="20"/>
  <c r="K74" i="20"/>
  <c r="I104" i="20"/>
  <c r="L149" i="20"/>
  <c r="D194" i="20"/>
  <c r="L246" i="20"/>
  <c r="L292" i="20"/>
  <c r="F326" i="20"/>
  <c r="G407" i="20"/>
  <c r="K43" i="20"/>
  <c r="E77" i="20"/>
  <c r="I106" i="20"/>
  <c r="H127" i="20"/>
  <c r="E127" i="20"/>
  <c r="J144" i="20"/>
  <c r="D164" i="20"/>
  <c r="I180" i="20"/>
  <c r="K207" i="20"/>
  <c r="I207" i="20"/>
  <c r="G226" i="20"/>
  <c r="K240" i="20"/>
  <c r="L261" i="20"/>
  <c r="H276" i="20"/>
  <c r="G276" i="20"/>
  <c r="C300" i="20"/>
  <c r="I321" i="20"/>
  <c r="I340" i="20"/>
  <c r="C359" i="20"/>
  <c r="K371" i="20"/>
  <c r="F387" i="20"/>
  <c r="L387" i="20"/>
  <c r="E423" i="20"/>
  <c r="K441" i="20"/>
  <c r="G430" i="20"/>
  <c r="G140" i="20"/>
  <c r="G372" i="20"/>
  <c r="C14" i="20"/>
  <c r="I30" i="20"/>
  <c r="E55" i="20"/>
  <c r="F76" i="20"/>
  <c r="D76" i="20"/>
  <c r="I108" i="20"/>
  <c r="H157" i="20"/>
  <c r="E197" i="20"/>
  <c r="E252" i="20"/>
  <c r="D252" i="20"/>
  <c r="C296" i="20"/>
  <c r="H339" i="20"/>
  <c r="G410" i="20"/>
  <c r="G47" i="20"/>
  <c r="E47" i="20"/>
  <c r="D83" i="20"/>
  <c r="C107" i="20"/>
  <c r="F132" i="20"/>
  <c r="G145" i="20"/>
  <c r="L145" i="20"/>
  <c r="F165" i="20"/>
  <c r="K198" i="20"/>
  <c r="H40" i="20"/>
  <c r="C280" i="20"/>
  <c r="J73" i="20"/>
  <c r="G309" i="20"/>
  <c r="D151" i="20"/>
  <c r="I272" i="20"/>
  <c r="F358" i="20"/>
  <c r="E29" i="20"/>
  <c r="G91" i="20"/>
  <c r="J195" i="20"/>
  <c r="K378" i="20"/>
  <c r="J7" i="20"/>
  <c r="F23" i="20"/>
  <c r="K67" i="20"/>
  <c r="H129" i="20"/>
  <c r="D183" i="20"/>
  <c r="I281" i="20"/>
  <c r="F316" i="20"/>
  <c r="E446" i="20"/>
  <c r="G94" i="20"/>
  <c r="E122" i="20"/>
  <c r="I156" i="20"/>
  <c r="I177" i="20"/>
  <c r="H219" i="20"/>
  <c r="I253" i="20"/>
  <c r="J274" i="20"/>
  <c r="I317" i="20"/>
  <c r="K351" i="20"/>
  <c r="G383" i="20"/>
  <c r="E421" i="20"/>
  <c r="I429" i="20"/>
  <c r="C9" i="20"/>
  <c r="H25" i="20"/>
  <c r="C70" i="20"/>
  <c r="J99" i="20"/>
  <c r="D185" i="20"/>
  <c r="D285" i="20"/>
  <c r="H322" i="20"/>
  <c r="I33" i="20"/>
  <c r="H71" i="20"/>
  <c r="L124" i="20"/>
  <c r="C159" i="20"/>
  <c r="J178" i="20"/>
  <c r="J221" i="20"/>
  <c r="F256" i="20"/>
  <c r="L275" i="20"/>
  <c r="C318" i="20"/>
  <c r="F354" i="20"/>
  <c r="F386" i="20"/>
  <c r="D422" i="20"/>
  <c r="H357" i="20"/>
  <c r="C12" i="20"/>
  <c r="F28" i="20"/>
  <c r="I74" i="20"/>
  <c r="D104" i="20"/>
  <c r="D149" i="20"/>
  <c r="L194" i="20"/>
  <c r="F246" i="20"/>
  <c r="G292" i="20"/>
  <c r="G326" i="20"/>
  <c r="H407" i="20"/>
  <c r="D43" i="20"/>
  <c r="G77" i="20"/>
  <c r="C106" i="20"/>
  <c r="K127" i="20"/>
  <c r="E144" i="20"/>
  <c r="C144" i="20"/>
  <c r="L164" i="20"/>
  <c r="J180" i="20"/>
  <c r="J207" i="20"/>
  <c r="K226" i="20"/>
  <c r="H226" i="20"/>
  <c r="D240" i="20"/>
  <c r="C261" i="20"/>
  <c r="J276" i="20"/>
  <c r="L300" i="20"/>
  <c r="K300" i="20"/>
  <c r="J321" i="20"/>
  <c r="C340" i="20"/>
  <c r="D359" i="20"/>
  <c r="D371" i="20"/>
  <c r="G387" i="20"/>
  <c r="C404" i="20"/>
  <c r="I423" i="20"/>
  <c r="L441" i="20"/>
  <c r="G405" i="20"/>
  <c r="G447" i="20"/>
  <c r="G364" i="20"/>
  <c r="K14" i="20"/>
  <c r="J30" i="20"/>
  <c r="H55" i="20"/>
  <c r="G76" i="20"/>
  <c r="L76" i="20"/>
  <c r="J108" i="20"/>
  <c r="K157" i="20"/>
  <c r="G197" i="20"/>
  <c r="F252" i="20"/>
  <c r="L252" i="20"/>
  <c r="K296" i="20"/>
  <c r="J339" i="20"/>
  <c r="H410" i="20"/>
  <c r="H47" i="20"/>
  <c r="F47" i="20"/>
  <c r="L83" i="20"/>
  <c r="K107" i="20"/>
  <c r="H132" i="20"/>
  <c r="F145" i="20"/>
  <c r="E145" i="20"/>
  <c r="G165" i="20"/>
  <c r="E10" i="20"/>
  <c r="I139" i="20"/>
  <c r="C335" i="20"/>
  <c r="C103" i="20"/>
  <c r="F427" i="20"/>
  <c r="F190" i="20"/>
  <c r="D298" i="20"/>
  <c r="F406" i="20"/>
  <c r="D38" i="20"/>
  <c r="G105" i="20"/>
  <c r="I251" i="20"/>
  <c r="G409" i="20"/>
  <c r="L7" i="20"/>
  <c r="J41" i="20"/>
  <c r="F67" i="20"/>
  <c r="C129" i="20"/>
  <c r="G223" i="20"/>
  <c r="L281" i="20"/>
  <c r="H388" i="20"/>
  <c r="J446" i="20"/>
  <c r="K94" i="20"/>
  <c r="H142" i="20"/>
  <c r="D156" i="20"/>
  <c r="D199" i="20"/>
  <c r="K219" i="20"/>
  <c r="L253" i="20"/>
  <c r="F293" i="20"/>
  <c r="L317" i="20"/>
  <c r="E351" i="20"/>
  <c r="C383" i="20"/>
  <c r="J421" i="20"/>
  <c r="I384" i="20"/>
  <c r="F9" i="20"/>
  <c r="E45" i="20"/>
  <c r="H70" i="20"/>
  <c r="I136" i="20"/>
  <c r="J185" i="20"/>
  <c r="L285" i="20"/>
  <c r="L394" i="20"/>
  <c r="L33" i="20"/>
  <c r="G102" i="20"/>
  <c r="I124" i="20"/>
  <c r="E159" i="20"/>
  <c r="H205" i="20"/>
  <c r="L221" i="20"/>
  <c r="I256" i="20"/>
  <c r="J299" i="20"/>
  <c r="G318" i="20"/>
  <c r="J354" i="20"/>
  <c r="J386" i="20"/>
  <c r="G438" i="20"/>
  <c r="H272" i="20"/>
  <c r="L12" i="20"/>
  <c r="J51" i="20"/>
  <c r="F74" i="20"/>
  <c r="F104" i="20"/>
  <c r="F149" i="20"/>
  <c r="H194" i="20"/>
  <c r="E292" i="20"/>
  <c r="E326" i="20"/>
  <c r="E407" i="20"/>
  <c r="F43" i="20"/>
  <c r="L77" i="20"/>
  <c r="I77" i="20"/>
  <c r="D106" i="20"/>
  <c r="F127" i="20"/>
  <c r="L144" i="20"/>
  <c r="I164" i="20"/>
  <c r="F164" i="20"/>
  <c r="K180" i="20"/>
  <c r="L207" i="20"/>
  <c r="L226" i="20"/>
  <c r="H240" i="20"/>
  <c r="E240" i="20"/>
  <c r="E261" i="20"/>
  <c r="I276" i="20"/>
  <c r="F300" i="20"/>
  <c r="F321" i="20"/>
  <c r="K321" i="20"/>
  <c r="D340" i="20"/>
  <c r="K359" i="20"/>
  <c r="E371" i="20"/>
  <c r="I387" i="20"/>
  <c r="H404" i="20"/>
  <c r="C423" i="20"/>
  <c r="F441" i="20"/>
  <c r="G384" i="20"/>
  <c r="G425" i="20"/>
  <c r="E14" i="20"/>
  <c r="L14" i="20"/>
  <c r="K30" i="20"/>
  <c r="J55" i="20"/>
  <c r="H76" i="20"/>
  <c r="F108" i="20"/>
  <c r="L108" i="20"/>
  <c r="J157" i="20"/>
  <c r="J197" i="20"/>
  <c r="G252" i="20"/>
  <c r="F296" i="20"/>
  <c r="L296" i="20"/>
  <c r="K339" i="20"/>
  <c r="J410" i="20"/>
  <c r="I47" i="20"/>
  <c r="G83" i="20"/>
  <c r="F83" i="20"/>
  <c r="F107" i="20"/>
  <c r="L132" i="20"/>
  <c r="I145" i="20"/>
  <c r="K165" i="20"/>
  <c r="E385" i="20"/>
  <c r="J129" i="20"/>
  <c r="J199" i="20"/>
  <c r="I395" i="20"/>
  <c r="D33" i="20"/>
  <c r="F318" i="20"/>
  <c r="L104" i="20"/>
  <c r="L43" i="20"/>
  <c r="D144" i="20"/>
  <c r="D207" i="20"/>
  <c r="K261" i="20"/>
  <c r="C321" i="20"/>
  <c r="H387" i="20"/>
  <c r="G436" i="20"/>
  <c r="C30" i="20"/>
  <c r="D108" i="20"/>
  <c r="E296" i="20"/>
  <c r="J47" i="20"/>
  <c r="I132" i="20"/>
  <c r="J186" i="20"/>
  <c r="L208" i="20"/>
  <c r="J229" i="20"/>
  <c r="L241" i="20"/>
  <c r="J262" i="20"/>
  <c r="J279" i="20"/>
  <c r="E301" i="20"/>
  <c r="I328" i="20"/>
  <c r="G341" i="20"/>
  <c r="H373" i="20"/>
  <c r="J389" i="20"/>
  <c r="K408" i="20"/>
  <c r="L424" i="20"/>
  <c r="I443" i="20"/>
  <c r="E447" i="20"/>
  <c r="E364" i="20"/>
  <c r="D15" i="20"/>
  <c r="C31" i="20"/>
  <c r="G56" i="20"/>
  <c r="H78" i="20"/>
  <c r="E78" i="20"/>
  <c r="K113" i="20"/>
  <c r="I161" i="20"/>
  <c r="H201" i="20"/>
  <c r="C254" i="20"/>
  <c r="E254" i="20"/>
  <c r="D297" i="20"/>
  <c r="I344" i="20"/>
  <c r="L411" i="20"/>
  <c r="J48" i="20"/>
  <c r="G48" i="20"/>
  <c r="C88" i="20"/>
  <c r="L109" i="20"/>
  <c r="C133" i="20"/>
  <c r="C148" i="20"/>
  <c r="H148" i="20"/>
  <c r="I167" i="20"/>
  <c r="K191" i="20"/>
  <c r="H210" i="20"/>
  <c r="D230" i="20"/>
  <c r="H230" i="20"/>
  <c r="C244" i="20"/>
  <c r="I263" i="20"/>
  <c r="J284" i="20"/>
  <c r="J303" i="20"/>
  <c r="G303" i="20"/>
  <c r="J329" i="20"/>
  <c r="I343" i="20"/>
  <c r="D362" i="20"/>
  <c r="E376" i="20"/>
  <c r="K390" i="20"/>
  <c r="G414" i="20"/>
  <c r="F428" i="20"/>
  <c r="E444" i="20"/>
  <c r="L444" i="20"/>
  <c r="L447" i="20"/>
  <c r="L430" i="20"/>
  <c r="L342" i="20"/>
  <c r="D17" i="20"/>
  <c r="C34" i="20"/>
  <c r="J34" i="20"/>
  <c r="H58" i="20"/>
  <c r="F80" i="20"/>
  <c r="D117" i="20"/>
  <c r="E166" i="20"/>
  <c r="J166" i="20"/>
  <c r="H203" i="20"/>
  <c r="L259" i="20"/>
  <c r="E304" i="20"/>
  <c r="H353" i="20"/>
  <c r="J353" i="20"/>
  <c r="H413" i="20"/>
  <c r="E50" i="20"/>
  <c r="I89" i="20"/>
  <c r="H111" i="20"/>
  <c r="F111" i="20"/>
  <c r="C134" i="20"/>
  <c r="D153" i="20"/>
  <c r="I168" i="20"/>
  <c r="K192" i="20"/>
  <c r="I192" i="20"/>
  <c r="G212" i="20"/>
  <c r="L231" i="20"/>
  <c r="K248" i="20"/>
  <c r="H264" i="20"/>
  <c r="G264" i="20"/>
  <c r="J288" i="20"/>
  <c r="I307" i="20"/>
  <c r="I331" i="20"/>
  <c r="L347" i="20"/>
  <c r="I363" i="20"/>
  <c r="G363" i="20"/>
  <c r="C377" i="20"/>
  <c r="I392" i="20"/>
  <c r="I333" i="20"/>
  <c r="D29" i="20"/>
  <c r="C223" i="20"/>
  <c r="C219" i="20"/>
  <c r="L9" i="20"/>
  <c r="H102" i="20"/>
  <c r="I354" i="20"/>
  <c r="E149" i="20"/>
  <c r="K77" i="20"/>
  <c r="I144" i="20"/>
  <c r="H207" i="20"/>
  <c r="D276" i="20"/>
  <c r="G340" i="20"/>
  <c r="D387" i="20"/>
  <c r="G396" i="20"/>
  <c r="G55" i="20"/>
  <c r="G157" i="20"/>
  <c r="J296" i="20"/>
  <c r="L47" i="20"/>
  <c r="K132" i="20"/>
  <c r="D186" i="20"/>
  <c r="F208" i="20"/>
  <c r="K229" i="20"/>
  <c r="E241" i="20"/>
  <c r="C262" i="20"/>
  <c r="C279" i="20"/>
  <c r="J328" i="20"/>
  <c r="L341" i="20"/>
  <c r="G361" i="20"/>
  <c r="I373" i="20"/>
  <c r="C389" i="20"/>
  <c r="E408" i="20"/>
  <c r="E424" i="20"/>
  <c r="J443" i="20"/>
  <c r="E437" i="20"/>
  <c r="E352" i="20"/>
  <c r="L15" i="20"/>
  <c r="K31" i="20"/>
  <c r="J56" i="20"/>
  <c r="I78" i="20"/>
  <c r="F78" i="20"/>
  <c r="D113" i="20"/>
  <c r="C161" i="20"/>
  <c r="I201" i="20"/>
  <c r="G254" i="20"/>
  <c r="F254" i="20"/>
  <c r="L297" i="20"/>
  <c r="K344" i="20"/>
  <c r="C411" i="20"/>
  <c r="I48" i="20"/>
  <c r="H48" i="20"/>
  <c r="K88" i="20"/>
  <c r="E109" i="20"/>
  <c r="F133" i="20"/>
  <c r="K148" i="20"/>
  <c r="I148" i="20"/>
  <c r="J167" i="20"/>
  <c r="D191" i="20"/>
  <c r="I210" i="20"/>
  <c r="C230" i="20"/>
  <c r="I230" i="20"/>
  <c r="K244" i="20"/>
  <c r="C263" i="20"/>
  <c r="L284" i="20"/>
  <c r="L303" i="20"/>
  <c r="D329" i="20"/>
  <c r="C329" i="20"/>
  <c r="J343" i="20"/>
  <c r="L362" i="20"/>
  <c r="F376" i="20"/>
  <c r="D390" i="20"/>
  <c r="H414" i="20"/>
  <c r="K428" i="20"/>
  <c r="G444" i="20"/>
  <c r="F444" i="20"/>
  <c r="L403" i="20"/>
  <c r="L420" i="20"/>
  <c r="L291" i="20"/>
  <c r="L17" i="20"/>
  <c r="K34" i="20"/>
  <c r="D58" i="20"/>
  <c r="I58" i="20"/>
  <c r="G80" i="20"/>
  <c r="C117" i="20"/>
  <c r="K166" i="20"/>
  <c r="C203" i="20"/>
  <c r="I203" i="20"/>
  <c r="F259" i="20"/>
  <c r="K304" i="20"/>
  <c r="L353" i="20"/>
  <c r="L413" i="20"/>
  <c r="I413" i="20"/>
  <c r="G50" i="20"/>
  <c r="C89" i="20"/>
  <c r="J111" i="20"/>
  <c r="I134" i="20"/>
  <c r="K134" i="20"/>
  <c r="L153" i="20"/>
  <c r="J168" i="20"/>
  <c r="J192" i="20"/>
  <c r="K212" i="20"/>
  <c r="H212" i="20"/>
  <c r="I231" i="20"/>
  <c r="E248" i="20"/>
  <c r="J264" i="20"/>
  <c r="D288" i="20"/>
  <c r="C288" i="20"/>
  <c r="J307" i="20"/>
  <c r="C331" i="20"/>
  <c r="D347" i="20"/>
  <c r="J363" i="20"/>
  <c r="H363" i="20"/>
  <c r="K377" i="20"/>
  <c r="J392" i="20"/>
  <c r="I415" i="20"/>
  <c r="K431" i="20"/>
  <c r="C445" i="20"/>
  <c r="K404" i="20"/>
  <c r="K451" i="20"/>
  <c r="K367" i="20"/>
  <c r="K374" i="20"/>
  <c r="E20" i="20"/>
  <c r="D37" i="20"/>
  <c r="J63" i="20"/>
  <c r="K87" i="20"/>
  <c r="G87" i="20"/>
  <c r="L121" i="20"/>
  <c r="C173" i="20"/>
  <c r="H103" i="20"/>
  <c r="D378" i="20"/>
  <c r="I446" i="20"/>
  <c r="D317" i="20"/>
  <c r="F136" i="20"/>
  <c r="I205" i="20"/>
  <c r="H295" i="20"/>
  <c r="H292" i="20"/>
  <c r="K106" i="20"/>
  <c r="E164" i="20"/>
  <c r="I226" i="20"/>
  <c r="D300" i="20"/>
  <c r="E359" i="20"/>
  <c r="J423" i="20"/>
  <c r="G14" i="20"/>
  <c r="E76" i="20"/>
  <c r="H197" i="20"/>
  <c r="C339" i="20"/>
  <c r="E83" i="20"/>
  <c r="C165" i="20"/>
  <c r="F186" i="20"/>
  <c r="C208" i="20"/>
  <c r="F229" i="20"/>
  <c r="H241" i="20"/>
  <c r="L279" i="20"/>
  <c r="G301" i="20"/>
  <c r="F328" i="20"/>
  <c r="C341" i="20"/>
  <c r="I361" i="20"/>
  <c r="K373" i="20"/>
  <c r="F389" i="20"/>
  <c r="G424" i="20"/>
  <c r="C443" i="20"/>
  <c r="E449" i="20"/>
  <c r="E403" i="20"/>
  <c r="H15" i="20"/>
  <c r="I31" i="20"/>
  <c r="E31" i="20"/>
  <c r="D56" i="20"/>
  <c r="C78" i="20"/>
  <c r="E113" i="20"/>
  <c r="J161" i="20"/>
  <c r="L161" i="20"/>
  <c r="D201" i="20"/>
  <c r="K254" i="20"/>
  <c r="H297" i="20"/>
  <c r="C344" i="20"/>
  <c r="E344" i="20"/>
  <c r="I411" i="20"/>
  <c r="C48" i="20"/>
  <c r="H88" i="20"/>
  <c r="D109" i="20"/>
  <c r="I109" i="20"/>
  <c r="I133" i="20"/>
  <c r="L148" i="20"/>
  <c r="L167" i="20"/>
  <c r="I191" i="20"/>
  <c r="F191" i="20"/>
  <c r="K210" i="20"/>
  <c r="J230" i="20"/>
  <c r="G244" i="20"/>
  <c r="F263" i="20"/>
  <c r="L263" i="20"/>
  <c r="E284" i="20"/>
  <c r="C303" i="20"/>
  <c r="L329" i="20"/>
  <c r="F343" i="20"/>
  <c r="I362" i="20"/>
  <c r="C376" i="20"/>
  <c r="I376" i="20"/>
  <c r="F390" i="20"/>
  <c r="D414" i="20"/>
  <c r="I428" i="20"/>
  <c r="J444" i="20"/>
  <c r="L437" i="20"/>
  <c r="L277" i="20"/>
  <c r="L385" i="20"/>
  <c r="L255" i="20"/>
  <c r="H17" i="20"/>
  <c r="F34" i="20"/>
  <c r="C58" i="20"/>
  <c r="E80" i="20"/>
  <c r="J80" i="20"/>
  <c r="G117" i="20"/>
  <c r="L166" i="20"/>
  <c r="E203" i="20"/>
  <c r="D259" i="20"/>
  <c r="J259" i="20"/>
  <c r="H304" i="20"/>
  <c r="E353" i="20"/>
  <c r="C413" i="20"/>
  <c r="D50" i="20"/>
  <c r="J50" i="20"/>
  <c r="L89" i="20"/>
  <c r="K111" i="20"/>
  <c r="L134" i="20"/>
  <c r="H153" i="20"/>
  <c r="G153" i="20"/>
  <c r="D168" i="20"/>
  <c r="E192" i="20"/>
  <c r="D212" i="20"/>
  <c r="E231" i="20"/>
  <c r="K231" i="20"/>
  <c r="H248" i="20"/>
  <c r="C264" i="20"/>
  <c r="L288" i="20"/>
  <c r="L307" i="20"/>
  <c r="H331" i="20"/>
  <c r="L331" i="20"/>
  <c r="K347" i="20"/>
  <c r="D363" i="20"/>
  <c r="G377" i="20"/>
  <c r="E392" i="20"/>
  <c r="D356" i="20"/>
  <c r="D7" i="20"/>
  <c r="C94" i="20"/>
  <c r="I351" i="20"/>
  <c r="H185" i="20"/>
  <c r="D221" i="20"/>
  <c r="D12" i="20"/>
  <c r="C407" i="20"/>
  <c r="J127" i="20"/>
  <c r="H180" i="20"/>
  <c r="C240" i="20"/>
  <c r="J300" i="20"/>
  <c r="C371" i="20"/>
  <c r="F423" i="20"/>
  <c r="J14" i="20"/>
  <c r="K76" i="20"/>
  <c r="L197" i="20"/>
  <c r="E410" i="20"/>
  <c r="J107" i="20"/>
  <c r="E165" i="20"/>
  <c r="G186" i="20"/>
  <c r="K208" i="20"/>
  <c r="G229" i="20"/>
  <c r="H262" i="20"/>
  <c r="E279" i="20"/>
  <c r="I301" i="20"/>
  <c r="C328" i="20"/>
  <c r="K341" i="20"/>
  <c r="J361" i="20"/>
  <c r="D373" i="20"/>
  <c r="C408" i="20"/>
  <c r="I424" i="20"/>
  <c r="E443" i="20"/>
  <c r="E405" i="20"/>
  <c r="E391" i="20"/>
  <c r="J15" i="20"/>
  <c r="G31" i="20"/>
  <c r="F31" i="20"/>
  <c r="L56" i="20"/>
  <c r="K78" i="20"/>
  <c r="G113" i="20"/>
  <c r="E161" i="20"/>
  <c r="F161" i="20"/>
  <c r="L201" i="20"/>
  <c r="J254" i="20"/>
  <c r="I297" i="20"/>
  <c r="G344" i="20"/>
  <c r="F344" i="20"/>
  <c r="J411" i="20"/>
  <c r="K48" i="20"/>
  <c r="G88" i="20"/>
  <c r="C109" i="20"/>
  <c r="J109" i="20"/>
  <c r="D133" i="20"/>
  <c r="E148" i="20"/>
  <c r="F167" i="20"/>
  <c r="H191" i="20"/>
  <c r="G191" i="20"/>
  <c r="D210" i="20"/>
  <c r="K230" i="20"/>
  <c r="H244" i="20"/>
  <c r="H263" i="20"/>
  <c r="E263" i="20"/>
  <c r="G284" i="20"/>
  <c r="K303" i="20"/>
  <c r="E329" i="20"/>
  <c r="H343" i="20"/>
  <c r="J362" i="20"/>
  <c r="D376" i="20"/>
  <c r="J376" i="20"/>
  <c r="G390" i="20"/>
  <c r="L414" i="20"/>
  <c r="J428" i="20"/>
  <c r="C444" i="20"/>
  <c r="L381" i="20"/>
  <c r="L233" i="20"/>
  <c r="L375" i="20"/>
  <c r="E17" i="20"/>
  <c r="I17" i="20"/>
  <c r="G34" i="20"/>
  <c r="K58" i="20"/>
  <c r="L80" i="20"/>
  <c r="E117" i="20"/>
  <c r="H117" i="20"/>
  <c r="C166" i="20"/>
  <c r="K203" i="20"/>
  <c r="G259" i="20"/>
  <c r="C304" i="20"/>
  <c r="I304" i="20"/>
  <c r="G353" i="20"/>
  <c r="E413" i="20"/>
  <c r="F50" i="20"/>
  <c r="J89" i="20"/>
  <c r="E89" i="20"/>
  <c r="D111" i="20"/>
  <c r="D134" i="20"/>
  <c r="J153" i="20"/>
  <c r="G168" i="20"/>
  <c r="L168" i="20"/>
  <c r="F192" i="20"/>
  <c r="L212" i="20"/>
  <c r="F231" i="20"/>
  <c r="D248" i="20"/>
  <c r="I248" i="20"/>
  <c r="K264" i="20"/>
  <c r="E288" i="20"/>
  <c r="D307" i="20"/>
  <c r="J331" i="20"/>
  <c r="E331" i="20"/>
  <c r="G347" i="20"/>
  <c r="L363" i="20"/>
  <c r="H377" i="20"/>
  <c r="F392" i="20"/>
  <c r="L392" i="20"/>
  <c r="D415" i="20"/>
  <c r="G431" i="20"/>
  <c r="E445" i="20"/>
  <c r="K364" i="20"/>
  <c r="K406" i="20"/>
  <c r="K419" i="20"/>
  <c r="I20" i="20"/>
  <c r="C37" i="20"/>
  <c r="G37" i="20"/>
  <c r="E63" i="20"/>
  <c r="D87" i="20"/>
  <c r="J121" i="20"/>
  <c r="I173" i="20"/>
  <c r="K251" i="20"/>
  <c r="D293" i="20"/>
  <c r="L159" i="20"/>
  <c r="G246" i="20"/>
  <c r="K164" i="20"/>
  <c r="F276" i="20"/>
  <c r="L404" i="20"/>
  <c r="L55" i="20"/>
  <c r="G339" i="20"/>
  <c r="D145" i="20"/>
  <c r="H208" i="20"/>
  <c r="G241" i="20"/>
  <c r="J301" i="20"/>
  <c r="H341" i="20"/>
  <c r="C373" i="20"/>
  <c r="J408" i="20"/>
  <c r="L443" i="20"/>
  <c r="G15" i="20"/>
  <c r="L31" i="20"/>
  <c r="J78" i="20"/>
  <c r="F113" i="20"/>
  <c r="J201" i="20"/>
  <c r="G297" i="20"/>
  <c r="J344" i="20"/>
  <c r="D48" i="20"/>
  <c r="L88" i="20"/>
  <c r="H133" i="20"/>
  <c r="D167" i="20"/>
  <c r="E191" i="20"/>
  <c r="F230" i="20"/>
  <c r="L244" i="20"/>
  <c r="K284" i="20"/>
  <c r="H329" i="20"/>
  <c r="K343" i="20"/>
  <c r="H376" i="20"/>
  <c r="J414" i="20"/>
  <c r="I444" i="20"/>
  <c r="L333" i="20"/>
  <c r="L306" i="20"/>
  <c r="L34" i="20"/>
  <c r="D80" i="20"/>
  <c r="F117" i="20"/>
  <c r="G203" i="20"/>
  <c r="I259" i="20"/>
  <c r="D353" i="20"/>
  <c r="C50" i="20"/>
  <c r="D89" i="20"/>
  <c r="J134" i="20"/>
  <c r="F153" i="20"/>
  <c r="L192" i="20"/>
  <c r="D231" i="20"/>
  <c r="G248" i="20"/>
  <c r="H288" i="20"/>
  <c r="K307" i="20"/>
  <c r="C347" i="20"/>
  <c r="F377" i="20"/>
  <c r="K392" i="20"/>
  <c r="L415" i="20"/>
  <c r="J445" i="20"/>
  <c r="K437" i="20"/>
  <c r="K396" i="20"/>
  <c r="K384" i="20"/>
  <c r="G20" i="20"/>
  <c r="H37" i="20"/>
  <c r="H63" i="20"/>
  <c r="C121" i="20"/>
  <c r="J173" i="20"/>
  <c r="E216" i="20"/>
  <c r="G216" i="20"/>
  <c r="L267" i="20"/>
  <c r="K311" i="20"/>
  <c r="F360" i="20"/>
  <c r="E432" i="20"/>
  <c r="D432" i="20"/>
  <c r="D54" i="20"/>
  <c r="C90" i="20"/>
  <c r="F116" i="20"/>
  <c r="I135" i="20"/>
  <c r="E135" i="20"/>
  <c r="F154" i="20"/>
  <c r="L172" i="20"/>
  <c r="L193" i="20"/>
  <c r="H215" i="20"/>
  <c r="F215" i="20"/>
  <c r="H232" i="20"/>
  <c r="I249" i="20"/>
  <c r="H269" i="20"/>
  <c r="F289" i="20"/>
  <c r="L289" i="20"/>
  <c r="E314" i="20"/>
  <c r="I332" i="20"/>
  <c r="G348" i="20"/>
  <c r="F365" i="20"/>
  <c r="L365" i="20"/>
  <c r="E379" i="20"/>
  <c r="F397" i="20"/>
  <c r="K416" i="20"/>
  <c r="F433" i="20"/>
  <c r="F448" i="20"/>
  <c r="L448" i="20"/>
  <c r="K6" i="20"/>
  <c r="J22" i="20"/>
  <c r="H39" i="20"/>
  <c r="G66" i="20"/>
  <c r="L66" i="20"/>
  <c r="K95" i="20"/>
  <c r="H125" i="20"/>
  <c r="F181" i="20"/>
  <c r="E220" i="20"/>
  <c r="L220" i="20"/>
  <c r="K278" i="20"/>
  <c r="J313" i="20"/>
  <c r="E382" i="20"/>
  <c r="D442" i="20"/>
  <c r="H442" i="20"/>
  <c r="K64" i="20"/>
  <c r="E92" i="20"/>
  <c r="I120" i="20"/>
  <c r="K138" i="20"/>
  <c r="I138" i="20"/>
  <c r="J155" i="20"/>
  <c r="D176" i="20"/>
  <c r="I196" i="20"/>
  <c r="J217" i="20"/>
  <c r="I217" i="20"/>
  <c r="K234" i="20"/>
  <c r="K250" i="20"/>
  <c r="F273" i="20"/>
  <c r="D290" i="20"/>
  <c r="G290" i="20"/>
  <c r="J315" i="20"/>
  <c r="G334" i="20"/>
  <c r="I349" i="20"/>
  <c r="D368" i="20"/>
  <c r="J368" i="20"/>
  <c r="F380" i="20"/>
  <c r="H398" i="20"/>
  <c r="K418" i="20"/>
  <c r="G434" i="20"/>
  <c r="F434" i="20"/>
  <c r="J451" i="20"/>
  <c r="J367" i="20"/>
  <c r="J449" i="20"/>
  <c r="J366" i="20"/>
  <c r="J447" i="20"/>
  <c r="J364" i="20"/>
  <c r="K315" i="20"/>
  <c r="C349" i="20"/>
  <c r="H380" i="20"/>
  <c r="J398" i="20"/>
  <c r="I434" i="20"/>
  <c r="J298" i="20"/>
  <c r="J291" i="20"/>
  <c r="J425" i="20"/>
  <c r="C215" i="20"/>
  <c r="D22" i="20"/>
  <c r="I181" i="20"/>
  <c r="D313" i="20"/>
  <c r="K92" i="20"/>
  <c r="L155" i="20"/>
  <c r="K196" i="20"/>
  <c r="H250" i="20"/>
  <c r="I290" i="20"/>
  <c r="C334" i="20"/>
  <c r="F398" i="20"/>
  <c r="J434" i="20"/>
  <c r="J271" i="20"/>
  <c r="E74" i="20"/>
  <c r="E132" i="20"/>
  <c r="H328" i="20"/>
  <c r="C113" i="20"/>
  <c r="J133" i="20"/>
  <c r="E210" i="20"/>
  <c r="L376" i="20"/>
  <c r="L358" i="20"/>
  <c r="H166" i="20"/>
  <c r="G89" i="20"/>
  <c r="C248" i="20"/>
  <c r="H392" i="20"/>
  <c r="K405" i="20"/>
  <c r="F87" i="20"/>
  <c r="I311" i="20"/>
  <c r="C54" i="20"/>
  <c r="L154" i="20"/>
  <c r="F232" i="20"/>
  <c r="J332" i="20"/>
  <c r="L397" i="20"/>
  <c r="H22" i="20"/>
  <c r="K125" i="20"/>
  <c r="I382" i="20"/>
  <c r="F120" i="20"/>
  <c r="G217" i="20"/>
  <c r="I273" i="20"/>
  <c r="E349" i="20"/>
  <c r="L418" i="20"/>
  <c r="J384" i="20"/>
  <c r="H41" i="20"/>
  <c r="J383" i="20"/>
  <c r="H256" i="20"/>
  <c r="H43" i="20"/>
  <c r="C180" i="20"/>
  <c r="D321" i="20"/>
  <c r="E441" i="20"/>
  <c r="C108" i="20"/>
  <c r="I410" i="20"/>
  <c r="H165" i="20"/>
  <c r="I229" i="20"/>
  <c r="G262" i="20"/>
  <c r="C301" i="20"/>
  <c r="E341" i="20"/>
  <c r="H389" i="20"/>
  <c r="J424" i="20"/>
  <c r="E419" i="20"/>
  <c r="C15" i="20"/>
  <c r="H56" i="20"/>
  <c r="D78" i="20"/>
  <c r="G161" i="20"/>
  <c r="E201" i="20"/>
  <c r="K297" i="20"/>
  <c r="D411" i="20"/>
  <c r="E48" i="20"/>
  <c r="F109" i="20"/>
  <c r="L133" i="20"/>
  <c r="G167" i="20"/>
  <c r="G210" i="20"/>
  <c r="L230" i="20"/>
  <c r="J263" i="20"/>
  <c r="H284" i="20"/>
  <c r="G329" i="20"/>
  <c r="C362" i="20"/>
  <c r="J390" i="20"/>
  <c r="C428" i="20"/>
  <c r="K444" i="20"/>
  <c r="L451" i="20"/>
  <c r="C17" i="20"/>
  <c r="H34" i="20"/>
  <c r="C80" i="20"/>
  <c r="J117" i="20"/>
  <c r="L203" i="20"/>
  <c r="D304" i="20"/>
  <c r="F353" i="20"/>
  <c r="K50" i="20"/>
  <c r="F89" i="20"/>
  <c r="E134" i="20"/>
  <c r="F168" i="20"/>
  <c r="G192" i="20"/>
  <c r="G231" i="20"/>
  <c r="J248" i="20"/>
  <c r="G288" i="20"/>
  <c r="F331" i="20"/>
  <c r="H347" i="20"/>
  <c r="I377" i="20"/>
  <c r="D392" i="20"/>
  <c r="F415" i="20"/>
  <c r="K445" i="20"/>
  <c r="K381" i="20"/>
  <c r="K385" i="20"/>
  <c r="K366" i="20"/>
  <c r="H20" i="20"/>
  <c r="K63" i="20"/>
  <c r="C87" i="20"/>
  <c r="G121" i="20"/>
  <c r="K173" i="20"/>
  <c r="C216" i="20"/>
  <c r="H216" i="20"/>
  <c r="F267" i="20"/>
  <c r="D311" i="20"/>
  <c r="I360" i="20"/>
  <c r="F432" i="20"/>
  <c r="L432" i="20"/>
  <c r="L54" i="20"/>
  <c r="K90" i="20"/>
  <c r="G116" i="20"/>
  <c r="G135" i="20"/>
  <c r="H135" i="20"/>
  <c r="G154" i="20"/>
  <c r="E172" i="20"/>
  <c r="F193" i="20"/>
  <c r="I215" i="20"/>
  <c r="G215" i="20"/>
  <c r="I232" i="20"/>
  <c r="J249" i="20"/>
  <c r="L269" i="20"/>
  <c r="H289" i="20"/>
  <c r="E289" i="20"/>
  <c r="G314" i="20"/>
  <c r="C332" i="20"/>
  <c r="H348" i="20"/>
  <c r="G365" i="20"/>
  <c r="H379" i="20"/>
  <c r="F379" i="20"/>
  <c r="G397" i="20"/>
  <c r="D416" i="20"/>
  <c r="K433" i="20"/>
  <c r="K448" i="20"/>
  <c r="G6" i="20"/>
  <c r="D6" i="20"/>
  <c r="C22" i="20"/>
  <c r="I39" i="20"/>
  <c r="E66" i="20"/>
  <c r="F95" i="20"/>
  <c r="D95" i="20"/>
  <c r="I125" i="20"/>
  <c r="G181" i="20"/>
  <c r="I220" i="20"/>
  <c r="E278" i="20"/>
  <c r="D278" i="20"/>
  <c r="C313" i="20"/>
  <c r="F382" i="20"/>
  <c r="I442" i="20"/>
  <c r="F64" i="20"/>
  <c r="D64" i="20"/>
  <c r="G92" i="20"/>
  <c r="C120" i="20"/>
  <c r="J138" i="20"/>
  <c r="E155" i="20"/>
  <c r="C155" i="20"/>
  <c r="L176" i="20"/>
  <c r="J196" i="20"/>
  <c r="L217" i="20"/>
  <c r="F234" i="20"/>
  <c r="D234" i="20"/>
  <c r="D250" i="20"/>
  <c r="C273" i="20"/>
  <c r="H290" i="20"/>
  <c r="D315" i="20"/>
  <c r="C315" i="20"/>
  <c r="I334" i="20"/>
  <c r="G349" i="20"/>
  <c r="K368" i="20"/>
  <c r="I380" i="20"/>
  <c r="G380" i="20"/>
  <c r="I398" i="20"/>
  <c r="G418" i="20"/>
  <c r="H434" i="20"/>
  <c r="J436" i="20"/>
  <c r="J406" i="20"/>
  <c r="J260" i="20"/>
  <c r="J439" i="20"/>
  <c r="J342" i="20"/>
  <c r="J437" i="20"/>
  <c r="F315" i="20"/>
  <c r="L368" i="20"/>
  <c r="H418" i="20"/>
  <c r="J371" i="20"/>
  <c r="J429" i="20"/>
  <c r="G172" i="20"/>
  <c r="I66" i="20"/>
  <c r="I278" i="20"/>
  <c r="C442" i="20"/>
  <c r="D120" i="20"/>
  <c r="F176" i="20"/>
  <c r="E273" i="20"/>
  <c r="H315" i="20"/>
  <c r="E368" i="20"/>
  <c r="D398" i="20"/>
  <c r="J440" i="20"/>
  <c r="J419" i="20"/>
  <c r="L127" i="20"/>
  <c r="D208" i="20"/>
  <c r="E373" i="20"/>
  <c r="F56" i="20"/>
  <c r="F411" i="20"/>
  <c r="C191" i="20"/>
  <c r="G343" i="20"/>
  <c r="L428" i="20"/>
  <c r="L117" i="20"/>
  <c r="K353" i="20"/>
  <c r="F212" i="20"/>
  <c r="F363" i="20"/>
  <c r="H431" i="20"/>
  <c r="E37" i="20"/>
  <c r="K267" i="20"/>
  <c r="G360" i="20"/>
  <c r="D116" i="20"/>
  <c r="C193" i="20"/>
  <c r="K289" i="20"/>
  <c r="K365" i="20"/>
  <c r="J448" i="20"/>
  <c r="I95" i="20"/>
  <c r="G313" i="20"/>
  <c r="C92" i="20"/>
  <c r="C176" i="20"/>
  <c r="L273" i="20"/>
  <c r="L334" i="20"/>
  <c r="E418" i="20"/>
  <c r="J352" i="20"/>
  <c r="E67" i="20"/>
  <c r="H421" i="20"/>
  <c r="F299" i="20"/>
  <c r="C43" i="20"/>
  <c r="C207" i="20"/>
  <c r="G321" i="20"/>
  <c r="G449" i="20"/>
  <c r="H108" i="20"/>
  <c r="L410" i="20"/>
  <c r="I165" i="20"/>
  <c r="H229" i="20"/>
  <c r="I262" i="20"/>
  <c r="K301" i="20"/>
  <c r="F341" i="20"/>
  <c r="I389" i="20"/>
  <c r="C424" i="20"/>
  <c r="E369" i="20"/>
  <c r="K15" i="20"/>
  <c r="I56" i="20"/>
  <c r="L78" i="20"/>
  <c r="H161" i="20"/>
  <c r="F201" i="20"/>
  <c r="J297" i="20"/>
  <c r="K411" i="20"/>
  <c r="F48" i="20"/>
  <c r="K109" i="20"/>
  <c r="E133" i="20"/>
  <c r="H167" i="20"/>
  <c r="F210" i="20"/>
  <c r="G230" i="20"/>
  <c r="G263" i="20"/>
  <c r="I284" i="20"/>
  <c r="I329" i="20"/>
  <c r="K362" i="20"/>
  <c r="C390" i="20"/>
  <c r="E428" i="20"/>
  <c r="D444" i="20"/>
  <c r="L440" i="20"/>
  <c r="K17" i="20"/>
  <c r="I34" i="20"/>
  <c r="K80" i="20"/>
  <c r="D166" i="20"/>
  <c r="F203" i="20"/>
  <c r="G304" i="20"/>
  <c r="I353" i="20"/>
  <c r="L50" i="20"/>
  <c r="G111" i="20"/>
  <c r="G134" i="20"/>
  <c r="H168" i="20"/>
  <c r="H192" i="20"/>
  <c r="H231" i="20"/>
  <c r="D264" i="20"/>
  <c r="I288" i="20"/>
  <c r="G331" i="20"/>
  <c r="I347" i="20"/>
  <c r="J377" i="20"/>
  <c r="E415" i="20"/>
  <c r="I431" i="20"/>
  <c r="D445" i="20"/>
  <c r="K422" i="20"/>
  <c r="K375" i="20"/>
  <c r="C20" i="20"/>
  <c r="K37" i="20"/>
  <c r="C63" i="20"/>
  <c r="J87" i="20"/>
  <c r="K121" i="20"/>
  <c r="L173" i="20"/>
  <c r="I216" i="20"/>
  <c r="E267" i="20"/>
  <c r="G267" i="20"/>
  <c r="L311" i="20"/>
  <c r="J360" i="20"/>
  <c r="H432" i="20"/>
  <c r="G54" i="20"/>
  <c r="E54" i="20"/>
  <c r="E90" i="20"/>
  <c r="I116" i="20"/>
  <c r="J135" i="20"/>
  <c r="C154" i="20"/>
  <c r="H154" i="20"/>
  <c r="F172" i="20"/>
  <c r="G193" i="20"/>
  <c r="J215" i="20"/>
  <c r="K232" i="20"/>
  <c r="D232" i="20"/>
  <c r="C249" i="20"/>
  <c r="E269" i="20"/>
  <c r="J289" i="20"/>
  <c r="D314" i="20"/>
  <c r="H314" i="20"/>
  <c r="K332" i="20"/>
  <c r="L348" i="20"/>
  <c r="H365" i="20"/>
  <c r="I379" i="20"/>
  <c r="C397" i="20"/>
  <c r="H397" i="20"/>
  <c r="L416" i="20"/>
  <c r="G433" i="20"/>
  <c r="C448" i="20"/>
  <c r="E6" i="20"/>
  <c r="L6" i="20"/>
  <c r="K22" i="20"/>
  <c r="J39" i="20"/>
  <c r="H66" i="20"/>
  <c r="C95" i="20"/>
  <c r="L95" i="20"/>
  <c r="J125" i="20"/>
  <c r="K181" i="20"/>
  <c r="G220" i="20"/>
  <c r="F278" i="20"/>
  <c r="L278" i="20"/>
  <c r="K313" i="20"/>
  <c r="H382" i="20"/>
  <c r="J442" i="20"/>
  <c r="E64" i="20"/>
  <c r="L64" i="20"/>
  <c r="H92" i="20"/>
  <c r="K120" i="20"/>
  <c r="D138" i="20"/>
  <c r="D155" i="20"/>
  <c r="K155" i="20"/>
  <c r="E176" i="20"/>
  <c r="C196" i="20"/>
  <c r="C217" i="20"/>
  <c r="E234" i="20"/>
  <c r="L234" i="20"/>
  <c r="L250" i="20"/>
  <c r="K273" i="20"/>
  <c r="J290" i="20"/>
  <c r="J334" i="20"/>
  <c r="J380" i="20"/>
  <c r="J325" i="20"/>
  <c r="G289" i="20"/>
  <c r="H433" i="20"/>
  <c r="G22" i="20"/>
  <c r="C39" i="20"/>
  <c r="D125" i="20"/>
  <c r="E313" i="20"/>
  <c r="H64" i="20"/>
  <c r="I176" i="20"/>
  <c r="E250" i="20"/>
  <c r="K349" i="20"/>
  <c r="J333" i="20"/>
  <c r="K156" i="20"/>
  <c r="E387" i="20"/>
  <c r="I279" i="20"/>
  <c r="J31" i="20"/>
  <c r="H344" i="20"/>
  <c r="F303" i="20"/>
  <c r="G58" i="20"/>
  <c r="K153" i="20"/>
  <c r="J347" i="20"/>
  <c r="L20" i="20"/>
  <c r="L216" i="20"/>
  <c r="J90" i="20"/>
  <c r="E193" i="20"/>
  <c r="C269" i="20"/>
  <c r="D379" i="20"/>
  <c r="E39" i="20"/>
  <c r="L181" i="20"/>
  <c r="F442" i="20"/>
  <c r="H155" i="20"/>
  <c r="J250" i="20"/>
  <c r="H368" i="20"/>
  <c r="J241" i="20"/>
  <c r="J112" i="20"/>
  <c r="D281" i="20"/>
  <c r="D45" i="20"/>
  <c r="I386" i="20"/>
  <c r="H77" i="20"/>
  <c r="J226" i="20"/>
  <c r="K340" i="20"/>
  <c r="G437" i="20"/>
  <c r="I157" i="20"/>
  <c r="J83" i="20"/>
  <c r="L186" i="20"/>
  <c r="L229" i="20"/>
  <c r="K262" i="20"/>
  <c r="L328" i="20"/>
  <c r="C361" i="20"/>
  <c r="K389" i="20"/>
  <c r="F424" i="20"/>
  <c r="E425" i="20"/>
  <c r="E15" i="20"/>
  <c r="C56" i="20"/>
  <c r="I113" i="20"/>
  <c r="K161" i="20"/>
  <c r="H254" i="20"/>
  <c r="E297" i="20"/>
  <c r="G411" i="20"/>
  <c r="E88" i="20"/>
  <c r="G109" i="20"/>
  <c r="J148" i="20"/>
  <c r="C167" i="20"/>
  <c r="J210" i="20"/>
  <c r="F244" i="20"/>
  <c r="K263" i="20"/>
  <c r="D303" i="20"/>
  <c r="K329" i="20"/>
  <c r="E362" i="20"/>
  <c r="L390" i="20"/>
  <c r="G428" i="20"/>
  <c r="L425" i="20"/>
  <c r="L406" i="20"/>
  <c r="F17" i="20"/>
  <c r="E58" i="20"/>
  <c r="H80" i="20"/>
  <c r="F166" i="20"/>
  <c r="J203" i="20"/>
  <c r="L304" i="20"/>
  <c r="K413" i="20"/>
  <c r="H50" i="20"/>
  <c r="I111" i="20"/>
  <c r="F134" i="20"/>
  <c r="C168" i="20"/>
  <c r="C212" i="20"/>
  <c r="J231" i="20"/>
  <c r="L264" i="20"/>
  <c r="K288" i="20"/>
  <c r="K331" i="20"/>
  <c r="C363" i="20"/>
  <c r="D377" i="20"/>
  <c r="G415" i="20"/>
  <c r="L431" i="20"/>
  <c r="L445" i="20"/>
  <c r="K447" i="20"/>
  <c r="K449" i="20"/>
  <c r="K20" i="20"/>
  <c r="I37" i="20"/>
  <c r="I63" i="20"/>
  <c r="I87" i="20"/>
  <c r="I121" i="20"/>
  <c r="D173" i="20"/>
  <c r="J216" i="20"/>
  <c r="C267" i="20"/>
  <c r="H267" i="20"/>
  <c r="F311" i="20"/>
  <c r="K360" i="20"/>
  <c r="G432" i="20"/>
  <c r="H54" i="20"/>
  <c r="F54" i="20"/>
  <c r="F90" i="20"/>
  <c r="J116" i="20"/>
  <c r="K135" i="20"/>
  <c r="K154" i="20"/>
  <c r="I154" i="20"/>
  <c r="H193" i="20"/>
  <c r="J232" i="20"/>
  <c r="L232" i="20"/>
  <c r="K249" i="20"/>
  <c r="G269" i="20"/>
  <c r="F314" i="20"/>
  <c r="I314" i="20"/>
  <c r="E332" i="20"/>
  <c r="E348" i="20"/>
  <c r="I365" i="20"/>
  <c r="D397" i="20"/>
  <c r="J397" i="20"/>
  <c r="E416" i="20"/>
  <c r="G448" i="20"/>
  <c r="F6" i="20"/>
  <c r="G95" i="20"/>
  <c r="H220" i="20"/>
  <c r="I92" i="20"/>
  <c r="D217" i="20"/>
  <c r="C380" i="20"/>
  <c r="J357" i="20"/>
  <c r="G148" i="20"/>
  <c r="D433" i="20"/>
  <c r="G295" i="20"/>
  <c r="I388" i="20"/>
  <c r="G70" i="20"/>
  <c r="F438" i="20"/>
  <c r="J106" i="20"/>
  <c r="F226" i="20"/>
  <c r="L359" i="20"/>
  <c r="G381" i="20"/>
  <c r="F197" i="20"/>
  <c r="K83" i="20"/>
  <c r="E186" i="20"/>
  <c r="E229" i="20"/>
  <c r="D279" i="20"/>
  <c r="D328" i="20"/>
  <c r="D361" i="20"/>
  <c r="D389" i="20"/>
  <c r="H424" i="20"/>
  <c r="E417" i="20"/>
  <c r="F15" i="20"/>
  <c r="K56" i="20"/>
  <c r="H113" i="20"/>
  <c r="D161" i="20"/>
  <c r="I254" i="20"/>
  <c r="F297" i="20"/>
  <c r="H411" i="20"/>
  <c r="F88" i="20"/>
  <c r="H109" i="20"/>
  <c r="D148" i="20"/>
  <c r="K167" i="20"/>
  <c r="C210" i="20"/>
  <c r="E244" i="20"/>
  <c r="D263" i="20"/>
  <c r="I303" i="20"/>
  <c r="D343" i="20"/>
  <c r="F362" i="20"/>
  <c r="E390" i="20"/>
  <c r="H428" i="20"/>
  <c r="L386" i="20"/>
  <c r="L396" i="20"/>
  <c r="G17" i="20"/>
  <c r="L58" i="20"/>
  <c r="I80" i="20"/>
  <c r="I166" i="20"/>
  <c r="C259" i="20"/>
  <c r="F304" i="20"/>
  <c r="D413" i="20"/>
  <c r="I50" i="20"/>
  <c r="C111" i="20"/>
  <c r="I153" i="20"/>
  <c r="K168" i="20"/>
  <c r="J212" i="20"/>
  <c r="C231" i="20"/>
  <c r="I264" i="20"/>
  <c r="H307" i="20"/>
  <c r="D331" i="20"/>
  <c r="K363" i="20"/>
  <c r="L377" i="20"/>
  <c r="H415" i="20"/>
  <c r="E431" i="20"/>
  <c r="F445" i="20"/>
  <c r="K403" i="20"/>
  <c r="K439" i="20"/>
  <c r="J20" i="20"/>
  <c r="J37" i="20"/>
  <c r="D63" i="20"/>
  <c r="L87" i="20"/>
  <c r="D121" i="20"/>
  <c r="G173" i="20"/>
  <c r="K216" i="20"/>
  <c r="I267" i="20"/>
  <c r="E311" i="20"/>
  <c r="G311" i="20"/>
  <c r="D360" i="20"/>
  <c r="I432" i="20"/>
  <c r="J54" i="20"/>
  <c r="D90" i="20"/>
  <c r="G90" i="20"/>
  <c r="C116" i="20"/>
  <c r="L135" i="20"/>
  <c r="J154" i="20"/>
  <c r="C172" i="20"/>
  <c r="H172" i="20"/>
  <c r="I193" i="20"/>
  <c r="K215" i="20"/>
  <c r="C232" i="20"/>
  <c r="F249" i="20"/>
  <c r="D249" i="20"/>
  <c r="I269" i="20"/>
  <c r="I289" i="20"/>
  <c r="J314" i="20"/>
  <c r="D332" i="20"/>
  <c r="F332" i="20"/>
  <c r="I348" i="20"/>
  <c r="J365" i="20"/>
  <c r="C379" i="20"/>
  <c r="I397" i="20"/>
  <c r="G416" i="20"/>
  <c r="F416" i="20"/>
  <c r="I433" i="20"/>
  <c r="H448" i="20"/>
  <c r="H6" i="20"/>
  <c r="E22" i="20"/>
  <c r="L22" i="20"/>
  <c r="K39" i="20"/>
  <c r="J66" i="20"/>
  <c r="E95" i="20"/>
  <c r="F125" i="20"/>
  <c r="L125" i="20"/>
  <c r="J181" i="20"/>
  <c r="J220" i="20"/>
  <c r="G278" i="20"/>
  <c r="F313" i="20"/>
  <c r="L313" i="20"/>
  <c r="K382" i="20"/>
  <c r="K442" i="20"/>
  <c r="G64" i="20"/>
  <c r="F92" i="20"/>
  <c r="J92" i="20"/>
  <c r="L120" i="20"/>
  <c r="E138" i="20"/>
  <c r="F155" i="20"/>
  <c r="H176" i="20"/>
  <c r="G176" i="20"/>
  <c r="D196" i="20"/>
  <c r="E217" i="20"/>
  <c r="H234" i="20"/>
  <c r="G250" i="20"/>
  <c r="F250" i="20"/>
  <c r="G273" i="20"/>
  <c r="C290" i="20"/>
  <c r="L315" i="20"/>
  <c r="F334" i="20"/>
  <c r="K334" i="20"/>
  <c r="D349" i="20"/>
  <c r="F368" i="20"/>
  <c r="K380" i="20"/>
  <c r="K398" i="20"/>
  <c r="L398" i="20"/>
  <c r="J418" i="20"/>
  <c r="C434" i="20"/>
  <c r="J396" i="20"/>
  <c r="J275" i="20"/>
  <c r="J430" i="20"/>
  <c r="J405" i="20"/>
  <c r="J345" i="20"/>
  <c r="J403" i="20"/>
  <c r="J391" i="20"/>
  <c r="D394" i="20"/>
  <c r="K252" i="20"/>
  <c r="I408" i="20"/>
  <c r="G201" i="20"/>
  <c r="F284" i="20"/>
  <c r="E34" i="20"/>
  <c r="E111" i="20"/>
  <c r="G307" i="20"/>
  <c r="K430" i="20"/>
  <c r="F173" i="20"/>
  <c r="H116" i="20"/>
  <c r="L215" i="20"/>
  <c r="C314" i="20"/>
  <c r="J416" i="20"/>
  <c r="L39" i="20"/>
  <c r="K220" i="20"/>
  <c r="J64" i="20"/>
  <c r="F196" i="20"/>
  <c r="G315" i="20"/>
  <c r="E398" i="20"/>
  <c r="J310" i="20"/>
  <c r="G163" i="20"/>
  <c r="I142" i="20"/>
  <c r="K285" i="20"/>
  <c r="C51" i="20"/>
  <c r="C127" i="20"/>
  <c r="L240" i="20"/>
  <c r="L371" i="20"/>
  <c r="D14" i="20"/>
  <c r="I252" i="20"/>
  <c r="E107" i="20"/>
  <c r="E208" i="20"/>
  <c r="I241" i="20"/>
  <c r="G279" i="20"/>
  <c r="G328" i="20"/>
  <c r="K361" i="20"/>
  <c r="D408" i="20"/>
  <c r="G443" i="20"/>
  <c r="E381" i="20"/>
  <c r="H31" i="20"/>
  <c r="E56" i="20"/>
  <c r="J113" i="20"/>
  <c r="C201" i="20"/>
  <c r="D254" i="20"/>
  <c r="D344" i="20"/>
  <c r="E411" i="20"/>
  <c r="I88" i="20"/>
  <c r="K133" i="20"/>
  <c r="F148" i="20"/>
  <c r="J191" i="20"/>
  <c r="L210" i="20"/>
  <c r="I244" i="20"/>
  <c r="D284" i="20"/>
  <c r="E303" i="20"/>
  <c r="E343" i="20"/>
  <c r="K376" i="20"/>
  <c r="H390" i="20"/>
  <c r="D428" i="20"/>
  <c r="L364" i="20"/>
  <c r="L367" i="20"/>
  <c r="J17" i="20"/>
  <c r="F58" i="20"/>
  <c r="I117" i="20"/>
  <c r="G166" i="20"/>
  <c r="E259" i="20"/>
  <c r="J304" i="20"/>
  <c r="F413" i="20"/>
  <c r="H89" i="20"/>
  <c r="L111" i="20"/>
  <c r="C153" i="20"/>
  <c r="E168" i="20"/>
  <c r="E212" i="20"/>
  <c r="L248" i="20"/>
  <c r="E264" i="20"/>
  <c r="E307" i="20"/>
  <c r="F347" i="20"/>
  <c r="E363" i="20"/>
  <c r="G392" i="20"/>
  <c r="J415" i="20"/>
  <c r="F431" i="20"/>
  <c r="H445" i="20"/>
  <c r="K440" i="20"/>
  <c r="K429" i="20"/>
  <c r="D20" i="20"/>
  <c r="L37" i="20"/>
  <c r="L63" i="20"/>
  <c r="E87" i="20"/>
  <c r="E121" i="20"/>
  <c r="E173" i="20"/>
  <c r="D216" i="20"/>
  <c r="J267" i="20"/>
  <c r="C311" i="20"/>
  <c r="H311" i="20"/>
  <c r="L360" i="20"/>
  <c r="J432" i="20"/>
  <c r="I54" i="20"/>
  <c r="I90" i="20"/>
  <c r="H90" i="20"/>
  <c r="K116" i="20"/>
  <c r="C135" i="20"/>
  <c r="D154" i="20"/>
  <c r="K172" i="20"/>
  <c r="I172" i="20"/>
  <c r="J193" i="20"/>
  <c r="D215" i="20"/>
  <c r="E232" i="20"/>
  <c r="E249" i="20"/>
  <c r="L249" i="20"/>
  <c r="J269" i="20"/>
  <c r="C289" i="20"/>
  <c r="L314" i="20"/>
  <c r="H332" i="20"/>
  <c r="G332" i="20"/>
  <c r="J348" i="20"/>
  <c r="C365" i="20"/>
  <c r="K379" i="20"/>
  <c r="K397" i="20"/>
  <c r="I416" i="20"/>
  <c r="H416" i="20"/>
  <c r="J433" i="20"/>
  <c r="I448" i="20"/>
  <c r="I6" i="20"/>
  <c r="F22" i="20"/>
  <c r="G39" i="20"/>
  <c r="D39" i="20"/>
  <c r="C66" i="20"/>
  <c r="H95" i="20"/>
  <c r="G125" i="20"/>
  <c r="C181" i="20"/>
  <c r="D181" i="20"/>
  <c r="C220" i="20"/>
  <c r="H278" i="20"/>
  <c r="I313" i="20"/>
  <c r="G382" i="20"/>
  <c r="D382" i="20"/>
  <c r="E442" i="20"/>
  <c r="I64" i="20"/>
  <c r="L92" i="20"/>
  <c r="G120" i="20"/>
  <c r="E120" i="20"/>
  <c r="F138" i="20"/>
  <c r="G155" i="20"/>
  <c r="J176" i="20"/>
  <c r="G196" i="20"/>
  <c r="L196" i="20"/>
  <c r="F217" i="20"/>
  <c r="I234" i="20"/>
  <c r="I250" i="20"/>
  <c r="J273" i="20"/>
  <c r="H273" i="20"/>
  <c r="K290" i="20"/>
  <c r="E315" i="20"/>
  <c r="H334" i="20"/>
  <c r="J349" i="20"/>
  <c r="L349" i="20"/>
  <c r="G368" i="20"/>
  <c r="D380" i="20"/>
  <c r="C398" i="20"/>
  <c r="C418" i="20"/>
  <c r="D418" i="20"/>
  <c r="K434" i="20"/>
  <c r="J375" i="20"/>
  <c r="J277" i="20"/>
  <c r="J335" i="20"/>
  <c r="J395" i="20"/>
  <c r="J295" i="20"/>
  <c r="J261" i="20"/>
  <c r="C241" i="20"/>
  <c r="E372" i="20"/>
  <c r="J88" i="20"/>
  <c r="K414" i="20"/>
  <c r="K259" i="20"/>
  <c r="C192" i="20"/>
  <c r="C415" i="20"/>
  <c r="F63" i="20"/>
  <c r="E360" i="20"/>
  <c r="D135" i="20"/>
  <c r="G249" i="20"/>
  <c r="D348" i="20"/>
  <c r="C433" i="20"/>
  <c r="K66" i="20"/>
  <c r="J278" i="20"/>
  <c r="H120" i="20"/>
  <c r="E196" i="20"/>
  <c r="E290" i="20"/>
  <c r="L380" i="20"/>
  <c r="J420" i="20"/>
  <c r="C105" i="20"/>
  <c r="D253" i="20"/>
  <c r="H124" i="20"/>
  <c r="G194" i="20"/>
  <c r="K144" i="20"/>
  <c r="L276" i="20"/>
  <c r="G404" i="20"/>
  <c r="I55" i="20"/>
  <c r="D296" i="20"/>
  <c r="H145" i="20"/>
  <c r="G208" i="20"/>
  <c r="F241" i="20"/>
  <c r="H301" i="20"/>
  <c r="D341" i="20"/>
  <c r="J373" i="20"/>
  <c r="H408" i="20"/>
  <c r="D443" i="20"/>
  <c r="I15" i="20"/>
  <c r="D31" i="20"/>
  <c r="G78" i="20"/>
  <c r="L113" i="20"/>
  <c r="K201" i="20"/>
  <c r="C297" i="20"/>
  <c r="L344" i="20"/>
  <c r="L48" i="20"/>
  <c r="D88" i="20"/>
  <c r="G133" i="20"/>
  <c r="E167" i="20"/>
  <c r="L191" i="20"/>
  <c r="E230" i="20"/>
  <c r="D244" i="20"/>
  <c r="C284" i="20"/>
  <c r="F329" i="20"/>
  <c r="C343" i="20"/>
  <c r="G376" i="20"/>
  <c r="I414" i="20"/>
  <c r="H444" i="20"/>
  <c r="L298" i="20"/>
  <c r="L352" i="20"/>
  <c r="D34" i="20"/>
  <c r="J58" i="20"/>
  <c r="K117" i="20"/>
  <c r="D203" i="20"/>
  <c r="H259" i="20"/>
  <c r="C353" i="20"/>
  <c r="J413" i="20"/>
  <c r="K89" i="20"/>
  <c r="H134" i="20"/>
  <c r="E153" i="20"/>
  <c r="D192" i="20"/>
  <c r="I212" i="20"/>
  <c r="F248" i="20"/>
  <c r="F288" i="20"/>
  <c r="C307" i="20"/>
  <c r="E347" i="20"/>
  <c r="E377" i="20"/>
  <c r="C392" i="20"/>
  <c r="K415" i="20"/>
  <c r="J431" i="20"/>
  <c r="K386" i="20"/>
  <c r="K420" i="20"/>
  <c r="K395" i="20"/>
  <c r="F20" i="20"/>
  <c r="F37" i="20"/>
  <c r="G63" i="20"/>
  <c r="H87" i="20"/>
  <c r="H121" i="20"/>
  <c r="H173" i="20"/>
  <c r="F216" i="20"/>
  <c r="D267" i="20"/>
  <c r="J311" i="20"/>
  <c r="C360" i="20"/>
  <c r="H360" i="20"/>
  <c r="K432" i="20"/>
  <c r="K54" i="20"/>
  <c r="L90" i="20"/>
  <c r="E116" i="20"/>
  <c r="L116" i="20"/>
  <c r="F135" i="20"/>
  <c r="E154" i="20"/>
  <c r="D172" i="20"/>
  <c r="D193" i="20"/>
  <c r="K193" i="20"/>
  <c r="E215" i="20"/>
  <c r="G232" i="20"/>
  <c r="H249" i="20"/>
  <c r="F269" i="20"/>
  <c r="K269" i="20"/>
  <c r="D289" i="20"/>
  <c r="K314" i="20"/>
  <c r="L332" i="20"/>
  <c r="F348" i="20"/>
  <c r="K348" i="20"/>
  <c r="D365" i="20"/>
  <c r="L379" i="20"/>
  <c r="E397" i="20"/>
  <c r="C416" i="20"/>
  <c r="E433" i="20"/>
  <c r="L433" i="20"/>
  <c r="D448" i="20"/>
  <c r="C6" i="20"/>
  <c r="I22" i="20"/>
  <c r="F39" i="20"/>
  <c r="F66" i="20"/>
  <c r="D66" i="20"/>
  <c r="J95" i="20"/>
  <c r="E125" i="20"/>
  <c r="H181" i="20"/>
  <c r="F220" i="20"/>
  <c r="D220" i="20"/>
  <c r="C278" i="20"/>
  <c r="H313" i="20"/>
  <c r="J382" i="20"/>
  <c r="L442" i="20"/>
  <c r="G442" i="20"/>
  <c r="C64" i="20"/>
  <c r="D92" i="20"/>
  <c r="J120" i="20"/>
  <c r="C138" i="20"/>
  <c r="H138" i="20"/>
  <c r="I155" i="20"/>
  <c r="K176" i="20"/>
  <c r="H196" i="20"/>
  <c r="K217" i="20"/>
  <c r="H217" i="20"/>
  <c r="C234" i="20"/>
  <c r="C250" i="20"/>
  <c r="D273" i="20"/>
  <c r="L290" i="20"/>
  <c r="F290" i="20"/>
  <c r="I315" i="20"/>
  <c r="E334" i="20"/>
  <c r="H349" i="20"/>
  <c r="C368" i="20"/>
  <c r="I368" i="20"/>
  <c r="E380" i="20"/>
  <c r="G398" i="20"/>
  <c r="F418" i="20"/>
  <c r="E434" i="20"/>
  <c r="L434" i="20"/>
  <c r="J401" i="20"/>
  <c r="J385" i="20"/>
  <c r="J280" i="20"/>
  <c r="J374" i="20"/>
  <c r="J306" i="20"/>
  <c r="J372" i="20"/>
  <c r="J379" i="20"/>
  <c r="C125" i="20"/>
  <c r="C382" i="20"/>
  <c r="L138" i="20"/>
  <c r="G234" i="20"/>
  <c r="D334" i="20"/>
  <c r="I418" i="20"/>
  <c r="J417" i="20"/>
  <c r="F282" i="20"/>
  <c r="H30" i="20"/>
  <c r="H443" i="20"/>
  <c r="L254" i="20"/>
  <c r="J244" i="20"/>
  <c r="L310" i="20"/>
  <c r="G413" i="20"/>
  <c r="F264" i="20"/>
  <c r="K425" i="20"/>
  <c r="F121" i="20"/>
  <c r="C432" i="20"/>
  <c r="J172" i="20"/>
  <c r="D269" i="20"/>
  <c r="C348" i="20"/>
  <c r="J6" i="20"/>
  <c r="E181" i="20"/>
  <c r="L382" i="20"/>
  <c r="G138" i="20"/>
  <c r="J234" i="20"/>
  <c r="F349" i="20"/>
  <c r="D434" i="20"/>
  <c r="J381" i="20"/>
  <c r="G79" i="20"/>
  <c r="C79" i="20"/>
  <c r="G257" i="20"/>
  <c r="I257" i="20"/>
  <c r="L53" i="20"/>
  <c r="F53" i="20"/>
  <c r="G170" i="20"/>
  <c r="H170" i="20"/>
  <c r="E404" i="20"/>
  <c r="F404" i="20"/>
  <c r="F8" i="20"/>
  <c r="E8" i="20"/>
  <c r="E97" i="20"/>
  <c r="L97" i="20"/>
  <c r="F283" i="20"/>
  <c r="L283" i="20"/>
  <c r="D81" i="20"/>
  <c r="E81" i="20"/>
  <c r="K81" i="20"/>
  <c r="F182" i="20"/>
  <c r="I182" i="20"/>
  <c r="E182" i="20"/>
  <c r="K372" i="20"/>
  <c r="C372" i="20"/>
  <c r="D372" i="20"/>
  <c r="F372" i="20"/>
  <c r="F277" i="20"/>
  <c r="F352" i="20"/>
  <c r="F308" i="20"/>
  <c r="I375" i="20"/>
  <c r="C375" i="20"/>
  <c r="D375" i="20"/>
  <c r="C255" i="20"/>
  <c r="C224" i="20"/>
  <c r="C437" i="20"/>
  <c r="C451" i="20"/>
  <c r="C367" i="20"/>
  <c r="C158" i="20"/>
  <c r="E16" i="20"/>
  <c r="L16" i="20"/>
  <c r="D16" i="20"/>
  <c r="L114" i="20"/>
  <c r="D114" i="20"/>
  <c r="I114" i="20"/>
  <c r="L302" i="20"/>
  <c r="D302" i="20"/>
  <c r="E302" i="20"/>
  <c r="K93" i="20"/>
  <c r="C93" i="20"/>
  <c r="J93" i="20"/>
  <c r="E198" i="20"/>
  <c r="L198" i="20"/>
  <c r="D198" i="20"/>
  <c r="C381" i="20"/>
  <c r="F381" i="20"/>
  <c r="H429" i="20"/>
  <c r="E429" i="20"/>
  <c r="I437" i="20"/>
  <c r="I450" i="20"/>
  <c r="I68" i="20"/>
  <c r="I367" i="20"/>
  <c r="E422" i="20"/>
  <c r="C422" i="20"/>
  <c r="E224" i="20"/>
  <c r="E53" i="20"/>
  <c r="C414" i="20"/>
  <c r="E414" i="20"/>
  <c r="L24" i="20"/>
  <c r="D24" i="20"/>
  <c r="J24" i="20"/>
  <c r="D131" i="20"/>
  <c r="I131" i="20"/>
  <c r="J131" i="20"/>
  <c r="G131" i="20"/>
  <c r="L319" i="20"/>
  <c r="D319" i="20"/>
  <c r="E319" i="20"/>
  <c r="C319" i="20"/>
  <c r="C110" i="20"/>
  <c r="J110" i="20"/>
  <c r="I110" i="20"/>
  <c r="G110" i="20"/>
  <c r="E211" i="20"/>
  <c r="L211" i="20"/>
  <c r="D211" i="20"/>
  <c r="K211" i="20"/>
  <c r="C391" i="20"/>
  <c r="D391" i="20"/>
  <c r="E439" i="20"/>
  <c r="G439" i="20"/>
  <c r="H439" i="20"/>
  <c r="K438" i="20"/>
  <c r="C438" i="20"/>
  <c r="G97" i="20"/>
  <c r="G182" i="20"/>
  <c r="G53" i="20"/>
  <c r="G283" i="20"/>
  <c r="G8" i="20"/>
  <c r="G379" i="20"/>
  <c r="G370" i="20"/>
  <c r="G450" i="20"/>
  <c r="C431" i="20"/>
  <c r="D431" i="20"/>
  <c r="I350" i="20"/>
  <c r="F350" i="20"/>
  <c r="E350" i="20"/>
  <c r="H350" i="20"/>
  <c r="K350" i="20"/>
  <c r="E393" i="20"/>
  <c r="H393" i="20"/>
  <c r="F393" i="20"/>
  <c r="G393" i="20"/>
  <c r="C393" i="20"/>
  <c r="L393" i="20"/>
  <c r="C406" i="20"/>
  <c r="G406" i="20"/>
  <c r="D32" i="20"/>
  <c r="J32" i="20"/>
  <c r="I32" i="20"/>
  <c r="H32" i="20"/>
  <c r="K32" i="20"/>
  <c r="G32" i="20"/>
  <c r="C32" i="20"/>
  <c r="I44" i="20"/>
  <c r="H44" i="20"/>
  <c r="K44" i="20"/>
  <c r="G44" i="20"/>
  <c r="C44" i="20"/>
  <c r="F44" i="20"/>
  <c r="E44" i="20"/>
  <c r="J126" i="20"/>
  <c r="L126" i="20"/>
  <c r="H126" i="20"/>
  <c r="F126" i="20"/>
  <c r="K126" i="20"/>
  <c r="E126" i="20"/>
  <c r="D101" i="20"/>
  <c r="C101" i="20"/>
  <c r="C430" i="20"/>
  <c r="I430" i="20"/>
  <c r="D430" i="20"/>
  <c r="L174" i="20"/>
  <c r="L345" i="20"/>
  <c r="L450" i="20"/>
  <c r="L350" i="20"/>
  <c r="L8" i="20"/>
  <c r="L343" i="20"/>
  <c r="L320" i="20"/>
  <c r="L158" i="20"/>
  <c r="L68" i="20"/>
  <c r="L372" i="20"/>
  <c r="L81" i="20"/>
  <c r="L293" i="20"/>
  <c r="L408" i="20"/>
  <c r="I57" i="20"/>
  <c r="J57" i="20"/>
  <c r="G57" i="20"/>
  <c r="C57" i="20"/>
  <c r="F57" i="20"/>
  <c r="E57" i="20"/>
  <c r="L57" i="20"/>
  <c r="D57" i="20"/>
  <c r="C137" i="20"/>
  <c r="J137" i="20"/>
  <c r="G137" i="20"/>
  <c r="H137" i="20"/>
  <c r="F137" i="20"/>
  <c r="I137" i="20"/>
  <c r="E137" i="20"/>
  <c r="D403" i="20"/>
  <c r="I403" i="20"/>
  <c r="D118" i="20"/>
  <c r="C118" i="20"/>
  <c r="I118" i="20"/>
  <c r="L188" i="20"/>
  <c r="C188" i="20"/>
  <c r="E188" i="20"/>
  <c r="D162" i="20"/>
  <c r="L162" i="20"/>
  <c r="J162" i="20"/>
  <c r="H162" i="20"/>
  <c r="I162" i="20"/>
  <c r="F162" i="20"/>
  <c r="G162" i="20"/>
  <c r="G147" i="20"/>
  <c r="C147" i="20"/>
  <c r="F147" i="20"/>
  <c r="I147" i="20"/>
  <c r="E147" i="20"/>
  <c r="L147" i="20"/>
  <c r="D147" i="20"/>
  <c r="K417" i="20"/>
  <c r="L417" i="20"/>
  <c r="D417" i="20"/>
  <c r="C417" i="20"/>
  <c r="F417" i="20"/>
  <c r="H265" i="20"/>
  <c r="G265" i="20"/>
  <c r="C200" i="20"/>
  <c r="E200" i="20"/>
  <c r="I200" i="20"/>
  <c r="D62" i="20"/>
  <c r="D19" i="20"/>
  <c r="D325" i="20"/>
  <c r="D426" i="20"/>
  <c r="D206" i="20"/>
  <c r="D61" i="20"/>
  <c r="D18" i="20"/>
  <c r="D170" i="20"/>
  <c r="D79" i="20"/>
  <c r="D384" i="20"/>
  <c r="D11" i="20"/>
  <c r="D268" i="20"/>
  <c r="D405" i="20"/>
  <c r="D366" i="20"/>
  <c r="D245" i="20"/>
  <c r="D84" i="20"/>
  <c r="D400" i="20"/>
  <c r="D187" i="20"/>
  <c r="D46" i="20"/>
  <c r="D182" i="20"/>
  <c r="D310" i="20"/>
  <c r="D406" i="20"/>
  <c r="D441" i="20"/>
  <c r="D381" i="20"/>
  <c r="D306" i="20"/>
  <c r="D93" i="20"/>
  <c r="D224" i="20"/>
  <c r="D385" i="20"/>
  <c r="D291" i="20"/>
  <c r="D158" i="20"/>
  <c r="D68" i="20"/>
  <c r="D437" i="20"/>
  <c r="D364" i="20"/>
  <c r="D447" i="20"/>
  <c r="D272" i="20"/>
  <c r="G202" i="20"/>
  <c r="K202" i="20"/>
  <c r="F202" i="20"/>
  <c r="L202" i="20"/>
  <c r="D202" i="20"/>
  <c r="E202" i="20"/>
  <c r="G333" i="20"/>
  <c r="K333" i="20"/>
  <c r="F333" i="20"/>
  <c r="G98" i="20"/>
  <c r="D98" i="20"/>
  <c r="E98" i="20"/>
  <c r="L346" i="20"/>
  <c r="C346" i="20"/>
  <c r="K426" i="20"/>
  <c r="K306" i="20"/>
  <c r="K110" i="20"/>
  <c r="K335" i="20"/>
  <c r="K308" i="20"/>
  <c r="K258" i="20"/>
  <c r="K131" i="20"/>
  <c r="K421" i="20"/>
  <c r="K170" i="20"/>
  <c r="K8" i="20"/>
  <c r="K255" i="20"/>
  <c r="K257" i="20"/>
  <c r="K79" i="20"/>
  <c r="K443" i="20"/>
  <c r="K158" i="20"/>
  <c r="K224" i="20"/>
  <c r="K68" i="20"/>
  <c r="C425" i="20"/>
  <c r="F425" i="20"/>
  <c r="I271" i="20"/>
  <c r="D271" i="20"/>
  <c r="C271" i="20"/>
  <c r="D420" i="20"/>
  <c r="G420" i="20"/>
  <c r="H163" i="20"/>
  <c r="H209" i="20"/>
  <c r="H150" i="20"/>
  <c r="H139" i="20"/>
  <c r="H333" i="20"/>
  <c r="H450" i="20"/>
  <c r="H302" i="20"/>
  <c r="H202" i="20"/>
  <c r="H245" i="20"/>
  <c r="H187" i="20"/>
  <c r="H169" i="20"/>
  <c r="H268" i="20"/>
  <c r="H198" i="20"/>
  <c r="H395" i="20"/>
  <c r="H27" i="20"/>
  <c r="H235" i="20"/>
  <c r="H323" i="20"/>
  <c r="H237" i="20"/>
  <c r="H141" i="20"/>
  <c r="H335" i="20"/>
  <c r="H399" i="20"/>
  <c r="H419" i="20"/>
  <c r="H81" i="20"/>
  <c r="H283" i="20"/>
  <c r="H97" i="20"/>
  <c r="H8" i="20"/>
  <c r="H275" i="20"/>
  <c r="H182" i="20"/>
  <c r="H362" i="20"/>
  <c r="H257" i="20"/>
  <c r="H79" i="20"/>
  <c r="E280" i="20"/>
  <c r="L280" i="20"/>
  <c r="K280" i="20"/>
  <c r="J204" i="20"/>
  <c r="J103" i="20"/>
  <c r="J188" i="20"/>
  <c r="J174" i="20"/>
  <c r="J160" i="20"/>
  <c r="J40" i="20"/>
  <c r="J206" i="20"/>
  <c r="J320" i="20"/>
  <c r="J198" i="20"/>
  <c r="J393" i="20"/>
  <c r="J84" i="20"/>
  <c r="J53" i="20"/>
  <c r="J302" i="20"/>
  <c r="J355" i="20"/>
  <c r="J211" i="20"/>
  <c r="J81" i="20"/>
  <c r="J319" i="20"/>
  <c r="J182" i="20"/>
  <c r="J450" i="20"/>
  <c r="J283" i="20"/>
  <c r="J268" i="20"/>
  <c r="J170" i="20"/>
  <c r="J257" i="20"/>
  <c r="J79" i="20"/>
  <c r="J255" i="20"/>
  <c r="L184" i="20"/>
  <c r="K184" i="20"/>
  <c r="H184" i="20"/>
  <c r="J184" i="20"/>
  <c r="F184" i="20"/>
  <c r="C184" i="20"/>
  <c r="E184" i="20"/>
  <c r="I184" i="20"/>
  <c r="H412" i="20"/>
  <c r="C412" i="20"/>
  <c r="G412" i="20"/>
  <c r="D412" i="20"/>
  <c r="J412" i="20"/>
  <c r="I412" i="20"/>
  <c r="F412" i="20"/>
  <c r="G82" i="20"/>
  <c r="I82" i="20"/>
  <c r="E82" i="20"/>
  <c r="F374" i="20"/>
  <c r="H374" i="20"/>
  <c r="G374" i="20"/>
  <c r="L222" i="20"/>
  <c r="H222" i="20"/>
  <c r="F222" i="20"/>
  <c r="D222" i="20"/>
  <c r="K222" i="20"/>
  <c r="J222" i="20"/>
  <c r="I222" i="20"/>
  <c r="I286" i="20"/>
  <c r="K286" i="20"/>
  <c r="G286" i="20"/>
  <c r="D286" i="20"/>
  <c r="E286" i="20"/>
  <c r="F383" i="20"/>
  <c r="E383" i="20"/>
  <c r="I305" i="20"/>
  <c r="L305" i="20"/>
  <c r="D305" i="20"/>
  <c r="E305" i="20"/>
  <c r="C305" i="20"/>
  <c r="L59" i="20"/>
  <c r="F59" i="20"/>
  <c r="D59" i="20"/>
  <c r="C59" i="20"/>
  <c r="J59" i="20"/>
  <c r="D351" i="20"/>
  <c r="H351" i="20"/>
  <c r="I295" i="20"/>
  <c r="K295" i="20"/>
  <c r="E295" i="20"/>
  <c r="D295" i="20"/>
  <c r="F295" i="20"/>
  <c r="F36" i="20"/>
  <c r="D36" i="20"/>
  <c r="J36" i="20"/>
  <c r="L36" i="20"/>
  <c r="H36" i="20"/>
  <c r="E36" i="20"/>
  <c r="I36" i="20"/>
  <c r="G445" i="20"/>
  <c r="I445" i="20"/>
  <c r="I49" i="20"/>
  <c r="J49" i="20"/>
  <c r="F49" i="20"/>
  <c r="E49" i="20"/>
  <c r="H49" i="20"/>
  <c r="D49" i="20"/>
  <c r="J65" i="20"/>
  <c r="E65" i="20"/>
  <c r="I65" i="20"/>
  <c r="D65" i="20"/>
  <c r="J233" i="20"/>
  <c r="I233" i="20"/>
  <c r="H233" i="20"/>
  <c r="G233" i="20"/>
  <c r="D233" i="20"/>
  <c r="F233" i="20"/>
  <c r="E233" i="20"/>
  <c r="K233" i="20"/>
  <c r="C233" i="20"/>
  <c r="F130" i="20"/>
  <c r="C130" i="20"/>
  <c r="I130" i="20"/>
  <c r="G130" i="20"/>
  <c r="E130" i="20"/>
  <c r="D130" i="20"/>
  <c r="J75" i="20"/>
  <c r="E75" i="20"/>
  <c r="H75" i="20"/>
  <c r="G75" i="20"/>
  <c r="L10" i="20"/>
  <c r="C10" i="20"/>
  <c r="J10" i="20"/>
  <c r="H10" i="20"/>
  <c r="K10" i="20"/>
  <c r="F10" i="20"/>
  <c r="D10" i="20"/>
  <c r="G10" i="20"/>
  <c r="E336" i="20"/>
  <c r="K336" i="20"/>
  <c r="I336" i="20"/>
  <c r="L336" i="20"/>
  <c r="E361" i="20"/>
  <c r="F361" i="20"/>
  <c r="C435" i="20"/>
  <c r="I435" i="20"/>
  <c r="H435" i="20"/>
  <c r="G435" i="20"/>
  <c r="F243" i="20"/>
  <c r="L243" i="20"/>
  <c r="I243" i="20"/>
  <c r="G243" i="20"/>
  <c r="H243" i="20"/>
  <c r="E243" i="20"/>
  <c r="K243" i="20"/>
  <c r="C243" i="20"/>
  <c r="J243" i="20"/>
  <c r="D243" i="20"/>
  <c r="J327" i="20"/>
  <c r="E327" i="20"/>
  <c r="I327" i="20"/>
  <c r="H327" i="20"/>
  <c r="L327" i="20"/>
  <c r="G327" i="20"/>
  <c r="F327" i="20"/>
  <c r="K327" i="20"/>
  <c r="C327" i="20"/>
  <c r="D327" i="20"/>
  <c r="Q6" i="20" l="1"/>
  <c r="P6" i="20"/>
  <c r="Z9" i="4"/>
  <c r="AA15" i="4" s="1"/>
  <c r="AA9" i="4"/>
  <c r="AA17" i="4" s="1"/>
  <c r="AA14" i="4"/>
  <c r="Z16" i="4"/>
  <c r="AI12" i="4"/>
  <c r="Z15" i="4"/>
  <c r="Z14" i="4"/>
  <c r="AJ6" i="4"/>
  <c r="AJ14" i="4"/>
  <c r="AI10" i="4"/>
  <c r="AI13" i="4"/>
  <c r="AJ10" i="4"/>
  <c r="AI6" i="4"/>
  <c r="AI14" i="4"/>
  <c r="AJ5" i="4"/>
  <c r="AJ7" i="4"/>
  <c r="AJ15" i="4"/>
  <c r="AI11" i="4"/>
  <c r="AJ4" i="4"/>
  <c r="AA7" i="4"/>
  <c r="Z17" i="4"/>
  <c r="AJ9" i="4"/>
  <c r="AI5" i="4"/>
  <c r="AI9" i="4"/>
  <c r="AJ11" i="4"/>
  <c r="AI7" i="4"/>
  <c r="AI15" i="4"/>
  <c r="AJ12" i="4"/>
  <c r="Z7" i="4"/>
  <c r="AI4" i="4"/>
  <c r="AJ13" i="4"/>
  <c r="Z18" i="4"/>
  <c r="AA6" i="4"/>
  <c r="AA18" i="4" s="1"/>
  <c r="Z6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EBD2262-6049-4245-9AEB-0ECE2F13F823}" keepAlive="1" name="ThisWorkbookDataModel" description="Data Model" type="5" refreshedVersion="7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DE17F940-FFD7-4CC4-89BD-2A80E9FA10B0}" name="WorksheetConnection_Module 1 challenge.xlsx!Table1" type="102" refreshedVersion="7" minRefreshableVersion="5">
    <extLst>
      <ext xmlns:x15="http://schemas.microsoft.com/office/spreadsheetml/2010/11/main" uri="{DE250136-89BD-433C-8126-D09CA5730AF9}">
        <x15:connection id="Table1">
          <x15:rangePr sourceName="_xlcn.WorksheetConnection_Module1challenge.xlsxTable1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MDX" minSupportedVersion="120000" copy="1" pasteAll="1" pasteValues="1" merge="1" splitFirst="1" rowColShift="1" clearFormats="1" clearComments="1" assign="1" coerce="1"/>
  </metadataTypes>
  <metadataStrings count="454">
    <s v="ThisWorkbookDataModel"/>
    <s v="{[Table1].[outcomes].&amp;[successful]}"/>
    <s v="[Table1].[goal].[All]"/>
    <s v="[Table1].[goal].&amp;[1.6E5]"/>
    <s v="[Table1].[goal].&amp;[8.5E4]"/>
    <s v="[Table1].[goal].&amp;[6.E4]"/>
    <s v="[Table1].[goal].&amp;[4.425E4]"/>
    <s v="[Table1].[goal].&amp;[3.5E4]"/>
    <s v="[Table1].[goal].&amp;[2.8888E4]"/>
    <s v="[Table1].[goal].&amp;[2.42E4]"/>
    <s v="[Table1].[goal].&amp;[1.98E4]"/>
    <s v="[Table1].[goal].&amp;[1.7E4]"/>
    <s v="[Table1].[goal].&amp;[1.4E4]"/>
    <s v="[Table1].[goal].&amp;[1.1737E4]"/>
    <s v="[Table1].[goal].&amp;[1.E4]"/>
    <s v="[Table1].[goal].&amp;[8.925E3]"/>
    <s v="[Table1].[goal].&amp;[8.E3]"/>
    <s v="[Table1].[goal].&amp;[7.E3]"/>
    <s v="[Table1].[goal].&amp;[5.875E3]"/>
    <s v="[Table1].[goal].&amp;[5.E3]"/>
    <s v="[Table1].[goal].&amp;[4.5E3]"/>
    <s v="[Table1].[goal].&amp;[3.91E3]"/>
    <s v="[Table1].[goal].&amp;[3.405E3]"/>
    <s v="[Table1].[goal].&amp;[2.987E3]"/>
    <s v="[Table1].[goal].&amp;[2.6E3]"/>
    <s v="[Table1].[goal].&amp;[2.3E3]"/>
    <s v="[Table1].[goal].&amp;[1.96E3]"/>
    <s v="[Table1].[goal].&amp;[1.57E3]"/>
    <s v="[Table1].[goal].&amp;[1.35E3]"/>
    <s v="[Table1].[goal].&amp;[1.05E3]"/>
    <s v="[Table1].[goal].&amp;[8.39E2]"/>
    <s v="[Table1].[goal].&amp;[6.6E2]"/>
    <s v="[Table1].[goal].&amp;[4.51E2]"/>
    <s v="[Table1].[goal].&amp;[3.E2]"/>
    <s v="[Table1].[goal].&amp;[1.1E2]"/>
    <s v="[Table1].[goal].&amp;[1.3E1]"/>
    <s v="[Table1].[goal].&amp;[8.92E4]"/>
    <s v="[Table1].[goal].&amp;[1.7482E4]"/>
    <s v="[Table1].[goal].&amp;[9.E3]"/>
    <s v="[Table1].[goal].&amp;[2.35E3]"/>
    <s v="[Table1].[goal].&amp;[1.25E2]"/>
    <s v="[Table1].[goal].&amp;[4.E5]"/>
    <s v="[Table1].[goal].&amp;[1.5E5]"/>
    <s v="[Table1].[goal].&amp;[8.E4]"/>
    <s v="[Table1].[goal].&amp;[5.8425E4]"/>
    <s v="[Table1].[goal].&amp;[4.4E4]"/>
    <s v="[Table1].[goal].&amp;[3.4E4]"/>
    <s v="[Table1].[goal].&amp;[2.845E4]"/>
    <s v="[Table1].[goal].&amp;[2.4E4]"/>
    <s v="[Table1].[goal].&amp;[1.95E4]"/>
    <s v="[Table1].[goal].&amp;[1.67E4]"/>
    <s v="[Table1].[goal].&amp;[1.3E4]"/>
    <s v="[Table1].[goal].&amp;[1.15E4]"/>
    <s v="[Table1].[goal].&amp;[9.999E3]"/>
    <s v="[Table1].[goal].&amp;[8.75E3]"/>
    <s v="[Table1].[goal].&amp;[7.9E3]"/>
    <s v="[Table1].[goal].&amp;[6.999E3]"/>
    <s v="[Table1].[goal].&amp;[5.862E3]"/>
    <s v="[Table1].[goal].&amp;[4.999E3]"/>
    <s v="[Table1].[goal].&amp;[4.444E3]"/>
    <s v="[Table1].[goal].&amp;[3.871E3]"/>
    <s v="[Table1].[goal].&amp;[3.4E3]"/>
    <s v="[Table1].[goal].&amp;[2.9E3]"/>
    <s v="[Table1].[goal].&amp;[2.56E3]"/>
    <s v="[Table1].[goal].&amp;[2.25E3]"/>
    <s v="[Table1].[goal].&amp;[1.9E3]"/>
    <s v="[Table1].[goal].&amp;[1.551E3]"/>
    <s v="[Table1].[goal].&amp;[1.328E3]"/>
    <s v="[Table1].[goal].&amp;[1.E3]"/>
    <s v="[Table1].[goal].&amp;[8.E2]"/>
    <s v="[Table1].[goal].&amp;[6.5E2]"/>
    <s v="[Table1].[goal].&amp;[4.5E2]"/>
    <s v="[Table1].[goal].&amp;[2.5E2]"/>
    <s v="[Table1].[goal].&amp;[1.01E2]"/>
    <s v="[Table1].[goal].&amp;[1.E1]"/>
    <s v="[Table1].[goal].&amp;[6.5E4]"/>
    <s v="[Table1].[goal].&amp;[1.45E4]"/>
    <s v="[Table1].[goal].&amp;[7.2E3]"/>
    <s v="[Table1].[goal].&amp;[3.E3]"/>
    <s v="[Table1].[goal].&amp;[4.8E2]"/>
    <s v="[Table1].[goal].&amp;[3.E5]"/>
    <s v="[Table1].[goal].&amp;[1.26E5]"/>
    <s v="[Table1].[goal].&amp;[7.8E4]"/>
    <s v="[Table1].[goal].&amp;[5.5E4]"/>
    <s v="[Table1].[goal].&amp;[4.35E4]"/>
    <s v="[Table1].[goal].&amp;[3.35E4]"/>
    <s v="[Table1].[goal].&amp;[2.8E4]"/>
    <s v="[Table1].[goal].&amp;[2.3E4]"/>
    <s v="[Table1].[goal].&amp;[1.9E4]"/>
    <s v="[Table1].[goal].&amp;[1.635E4]"/>
    <s v="[Table1].[goal].&amp;[1.28E4]"/>
    <s v="[Table1].[goal].&amp;[1.126E4]"/>
    <s v="[Table1].[goal].&amp;[9.85E3]"/>
    <s v="[Table1].[goal].&amp;[8.6E3]"/>
    <s v="[Table1].[goal].&amp;[7.777E3]"/>
    <s v="[Table1].[goal].&amp;[6.9E3]"/>
    <s v="[Table1].[goal].&amp;[5.8E3]"/>
    <s v="[Table1].[goal].&amp;[4.9E3]"/>
    <s v="[Table1].[goal].&amp;[4.4E3]"/>
    <s v="[Table1].[goal].&amp;[3.8E3]"/>
    <s v="[Table1].[goal].&amp;[3.35E3]"/>
    <s v="[Table1].[goal].&amp;[2.827E3]"/>
    <s v="[Table1].[goal].&amp;[2.55E3]"/>
    <s v="[Table1].[goal].&amp;[2.22E3]"/>
    <s v="[Table1].[goal].&amp;[1.8E3]"/>
    <s v="[Table1].[goal].&amp;[1.55E3]"/>
    <s v="[Table1].[goal].&amp;[1.3E3]"/>
    <s v="[Table1].[goal].&amp;[9.99E2]"/>
    <s v="[Table1].[goal].&amp;[7.73E2]"/>
    <s v="[Table1].[goal].&amp;[6.2E2]"/>
    <s v="[Table1].[goal].&amp;[4.2E2]"/>
    <s v="[Table1].[goal].&amp;[2.25E2]"/>
    <s v="[Table1].[goal].&amp;[1.E2]"/>
    <s v="[Table1].[goal].&amp;[5.]"/>
    <s v="[Table1].[goal].&amp;[3.E4]"/>
    <s v="[Table1].[goal].&amp;[1.005E4]"/>
    <s v="[Table1].[goal].&amp;[5.25E3]"/>
    <s v="[Table1].[goal].&amp;[3.95E3]"/>
    <s v="[Table1].[goal].&amp;[1.57079E3]"/>
    <s v="[Table1].[goal].&amp;[3.15E2]"/>
    <s v="[Table1].[goal].&amp;[2.61962E5]"/>
    <s v="[Table1].[goal].&amp;[1.25E5]"/>
    <s v="[Table1].[goal].&amp;[7.5E4]"/>
    <s v="[Table1].[goal].&amp;[5.2E4]"/>
    <s v="[Table1].[goal].&amp;[4.2E4]"/>
    <s v="[Table1].[goal].&amp;[3.2768E4]"/>
    <s v="[Table1].[goal].&amp;[2.78E4]"/>
    <s v="[Table1].[goal].&amp;[2.2765E4]"/>
    <s v="[Table1].[goal].&amp;[1.88E4]"/>
    <s v="[Table1].[goal].&amp;[1.63E4]"/>
    <s v="[Table1].[goal].&amp;[1.2516E4]"/>
    <s v="[Table1].[goal].&amp;[1.1E4]"/>
    <s v="[Table1].[goal].&amp;[9.8E3]"/>
    <s v="[Table1].[goal].&amp;[8.5E3]"/>
    <s v="[Table1].[goal].&amp;[7.75E3]"/>
    <s v="[Table1].[goal].&amp;[6.7E3]"/>
    <s v="[Table1].[goal].&amp;[5.55555E3]"/>
    <s v="[Table1].[goal].&amp;[4.8E3]"/>
    <s v="[Table1].[goal].&amp;[4.3E3]"/>
    <s v="[Table1].[goal].&amp;[3.75E3]"/>
    <s v="[Table1].[goal].&amp;[3.3E3]"/>
    <s v="[Table1].[goal].&amp;[2.82E3]"/>
    <s v="[Table1].[goal].&amp;[2.5E3]"/>
    <s v="[Table1].[goal].&amp;[2.2E3]"/>
    <s v="[Table1].[goal].&amp;[1.75E3]"/>
    <s v="[Table1].[goal].&amp;[1.5E3]"/>
    <s v="[Table1].[goal].&amp;[1.25E3]"/>
    <s v="[Table1].[goal].&amp;[9.78E2]"/>
    <s v="[Table1].[goal].&amp;[7.5E2]"/>
    <s v="[Table1].[goal].&amp;[6.E2]"/>
    <s v="[Table1].[goal].&amp;[4.E2]"/>
    <s v="[Table1].[goal].&amp;[2.2E2]"/>
    <s v="[Table1].[goal].&amp;[8.E1]"/>
    <s v="[Table1].[goal].&amp;[1.]"/>
    <s v="[Table1].[goal].&amp;[2.5E4]"/>
    <s v="[Table1].[goal].&amp;[8.012E3]"/>
    <s v="[Table1].[goal].&amp;[4.575E3]"/>
    <s v="[Table1].[goal].&amp;[1.96447E3]"/>
    <s v="[Table1].[goal].&amp;[1.385E3]"/>
    <s v="[Table1].[goal].&amp;[2.5E1]"/>
    <s v="[Table1].[goal].&amp;[2.5E5]"/>
    <s v="[Table1].[goal].&amp;[1.16E5]"/>
    <s v="[Table1].[goal].&amp;[7.15E4]"/>
    <s v="[Table1].[goal].&amp;[5.E4]"/>
    <s v="[Table1].[goal].&amp;[4.E4]"/>
    <s v="[Table1].[goal].&amp;[3.236E4]"/>
    <s v="[Table1].[goal].&amp;[2.7E4]"/>
    <s v="[Table1].[goal].&amp;[2.24E4]"/>
    <s v="[Table1].[goal].&amp;[1.85E4]"/>
    <s v="[Table1].[goal].&amp;[1.6E4]"/>
    <s v="[Table1].[goal].&amp;[1.25E4]"/>
    <s v="[Table1].[goal].&amp;[1.06E4]"/>
    <s v="[Table1].[goal].&amp;[9.665E3]"/>
    <s v="[Table1].[goal].&amp;[8.4E3]"/>
    <s v="[Table1].[goal].&amp;[7.501E3]"/>
    <s v="[Table1].[goal].&amp;[6.5E3]"/>
    <s v="[Table1].[goal].&amp;[5.5E3]"/>
    <s v="[Table1].[goal].&amp;[4.7E3]"/>
    <s v="[Table1].[goal].&amp;[4.2E3]"/>
    <s v="[Table1].[goal].&amp;[3.7E3]"/>
    <s v="[Table1].[goal].&amp;[3.25E3]"/>
    <s v="[Table1].[goal].&amp;[2.8E3]"/>
    <s v="[Table1].[goal].&amp;[2.468E3]"/>
    <s v="[Table1].[goal].&amp;[2.1E3]"/>
    <s v="[Table1].[goal].&amp;[1.7E3]"/>
    <s v="[Table1].[goal].&amp;[1.45E3]"/>
    <s v="[Table1].[goal].&amp;[1.2E3]"/>
    <s v="[Table1].[goal].&amp;[9.6E2]"/>
    <s v="[Table1].[goal].&amp;[7.45E2]"/>
    <s v="[Table1].[goal].&amp;[5.5E2]"/>
    <s v="[Table1].[goal].&amp;[3.5E2]"/>
    <s v="[Table1].[goal].&amp;[2.E2]"/>
    <s v="[Table1].[goal].&amp;[7.E1]"/>
    <s v="[Measures].[Sum of backers_count]"/>
    <s v="[Table1].[goal].&amp;[3.64E4]"/>
    <s v="[Table1].[goal].&amp;[1.2E4]"/>
    <s v="[Table1].[goal].&amp;[3.5E3]"/>
    <s v="[Table1].[goal].&amp;[1.07E3]"/>
    <s v="[Table1].[goal].&amp;[2.E5]"/>
    <s v="[Table1].[goal].&amp;[1.E5]"/>
    <s v="[Table1].[goal].&amp;[7.E4]"/>
    <s v="[Table1].[goal].&amp;[4.8E4]"/>
    <s v="[Table1].[goal].&amp;[3.8E4]"/>
    <s v="[Table1].[goal].&amp;[3.2E4]"/>
    <s v="[Table1].[goal].&amp;[2.65E4]"/>
    <s v="[Table1].[goal].&amp;[2.2E4]"/>
    <s v="[Table1].[goal].&amp;[1.8E4]"/>
    <s v="[Table1].[goal].&amp;[1.55E4]"/>
    <s v="[Table1].[goal].&amp;[1.2444E4]"/>
    <s v="[Table1].[goal].&amp;[1.05E4]"/>
    <s v="[Table1].[goal].&amp;[9.5E3]"/>
    <s v="[Table1].[goal].&amp;[8.3E3]"/>
    <s v="[Table1].[goal].&amp;[7.5E3]"/>
    <s v="[Table1].[goal].&amp;[6.45E3]"/>
    <s v="[Table1].[goal].&amp;[5.494E3]"/>
    <s v="[Table1].[goal].&amp;[4.6E3]"/>
    <s v="[Table1].[goal].&amp;[4.E3]"/>
    <s v="[Table1].[goal].&amp;[3.675E3]"/>
    <s v="[Table1].[goal].&amp;[3.2E3]"/>
    <s v="[Table1].[goal].&amp;[2.75E3]"/>
    <s v="[Table1].[goal].&amp;[2.45E3]"/>
    <s v="[Table1].[goal].&amp;[2.001E3]"/>
    <s v="[Table1].[goal].&amp;[1.65E3]"/>
    <s v="[Table1].[goal].&amp;[1.4E3]"/>
    <s v="[Table1].[goal].&amp;[1.15E3]"/>
    <s v="[Table1].[goal].&amp;[9.3E2]"/>
    <s v="[Table1].[goal].&amp;[7.4E2]"/>
    <s v="[Table1].[goal].&amp;[5.E2]"/>
    <s v="[Table1].[goal].&amp;[3.47E2]"/>
    <s v="[Table1].[goal].&amp;[1.53E2]"/>
    <s v="[Table1].[goal].&amp;[5.E1]"/>
    <s v="[Measures].[Sum of pledged]"/>
    <s v="[Table1].[goal].&amp;[4.5E4]"/>
    <s v="[Table1].[goal].&amp;[8.5E2]"/>
    <s v="[Table1].[goal].&amp;[1.98E5]"/>
    <s v="[Table1].[goal].&amp;[9.8E4]"/>
    <s v="[Table1].[goal].&amp;[6.8E4]"/>
    <s v="[Table1].[goal].&amp;[4.7E4]"/>
    <s v="[Table1].[goal].&amp;[3.75E4]"/>
    <s v="[Table1].[goal].&amp;[3.1E4]"/>
    <s v="[Table1].[goal].&amp;[2.6E4]"/>
    <s v="[Table1].[goal].&amp;[2.1E4]"/>
    <s v="[Table1].[goal].&amp;[1.75E4]"/>
    <s v="[Table1].[goal].&amp;[1.5E4]"/>
    <s v="[Table1].[goal].&amp;[1.22E4]"/>
    <s v="[Table1].[goal].&amp;[1.0275E4]"/>
    <s v="[Table1].[goal].&amp;[9.072E3]"/>
    <s v="[Table1].[goal].&amp;[8.2E3]"/>
    <s v="[Table1].[goal].&amp;[7.214E3]"/>
    <s v="[Table1].[goal].&amp;[6.35E3]"/>
    <s v="[Table1].[goal].&amp;[5.4E3]"/>
    <s v="[Table1].[goal].&amp;[4.589E3]"/>
    <s v="[Table1].[goal].&amp;[3.999E3]"/>
    <s v="[Table1].[goal].&amp;[3.6E3]"/>
    <s v="[Table1].[goal].&amp;[3.1E3]"/>
    <s v="[Table1].[goal].&amp;[2.7E3]"/>
    <s v="[Table1].[goal].&amp;[2.4E3]"/>
    <s v="[Table1].[goal].&amp;[2.E3]"/>
    <s v="[Table1].[goal].&amp;[1.6E3]"/>
    <s v="[Table1].[goal].&amp;[1.395E3]"/>
    <s v="[Table1].[goal].&amp;[1.1E3]"/>
    <s v="[Table1].[goal].&amp;[9.E2]"/>
    <s v="[Table1].[goal].&amp;[7.E2]"/>
    <s v="[Table1].[goal].&amp;[4.95E2]"/>
    <s v="[Table1].[goal].&amp;[3.33E2]"/>
    <s v="[Table1].[goal].&amp;[1.5E2]"/>
    <s v="[Table1].[goal].&amp;[4.E1]"/>
    <s v="[Table1].[goal].&amp;[1.79E5]"/>
    <s v="[Table1].[goal].&amp;[2.E4]"/>
    <s v="[Table1].[goal].&amp;[6.E3]"/>
    <s v="[Table1].[goal].&amp;[2.658E3]"/>
    <s v="[Table1].[goal].&amp;[6.75E2]"/>
    <s v="[Table1].[outcomes].&amp;[successful]"/>
    <s v="[Table1].[goal].&amp;[8.E6]"/>
    <s v="[Table1].[goal].&amp;[1.35E6]"/>
    <s v="[Table1].[goal].&amp;[5.5E5]"/>
    <s v="[Table1].[goal].&amp;[3.75E5]"/>
    <s v="[Table1].[goal].&amp;[1.8E5]"/>
    <s v="[Table1].[goal].&amp;[1.2E5]"/>
    <s v="[Table1].[goal].&amp;[9.5E4]"/>
    <s v="[Table1].[goal].&amp;[7.4997E4]"/>
    <s v="[Table1].[goal].&amp;[4.9E4]"/>
    <s v="[Table1].[goal].&amp;[3.8888E4]"/>
    <s v="[Table1].[goal].&amp;[2.45E4]"/>
    <s v="[Table1].[goal].&amp;[1.687E4]"/>
    <s v="[Table1].[goal].&amp;[1.27E4]"/>
    <s v="[Table1].[goal].&amp;[1.0115E4]"/>
    <s v="[Table1].[goal].&amp;[7.175E3]"/>
    <s v="[Table1].[goal].&amp;[5.105E3]"/>
    <s v="[Table1].[goal].&amp;[4.059E3]"/>
    <s v="[Table1].[goal].&amp;[3.333E3]"/>
    <s v="[Table1].[goal].&amp;[2.88E3]"/>
    <s v="[Table1].[goal].&amp;[1.85E3]"/>
    <s v="[Table1].[goal].&amp;[6.66E2]"/>
    <s v="[Table1].[goal].&amp;[2.7E2]"/>
    <s v="[Table1].[goal].&amp;[5.E6]"/>
    <s v="[Table1].[goal].&amp;[1.3E6]"/>
    <s v="[Table1].[goal].&amp;[5.E5]"/>
    <s v="[Table1].[goal].&amp;[3.5E5]"/>
    <s v="[Table1].[goal].&amp;[1.72889E5]"/>
    <s v="[Table1].[goal].&amp;[1.1525E5]"/>
    <s v="[Table1].[goal].&amp;[9.35E4]"/>
    <s v="[Table1].[goal].&amp;[6.5108E4]"/>
    <s v="[Table1].[goal].&amp;[4.85E4]"/>
    <s v="[Table1].[goal].&amp;[3.7E4]"/>
    <s v="[Table1].[goal].&amp;[2.25E4]"/>
    <s v="[Table1].[goal].&amp;[1.492E4]"/>
    <s v="[Table1].[goal].&amp;[1.2001E4]"/>
    <s v="[Table1].[goal].&amp;[9.3E3]"/>
    <s v="[Table1].[goal].&amp;[6.3E3]"/>
    <s v="[Table1].[goal].&amp;[4.95E3]"/>
    <s v="[Table1].[goal].&amp;[3.87E3]"/>
    <s v="[Table1].[goal].&amp;[3.265E3]"/>
    <s v="[Table1].[goal].&amp;[2.725E3]"/>
    <s v="[Table1].[goal].&amp;[1.11E3]"/>
    <s v="[Table1].[goal].&amp;[5.3E2]"/>
    <s v="[Table1].[goal].&amp;[1.28E2]"/>
    <s v="[Table1].[goal].&amp;[3.E6]"/>
    <s v="[Table1].[goal].&amp;[1.E6]"/>
    <s v="[Table1].[goal].&amp;[4.749E5]"/>
    <s v="[Table1].[goal].&amp;[3.2E5]"/>
    <s v="[Table1].[goal].&amp;[1.4E5]"/>
    <s v="[Table1].[goal].&amp;[1.1E5]"/>
    <s v="[Table1].[goal].&amp;[9.E4]"/>
    <s v="[Table1].[goal].&amp;[5.7E4]"/>
    <s v="[Table1].[goal].&amp;[4.626E4]"/>
    <s v="[Table1].[goal].&amp;[3.55E4]"/>
    <s v="[Table1].[goal].&amp;[1.998E4]"/>
    <s v="[Table1].[goal].&amp;[1.444E4]"/>
    <s v="[Table1].[goal].&amp;[1.1999E4]"/>
    <s v="[Table1].[goal].&amp;[9.041E3]"/>
    <s v="[Table1].[goal].&amp;[6.048E3]"/>
    <s v="[Table1].[goal].&amp;[4.48E3]"/>
    <s v="[Table1].[goal].&amp;[3.78E3]"/>
    <s v="[Table1].[goal].&amp;[3.255E3]"/>
    <s v="[Table1].[goal].&amp;[2.413E3]"/>
    <s v="[Table1].[goal].&amp;[1.01E3]"/>
    <s v="[Table1].[goal].&amp;[5.25E2]"/>
    <s v="[Table1].[goal].&amp;[6.E1]"/>
    <s v="[Table1].[goal].&amp;[1.E8]"/>
    <s v="[Table1].[goal].&amp;[2.8E6]"/>
    <s v="[Table1].[goal].&amp;[9.E5]"/>
    <s v="[Table1].[goal].&amp;[4.62E5]"/>
    <s v="[Table1].[goal].&amp;[2.8E5]"/>
    <s v="[Table1].[goal].&amp;[1.338E5]"/>
    <s v="[Table1].[goal].&amp;[1.09225E5]"/>
    <s v="[Table1].[goal].&amp;[8.8888E4]"/>
    <s v="[Table1].[goal].&amp;[5.6E4]"/>
    <s v="[Table1].[goal].&amp;[4.285E4]"/>
    <s v="[Table1].[goal].&amp;[3.3E4]"/>
    <s v="[Table1].[goal].&amp;[1.895E4]"/>
    <s v="[Table1].[goal].&amp;[1.3803E4]"/>
    <s v="[Table1].[goal].&amp;[1.12E4]"/>
    <s v="[Table1].[goal].&amp;[8.888E3]"/>
    <s v="[Table1].[goal].&amp;[5.999E3]"/>
    <s v="[Table1].[goal].&amp;[4.336E3]"/>
    <s v="[Table1].[goal].&amp;[3.759E3]"/>
    <s v="[Table1].[goal].&amp;[3.152E3]"/>
    <s v="[Table1].[goal].&amp;[2.224E3]"/>
    <s v="[Table1].[goal].&amp;[9.11E2]"/>
    <s v="[Table1].[goal].&amp;[5.16E2]"/>
    <s v="[Table1].[goal].&amp;[2.E1]"/>
    <s v="[Table1].[goal].&amp;[2.5E7]"/>
    <s v="[Table1].[goal].&amp;[2.E6]"/>
    <s v="[Table1].[goal].&amp;[8.5E5]"/>
    <s v="[Table1].[goal].&amp;[3.9E5]"/>
    <s v="[Table1].[goal].&amp;[2.25E5]"/>
    <s v="[Table1].[goal].&amp;[1.3E5]"/>
    <s v="[Table1].[goal].&amp;[9.9E4]"/>
    <s v="[Table1].[goal].&amp;[8.635E4]"/>
    <s v="[Table1].[goal].&amp;[5.4E4]"/>
    <s v="[Table1].[goal].&amp;[3.94E4]"/>
    <s v="[Table1].[goal].&amp;[2.9E4]"/>
    <s v="[Table1].[goal].&amp;[1.76E4]"/>
    <s v="[Table1].[goal].&amp;[1.3111E4]"/>
    <s v="[Table1].[goal].&amp;[1.114E4]"/>
    <s v="[Table1].[goal].&amp;[8.8E3]"/>
    <s v="[Table1].[goal].&amp;[5.6E3]"/>
    <s v="[Table1].[goal].&amp;[4.19E3]"/>
    <s v="[Table1].[goal].&amp;[3.495E3]"/>
    <s v="[Table1].[goal].&amp;[2.888E3]"/>
    <s v="[Table1].[goal].&amp;[1.93E3]"/>
    <s v="[Table1].[goal].&amp;[7.77E2]"/>
    <s v="[Table1].[goal].&amp;[5.12E2]"/>
    <s v="[Table1].[goal].&amp;[8.E5]"/>
    <s v="[Table1].[goal].&amp;[1.33E5]"/>
    <s v="[Table1].[goal].&amp;[7.1764E4]"/>
    <s v="[Table1].[goal].&amp;[2.75E4]"/>
    <s v="[Table1].[goal].&amp;[1.118E4]"/>
    <s v="[Table1].[goal].&amp;[5.05E3]"/>
    <s v="[Table1].[goal].&amp;[2.885E3]"/>
    <s v="[Table1].[goal].&amp;[5.15E2]"/>
    <s v="[Table1].[goal].&amp;[8.8E4]"/>
    <s v="[Table1].[goal].&amp;[3.E7]"/>
    <s v="[Table1].[goal].&amp;[5.1E5]"/>
    <s v="[Table1].[goal].&amp;[1.24E5]"/>
    <s v="[Table1].[goal].&amp;[5.565E4]"/>
    <s v="[Table1].[goal].&amp;[2.39E4]"/>
    <s v="[Table1].[goal].&amp;[1.0557E4]"/>
    <s v="[Table1].[goal].&amp;[4.29E3]"/>
    <s v="[Table1].[goal].&amp;[2.825E3]"/>
    <s v="[Table1].[goal].&amp;[2.8E2]"/>
    <s v="[Table1].[goal].&amp;[2.2E5]"/>
    <s v="[Table1].[goal].&amp;[1.E7]"/>
    <s v="[Table1].[goal].&amp;[4.5E5]"/>
    <s v="[Table1].[goal].&amp;[1.17E5]"/>
    <s v="[Table1].[goal].&amp;[5.1E4]"/>
    <s v="[Table1].[goal].&amp;[1.89E4]"/>
    <s v="[Table1].[goal].&amp;[9.6E3]"/>
    <s v="[Table1].[goal].&amp;[4.1E3]"/>
    <s v="[Table1].[goal].&amp;[1.999E3]"/>
    <s v="[Table1].[goal].&amp;[1.99E2]"/>
    <s v="[Table1].[goal].&amp;[1.333666E6]"/>
    <s v="[Table1].[goal].&amp;[3.7956E4]"/>
    <s v="[Table1].[goal].&amp;[6.78E2]"/>
    <s v="[Table1].[goal].&amp;[6.E6]"/>
    <s v="[Table1].[goal].&amp;[3.8E5]"/>
    <s v="[Table1].[goal].&amp;[1.04219E5]"/>
    <s v="[Table1].[goal].&amp;[4.8725E4]"/>
    <s v="[Table1].[goal].&amp;[1.71E4]"/>
    <s v="[Table1].[goal].&amp;[8.88E3]"/>
    <s v="[Table1].[goal].&amp;[3.9E3]"/>
    <s v="[Table1].[goal].&amp;[1.897E3]"/>
    <s v="[Table1].[goal].&amp;[2.]"/>
    <s v="[Table1].[goal].&amp;[1.2999E4]"/>
    <s v="[Table1].[goal].&amp;[2.5E6]"/>
    <s v="[Table1].[goal].&amp;[3.72625E5]"/>
    <s v="[Table1].[goal].&amp;[9.7E4]"/>
    <s v="[Table1].[goal].&amp;[4.25E4]"/>
    <s v="[Table1].[goal].&amp;[1.65E4]"/>
    <s v="[Table1].[goal].&amp;[7.534E3]"/>
    <s v="[Table1].[goal].&amp;[3.55E3]"/>
    <s v="[Table1].[goal].&amp;[1.68E3]"/>
    <s v="[Table1].[outcomes].&amp;[live]"/>
    <s v="[Table1].[goal].&amp;[5.845E3]"/>
    <s v="[Table1].[goal].&amp;[1.5E6]"/>
    <s v="[Table1].[goal].&amp;[2.4E5]"/>
    <s v="[Table1].[goal].&amp;[9.4875E4]"/>
    <s v="[Table1].[goal].&amp;[3.9E4]"/>
    <s v="[Table1].[goal].&amp;[1.35E4]"/>
    <s v="[Table1].[goal].&amp;[6.75E3]"/>
    <s v="[Table1].[goal].&amp;[3.423E3]"/>
    <s v="[Table1].[goal].&amp;[7.8E2]"/>
    <s v="[Table1].[outcomes].&amp;[failed]"/>
    <s v="[Table1].[goal].&amp;[3.274E3]"/>
    <s v="[Table1].[outcomes].&amp;[canceled]"/>
    <s v="[Table1].[goal].&amp;[8.947E5]"/>
    <s v="[Table1].[goal].&amp;[1.75E5]"/>
    <s v="[Table1].[goal].&amp;[8.2E4]"/>
    <s v="[Table1].[goal].&amp;[3.25E4]"/>
    <s v="[Table1].[goal].&amp;[1.21E4]"/>
    <s v="[Table1].[goal].&amp;[5.2E3]"/>
    <s v="[Table1].[goal].&amp;[2.995E3]"/>
    <s v="[Table1].[goal].&amp;[5.75E2]"/>
  </metadataStrings>
  <mdxMetadata count="4921">
    <mdx n="0" f="s">
      <ms ns="1" c="0"/>
    </mdx>
    <mdx n="0" f="m">
      <t c="1">
        <n x="2"/>
      </t>
    </mdx>
    <mdx n="0" f="m">
      <t c="1">
        <n x="3"/>
      </t>
    </mdx>
    <mdx n="0" f="m">
      <t c="1">
        <n x="4"/>
      </t>
    </mdx>
    <mdx n="0" f="m">
      <t c="1">
        <n x="5"/>
      </t>
    </mdx>
    <mdx n="0" f="m">
      <t c="1">
        <n x="6"/>
      </t>
    </mdx>
    <mdx n="0" f="m">
      <t c="1">
        <n x="7"/>
      </t>
    </mdx>
    <mdx n="0" f="m">
      <t c="1">
        <n x="8"/>
      </t>
    </mdx>
    <mdx n="0" f="m">
      <t c="1">
        <n x="9"/>
      </t>
    </mdx>
    <mdx n="0" f="m">
      <t c="1">
        <n x="10"/>
      </t>
    </mdx>
    <mdx n="0" f="m">
      <t c="1">
        <n x="11"/>
      </t>
    </mdx>
    <mdx n="0" f="m">
      <t c="1">
        <n x="12"/>
      </t>
    </mdx>
    <mdx n="0" f="m">
      <t c="1">
        <n x="13"/>
      </t>
    </mdx>
    <mdx n="0" f="m">
      <t c="1">
        <n x="14"/>
      </t>
    </mdx>
    <mdx n="0" f="m">
      <t c="1">
        <n x="15"/>
      </t>
    </mdx>
    <mdx n="0" f="m">
      <t c="1">
        <n x="16"/>
      </t>
    </mdx>
    <mdx n="0" f="m">
      <t c="1">
        <n x="17"/>
      </t>
    </mdx>
    <mdx n="0" f="m">
      <t c="1">
        <n x="18"/>
      </t>
    </mdx>
    <mdx n="0" f="m">
      <t c="1">
        <n x="19"/>
      </t>
    </mdx>
    <mdx n="0" f="m">
      <t c="1">
        <n x="20"/>
      </t>
    </mdx>
    <mdx n="0" f="m">
      <t c="1">
        <n x="21"/>
      </t>
    </mdx>
    <mdx n="0" f="m">
      <t c="1">
        <n x="22"/>
      </t>
    </mdx>
    <mdx n="0" f="m">
      <t c="1">
        <n x="23"/>
      </t>
    </mdx>
    <mdx n="0" f="m">
      <t c="1">
        <n x="24"/>
      </t>
    </mdx>
    <mdx n="0" f="m">
      <t c="1">
        <n x="25"/>
      </t>
    </mdx>
    <mdx n="0" f="m">
      <t c="1">
        <n x="26"/>
      </t>
    </mdx>
    <mdx n="0" f="m">
      <t c="1">
        <n x="27"/>
      </t>
    </mdx>
    <mdx n="0" f="m">
      <t c="1">
        <n x="28"/>
      </t>
    </mdx>
    <mdx n="0" f="m">
      <t c="1">
        <n x="29"/>
      </t>
    </mdx>
    <mdx n="0" f="m">
      <t c="1">
        <n x="30"/>
      </t>
    </mdx>
    <mdx n="0" f="m">
      <t c="1">
        <n x="31"/>
      </t>
    </mdx>
    <mdx n="0" f="m">
      <t c="1">
        <n x="32"/>
      </t>
    </mdx>
    <mdx n="0" f="m">
      <t c="1">
        <n x="33"/>
      </t>
    </mdx>
    <mdx n="0" f="m">
      <t c="1">
        <n x="34"/>
      </t>
    </mdx>
    <mdx n="0" f="m">
      <t c="1">
        <n x="35"/>
      </t>
    </mdx>
    <mdx n="0" f="m">
      <t c="1">
        <n x="36"/>
      </t>
    </mdx>
    <mdx n="0" f="m">
      <t c="1">
        <n x="37"/>
      </t>
    </mdx>
    <mdx n="0" f="m">
      <t c="1">
        <n x="38"/>
      </t>
    </mdx>
    <mdx n="0" f="m">
      <t c="1">
        <n x="39"/>
      </t>
    </mdx>
    <mdx n="0" f="m">
      <t c="1">
        <n x="40"/>
      </t>
    </mdx>
    <mdx n="0" f="m">
      <t c="1">
        <n x="41"/>
      </t>
    </mdx>
    <mdx n="0" f="m">
      <t c="1">
        <n x="42"/>
      </t>
    </mdx>
    <mdx n="0" f="m">
      <t c="1">
        <n x="43"/>
      </t>
    </mdx>
    <mdx n="0" f="m">
      <t c="1">
        <n x="44"/>
      </t>
    </mdx>
    <mdx n="0" f="m">
      <t c="1">
        <n x="45"/>
      </t>
    </mdx>
    <mdx n="0" f="m">
      <t c="1">
        <n x="46"/>
      </t>
    </mdx>
    <mdx n="0" f="m">
      <t c="1">
        <n x="47"/>
      </t>
    </mdx>
    <mdx n="0" f="m">
      <t c="1">
        <n x="48"/>
      </t>
    </mdx>
    <mdx n="0" f="m">
      <t c="1">
        <n x="49"/>
      </t>
    </mdx>
    <mdx n="0" f="m">
      <t c="1">
        <n x="50"/>
      </t>
    </mdx>
    <mdx n="0" f="m">
      <t c="1">
        <n x="51"/>
      </t>
    </mdx>
    <mdx n="0" f="m">
      <t c="1">
        <n x="52"/>
      </t>
    </mdx>
    <mdx n="0" f="m">
      <t c="1">
        <n x="53"/>
      </t>
    </mdx>
    <mdx n="0" f="m">
      <t c="1">
        <n x="54"/>
      </t>
    </mdx>
    <mdx n="0" f="m">
      <t c="1">
        <n x="55"/>
      </t>
    </mdx>
    <mdx n="0" f="m">
      <t c="1">
        <n x="56"/>
      </t>
    </mdx>
    <mdx n="0" f="m">
      <t c="1">
        <n x="57"/>
      </t>
    </mdx>
    <mdx n="0" f="m">
      <t c="1">
        <n x="58"/>
      </t>
    </mdx>
    <mdx n="0" f="m">
      <t c="1">
        <n x="59"/>
      </t>
    </mdx>
    <mdx n="0" f="m">
      <t c="1">
        <n x="60"/>
      </t>
    </mdx>
    <mdx n="0" f="m">
      <t c="1">
        <n x="61"/>
      </t>
    </mdx>
    <mdx n="0" f="m">
      <t c="1">
        <n x="62"/>
      </t>
    </mdx>
    <mdx n="0" f="m">
      <t c="1">
        <n x="63"/>
      </t>
    </mdx>
    <mdx n="0" f="m">
      <t c="1">
        <n x="64"/>
      </t>
    </mdx>
    <mdx n="0" f="m">
      <t c="1">
        <n x="65"/>
      </t>
    </mdx>
    <mdx n="0" f="m">
      <t c="1">
        <n x="66"/>
      </t>
    </mdx>
    <mdx n="0" f="m">
      <t c="1">
        <n x="67"/>
      </t>
    </mdx>
    <mdx n="0" f="m">
      <t c="1">
        <n x="68"/>
      </t>
    </mdx>
    <mdx n="0" f="m">
      <t c="1">
        <n x="69"/>
      </t>
    </mdx>
    <mdx n="0" f="m">
      <t c="1">
        <n x="70"/>
      </t>
    </mdx>
    <mdx n="0" f="m">
      <t c="1">
        <n x="71"/>
      </t>
    </mdx>
    <mdx n="0" f="m">
      <t c="1">
        <n x="72"/>
      </t>
    </mdx>
    <mdx n="0" f="m">
      <t c="1">
        <n x="73"/>
      </t>
    </mdx>
    <mdx n="0" f="m">
      <t c="1">
        <n x="74"/>
      </t>
    </mdx>
    <mdx n="0" f="m">
      <t c="1">
        <n x="75"/>
      </t>
    </mdx>
    <mdx n="0" f="m">
      <t c="1">
        <n x="76"/>
      </t>
    </mdx>
    <mdx n="0" f="m">
      <t c="1">
        <n x="77"/>
      </t>
    </mdx>
    <mdx n="0" f="m">
      <t c="1">
        <n x="78"/>
      </t>
    </mdx>
    <mdx n="0" f="m">
      <t c="1">
        <n x="79"/>
      </t>
    </mdx>
    <mdx n="0" f="m">
      <t c="1">
        <n x="80"/>
      </t>
    </mdx>
    <mdx n="0" f="m">
      <t c="1">
        <n x="81"/>
      </t>
    </mdx>
    <mdx n="0" f="m">
      <t c="1">
        <n x="82"/>
      </t>
    </mdx>
    <mdx n="0" f="m">
      <t c="1">
        <n x="83"/>
      </t>
    </mdx>
    <mdx n="0" f="m">
      <t c="1">
        <n x="84"/>
      </t>
    </mdx>
    <mdx n="0" f="m">
      <t c="1">
        <n x="85"/>
      </t>
    </mdx>
    <mdx n="0" f="m">
      <t c="1">
        <n x="86"/>
      </t>
    </mdx>
    <mdx n="0" f="m">
      <t c="1">
        <n x="87"/>
      </t>
    </mdx>
    <mdx n="0" f="m">
      <t c="1">
        <n x="88"/>
      </t>
    </mdx>
    <mdx n="0" f="m">
      <t c="1">
        <n x="89"/>
      </t>
    </mdx>
    <mdx n="0" f="m">
      <t c="1">
        <n x="90"/>
      </t>
    </mdx>
    <mdx n="0" f="m">
      <t c="1">
        <n x="91"/>
      </t>
    </mdx>
    <mdx n="0" f="m">
      <t c="1">
        <n x="92"/>
      </t>
    </mdx>
    <mdx n="0" f="m">
      <t c="1">
        <n x="93"/>
      </t>
    </mdx>
    <mdx n="0" f="m">
      <t c="1">
        <n x="94"/>
      </t>
    </mdx>
    <mdx n="0" f="m">
      <t c="1">
        <n x="95"/>
      </t>
    </mdx>
    <mdx n="0" f="m">
      <t c="1">
        <n x="96"/>
      </t>
    </mdx>
    <mdx n="0" f="m">
      <t c="1">
        <n x="97"/>
      </t>
    </mdx>
    <mdx n="0" f="m">
      <t c="1">
        <n x="98"/>
      </t>
    </mdx>
    <mdx n="0" f="m">
      <t c="1">
        <n x="99"/>
      </t>
    </mdx>
    <mdx n="0" f="m">
      <t c="1">
        <n x="100"/>
      </t>
    </mdx>
    <mdx n="0" f="m">
      <t c="1">
        <n x="101"/>
      </t>
    </mdx>
    <mdx n="0" f="m">
      <t c="1">
        <n x="102"/>
      </t>
    </mdx>
    <mdx n="0" f="m">
      <t c="1">
        <n x="103"/>
      </t>
    </mdx>
    <mdx n="0" f="m">
      <t c="1">
        <n x="104"/>
      </t>
    </mdx>
    <mdx n="0" f="m">
      <t c="1">
        <n x="105"/>
      </t>
    </mdx>
    <mdx n="0" f="m">
      <t c="1">
        <n x="106"/>
      </t>
    </mdx>
    <mdx n="0" f="m">
      <t c="1">
        <n x="107"/>
      </t>
    </mdx>
    <mdx n="0" f="m">
      <t c="1">
        <n x="108"/>
      </t>
    </mdx>
    <mdx n="0" f="m">
      <t c="1">
        <n x="109"/>
      </t>
    </mdx>
    <mdx n="0" f="m">
      <t c="1">
        <n x="110"/>
      </t>
    </mdx>
    <mdx n="0" f="m">
      <t c="1">
        <n x="111"/>
      </t>
    </mdx>
    <mdx n="0" f="m">
      <t c="1">
        <n x="112"/>
      </t>
    </mdx>
    <mdx n="0" f="m">
      <t c="1">
        <n x="113"/>
      </t>
    </mdx>
    <mdx n="0" f="m">
      <t c="1">
        <n x="114"/>
      </t>
    </mdx>
    <mdx n="0" f="m">
      <t c="1">
        <n x="115"/>
      </t>
    </mdx>
    <mdx n="0" f="m">
      <t c="1">
        <n x="116"/>
      </t>
    </mdx>
    <mdx n="0" f="m">
      <t c="1">
        <n x="117"/>
      </t>
    </mdx>
    <mdx n="0" f="m">
      <t c="1">
        <n x="118"/>
      </t>
    </mdx>
    <mdx n="0" f="m">
      <t c="1">
        <n x="119"/>
      </t>
    </mdx>
    <mdx n="0" f="m">
      <t c="1">
        <n x="120"/>
      </t>
    </mdx>
    <mdx n="0" f="m">
      <t c="1">
        <n x="121"/>
      </t>
    </mdx>
    <mdx n="0" f="m">
      <t c="1">
        <n x="122"/>
      </t>
    </mdx>
    <mdx n="0" f="m">
      <t c="1">
        <n x="123"/>
      </t>
    </mdx>
    <mdx n="0" f="m">
      <t c="1">
        <n x="124"/>
      </t>
    </mdx>
    <mdx n="0" f="m">
      <t c="1">
        <n x="125"/>
      </t>
    </mdx>
    <mdx n="0" f="m">
      <t c="1">
        <n x="126"/>
      </t>
    </mdx>
    <mdx n="0" f="m">
      <t c="1">
        <n x="127"/>
      </t>
    </mdx>
    <mdx n="0" f="m">
      <t c="1">
        <n x="128"/>
      </t>
    </mdx>
    <mdx n="0" f="m">
      <t c="1">
        <n x="129"/>
      </t>
    </mdx>
    <mdx n="0" f="m">
      <t c="1">
        <n x="130"/>
      </t>
    </mdx>
    <mdx n="0" f="m">
      <t c="1">
        <n x="131"/>
      </t>
    </mdx>
    <mdx n="0" f="m">
      <t c="1">
        <n x="132"/>
      </t>
    </mdx>
    <mdx n="0" f="m">
      <t c="1">
        <n x="133"/>
      </t>
    </mdx>
    <mdx n="0" f="m">
      <t c="1">
        <n x="134"/>
      </t>
    </mdx>
    <mdx n="0" f="m">
      <t c="1">
        <n x="135"/>
      </t>
    </mdx>
    <mdx n="0" f="m">
      <t c="1">
        <n x="136"/>
      </t>
    </mdx>
    <mdx n="0" f="m">
      <t c="1">
        <n x="137"/>
      </t>
    </mdx>
    <mdx n="0" f="m">
      <t c="1">
        <n x="138"/>
      </t>
    </mdx>
    <mdx n="0" f="m">
      <t c="1">
        <n x="139"/>
      </t>
    </mdx>
    <mdx n="0" f="m">
      <t c="1">
        <n x="140"/>
      </t>
    </mdx>
    <mdx n="0" f="m">
      <t c="1">
        <n x="141"/>
      </t>
    </mdx>
    <mdx n="0" f="m">
      <t c="1">
        <n x="142"/>
      </t>
    </mdx>
    <mdx n="0" f="m">
      <t c="1">
        <n x="143"/>
      </t>
    </mdx>
    <mdx n="0" f="m">
      <t c="1">
        <n x="144"/>
      </t>
    </mdx>
    <mdx n="0" f="m">
      <t c="1">
        <n x="145"/>
      </t>
    </mdx>
    <mdx n="0" f="m">
      <t c="1">
        <n x="146"/>
      </t>
    </mdx>
    <mdx n="0" f="m">
      <t c="1">
        <n x="147"/>
      </t>
    </mdx>
    <mdx n="0" f="m">
      <t c="1">
        <n x="148"/>
      </t>
    </mdx>
    <mdx n="0" f="m">
      <t c="1">
        <n x="149"/>
      </t>
    </mdx>
    <mdx n="0" f="m">
      <t c="1">
        <n x="150"/>
      </t>
    </mdx>
    <mdx n="0" f="m">
      <t c="1">
        <n x="151"/>
      </t>
    </mdx>
    <mdx n="0" f="m">
      <t c="1">
        <n x="152"/>
      </t>
    </mdx>
    <mdx n="0" f="m">
      <t c="1">
        <n x="153"/>
      </t>
    </mdx>
    <mdx n="0" f="m">
      <t c="1">
        <n x="154"/>
      </t>
    </mdx>
    <mdx n="0" f="m">
      <t c="1">
        <n x="155"/>
      </t>
    </mdx>
    <mdx n="0" f="m">
      <t c="1">
        <n x="156"/>
      </t>
    </mdx>
    <mdx n="0" f="m">
      <t c="1">
        <n x="157"/>
      </t>
    </mdx>
    <mdx n="0" f="m">
      <t c="1">
        <n x="158"/>
      </t>
    </mdx>
    <mdx n="0" f="m">
      <t c="1">
        <n x="159"/>
      </t>
    </mdx>
    <mdx n="0" f="m">
      <t c="1">
        <n x="160"/>
      </t>
    </mdx>
    <mdx n="0" f="m">
      <t c="1">
        <n x="161"/>
      </t>
    </mdx>
    <mdx n="0" f="m">
      <t c="1">
        <n x="162"/>
      </t>
    </mdx>
    <mdx n="0" f="m">
      <t c="1">
        <n x="163"/>
      </t>
    </mdx>
    <mdx n="0" f="m">
      <t c="1">
        <n x="164"/>
      </t>
    </mdx>
    <mdx n="0" f="m">
      <t c="1">
        <n x="165"/>
      </t>
    </mdx>
    <mdx n="0" f="m">
      <t c="1">
        <n x="166"/>
      </t>
    </mdx>
    <mdx n="0" f="m">
      <t c="1">
        <n x="167"/>
      </t>
    </mdx>
    <mdx n="0" f="m">
      <t c="1">
        <n x="168"/>
      </t>
    </mdx>
    <mdx n="0" f="m">
      <t c="1">
        <n x="169"/>
      </t>
    </mdx>
    <mdx n="0" f="m">
      <t c="1">
        <n x="170"/>
      </t>
    </mdx>
    <mdx n="0" f="m">
      <t c="1">
        <n x="171"/>
      </t>
    </mdx>
    <mdx n="0" f="m">
      <t c="1">
        <n x="172"/>
      </t>
    </mdx>
    <mdx n="0" f="m">
      <t c="1">
        <n x="173"/>
      </t>
    </mdx>
    <mdx n="0" f="m">
      <t c="1">
        <n x="174"/>
      </t>
    </mdx>
    <mdx n="0" f="m">
      <t c="1">
        <n x="175"/>
      </t>
    </mdx>
    <mdx n="0" f="m">
      <t c="1">
        <n x="176"/>
      </t>
    </mdx>
    <mdx n="0" f="m">
      <t c="1">
        <n x="177"/>
      </t>
    </mdx>
    <mdx n="0" f="m">
      <t c="1">
        <n x="178"/>
      </t>
    </mdx>
    <mdx n="0" f="m">
      <t c="1">
        <n x="179"/>
      </t>
    </mdx>
    <mdx n="0" f="m">
      <t c="1">
        <n x="180"/>
      </t>
    </mdx>
    <mdx n="0" f="m">
      <t c="1">
        <n x="181"/>
      </t>
    </mdx>
    <mdx n="0" f="m">
      <t c="1">
        <n x="182"/>
      </t>
    </mdx>
    <mdx n="0" f="m">
      <t c="1">
        <n x="183"/>
      </t>
    </mdx>
    <mdx n="0" f="m">
      <t c="1">
        <n x="184"/>
      </t>
    </mdx>
    <mdx n="0" f="m">
      <t c="1">
        <n x="185"/>
      </t>
    </mdx>
    <mdx n="0" f="m">
      <t c="1">
        <n x="186"/>
      </t>
    </mdx>
    <mdx n="0" f="m">
      <t c="1">
        <n x="187"/>
      </t>
    </mdx>
    <mdx n="0" f="m">
      <t c="1">
        <n x="188"/>
      </t>
    </mdx>
    <mdx n="0" f="m">
      <t c="1">
        <n x="189"/>
      </t>
    </mdx>
    <mdx n="0" f="m">
      <t c="1">
        <n x="190"/>
      </t>
    </mdx>
    <mdx n="0" f="m">
      <t c="1">
        <n x="191"/>
      </t>
    </mdx>
    <mdx n="0" f="m">
      <t c="1">
        <n x="192"/>
      </t>
    </mdx>
    <mdx n="0" f="m">
      <t c="1">
        <n x="193"/>
      </t>
    </mdx>
    <mdx n="0" f="m">
      <t c="1">
        <n x="194"/>
      </t>
    </mdx>
    <mdx n="0" f="m">
      <t c="1">
        <n x="195"/>
      </t>
    </mdx>
    <mdx n="0" f="m">
      <t c="1">
        <n x="196"/>
      </t>
    </mdx>
    <mdx n="0" f="m">
      <t c="1">
        <n x="197"/>
      </t>
    </mdx>
    <mdx n="0" f="m">
      <t c="1">
        <n x="198"/>
      </t>
    </mdx>
    <mdx n="0" f="m">
      <t c="1">
        <n x="199"/>
      </t>
    </mdx>
    <mdx n="0" f="m">
      <t c="1">
        <n x="200"/>
      </t>
    </mdx>
    <mdx n="0" f="m">
      <t c="1">
        <n x="201"/>
      </t>
    </mdx>
    <mdx n="0" f="m">
      <t c="1">
        <n x="202"/>
      </t>
    </mdx>
    <mdx n="0" f="m">
      <t c="1">
        <n x="203"/>
      </t>
    </mdx>
    <mdx n="0" f="m">
      <t c="1">
        <n x="204"/>
      </t>
    </mdx>
    <mdx n="0" f="m">
      <t c="1">
        <n x="205"/>
      </t>
    </mdx>
    <mdx n="0" f="m">
      <t c="1">
        <n x="206"/>
      </t>
    </mdx>
    <mdx n="0" f="m">
      <t c="1">
        <n x="207"/>
      </t>
    </mdx>
    <mdx n="0" f="m">
      <t c="1">
        <n x="208"/>
      </t>
    </mdx>
    <mdx n="0" f="m">
      <t c="1">
        <n x="209"/>
      </t>
    </mdx>
    <mdx n="0" f="m">
      <t c="1">
        <n x="210"/>
      </t>
    </mdx>
    <mdx n="0" f="m">
      <t c="1">
        <n x="211"/>
      </t>
    </mdx>
    <mdx n="0" f="m">
      <t c="1">
        <n x="212"/>
      </t>
    </mdx>
    <mdx n="0" f="m">
      <t c="1">
        <n x="213"/>
      </t>
    </mdx>
    <mdx n="0" f="m">
      <t c="1">
        <n x="214"/>
      </t>
    </mdx>
    <mdx n="0" f="m">
      <t c="1">
        <n x="215"/>
      </t>
    </mdx>
    <mdx n="0" f="m">
      <t c="1">
        <n x="216"/>
      </t>
    </mdx>
    <mdx n="0" f="m">
      <t c="1">
        <n x="217"/>
      </t>
    </mdx>
    <mdx n="0" f="m">
      <t c="1">
        <n x="218"/>
      </t>
    </mdx>
    <mdx n="0" f="m">
      <t c="1">
        <n x="219"/>
      </t>
    </mdx>
    <mdx n="0" f="m">
      <t c="1">
        <n x="220"/>
      </t>
    </mdx>
    <mdx n="0" f="m">
      <t c="1">
        <n x="221"/>
      </t>
    </mdx>
    <mdx n="0" f="m">
      <t c="1">
        <n x="222"/>
      </t>
    </mdx>
    <mdx n="0" f="m">
      <t c="1">
        <n x="223"/>
      </t>
    </mdx>
    <mdx n="0" f="m">
      <t c="1">
        <n x="224"/>
      </t>
    </mdx>
    <mdx n="0" f="m">
      <t c="1">
        <n x="225"/>
      </t>
    </mdx>
    <mdx n="0" f="m">
      <t c="1">
        <n x="226"/>
      </t>
    </mdx>
    <mdx n="0" f="m">
      <t c="1">
        <n x="227"/>
      </t>
    </mdx>
    <mdx n="0" f="m">
      <t c="1">
        <n x="228"/>
      </t>
    </mdx>
    <mdx n="0" f="m">
      <t c="1">
        <n x="229"/>
      </t>
    </mdx>
    <mdx n="0" f="m">
      <t c="1">
        <n x="230"/>
      </t>
    </mdx>
    <mdx n="0" f="m">
      <t c="1">
        <n x="231"/>
      </t>
    </mdx>
    <mdx n="0" f="m">
      <t c="1">
        <n x="232"/>
      </t>
    </mdx>
    <mdx n="0" f="m">
      <t c="1">
        <n x="233"/>
      </t>
    </mdx>
    <mdx n="0" f="m">
      <t c="1">
        <n x="234"/>
      </t>
    </mdx>
    <mdx n="0" f="m">
      <t c="1">
        <n x="235"/>
      </t>
    </mdx>
    <mdx n="0" f="m">
      <t c="1">
        <n x="236"/>
      </t>
    </mdx>
    <mdx n="0" f="m">
      <t c="1">
        <n x="237"/>
      </t>
    </mdx>
    <mdx n="0" f="m">
      <t c="1">
        <n x="238"/>
      </t>
    </mdx>
    <mdx n="0" f="m">
      <t c="1">
        <n x="239"/>
      </t>
    </mdx>
    <mdx n="0" f="m">
      <t c="1">
        <n x="240"/>
      </t>
    </mdx>
    <mdx n="0" f="m">
      <t c="1">
        <n x="241"/>
      </t>
    </mdx>
    <mdx n="0" f="m">
      <t c="1">
        <n x="242"/>
      </t>
    </mdx>
    <mdx n="0" f="m">
      <t c="1">
        <n x="243"/>
      </t>
    </mdx>
    <mdx n="0" f="m">
      <t c="1">
        <n x="244"/>
      </t>
    </mdx>
    <mdx n="0" f="m">
      <t c="1">
        <n x="245"/>
      </t>
    </mdx>
    <mdx n="0" f="m">
      <t c="1">
        <n x="246"/>
      </t>
    </mdx>
    <mdx n="0" f="m">
      <t c="1">
        <n x="247"/>
      </t>
    </mdx>
    <mdx n="0" f="m">
      <t c="1">
        <n x="248"/>
      </t>
    </mdx>
    <mdx n="0" f="m">
      <t c="1">
        <n x="249"/>
      </t>
    </mdx>
    <mdx n="0" f="m">
      <t c="1">
        <n x="250"/>
      </t>
    </mdx>
    <mdx n="0" f="m">
      <t c="1">
        <n x="251"/>
      </t>
    </mdx>
    <mdx n="0" f="m">
      <t c="1">
        <n x="252"/>
      </t>
    </mdx>
    <mdx n="0" f="m">
      <t c="1">
        <n x="253"/>
      </t>
    </mdx>
    <mdx n="0" f="m">
      <t c="1">
        <n x="254"/>
      </t>
    </mdx>
    <mdx n="0" f="m">
      <t c="1">
        <n x="255"/>
      </t>
    </mdx>
    <mdx n="0" f="m">
      <t c="1">
        <n x="256"/>
      </t>
    </mdx>
    <mdx n="0" f="m">
      <t c="1">
        <n x="257"/>
      </t>
    </mdx>
    <mdx n="0" f="m">
      <t c="1">
        <n x="258"/>
      </t>
    </mdx>
    <mdx n="0" f="m">
      <t c="1">
        <n x="259"/>
      </t>
    </mdx>
    <mdx n="0" f="m">
      <t c="1">
        <n x="260"/>
      </t>
    </mdx>
    <mdx n="0" f="m">
      <t c="1">
        <n x="261"/>
      </t>
    </mdx>
    <mdx n="0" f="m">
      <t c="1">
        <n x="262"/>
      </t>
    </mdx>
    <mdx n="0" f="m">
      <t c="1">
        <n x="263"/>
      </t>
    </mdx>
    <mdx n="0" f="m">
      <t c="1">
        <n x="264"/>
      </t>
    </mdx>
    <mdx n="0" f="m">
      <t c="1">
        <n x="265"/>
      </t>
    </mdx>
    <mdx n="0" f="m">
      <t c="1">
        <n x="266"/>
      </t>
    </mdx>
    <mdx n="0" f="m">
      <t c="1">
        <n x="267"/>
      </t>
    </mdx>
    <mdx n="0" f="m">
      <t c="1">
        <n x="268"/>
      </t>
    </mdx>
    <mdx n="0" f="m">
      <t c="1">
        <n x="269"/>
      </t>
    </mdx>
    <mdx n="0" f="m">
      <t c="1">
        <n x="270"/>
      </t>
    </mdx>
    <mdx n="0" f="m">
      <t c="1">
        <n x="271"/>
      </t>
    </mdx>
    <mdx n="0" f="m">
      <t c="1">
        <n x="272"/>
      </t>
    </mdx>
    <mdx n="0" f="m">
      <t c="1">
        <n x="273"/>
      </t>
    </mdx>
    <mdx n="0" f="m">
      <t c="1">
        <n x="274"/>
      </t>
    </mdx>
    <mdx n="0" f="m">
      <t c="1">
        <n x="275"/>
      </t>
    </mdx>
    <mdx n="0" f="m">
      <t c="1">
        <n x="276"/>
      </t>
    </mdx>
    <mdx n="0" f="m">
      <t c="1">
        <n x="277"/>
      </t>
    </mdx>
    <mdx n="0" f="m">
      <t c="1">
        <n x="278"/>
      </t>
    </mdx>
    <mdx n="0" f="m">
      <t c="1">
        <n x="279"/>
      </t>
    </mdx>
    <mdx n="0" f="m">
      <t c="1">
        <n x="280"/>
      </t>
    </mdx>
    <mdx n="0" f="m">
      <t c="1">
        <n x="281"/>
      </t>
    </mdx>
    <mdx n="0" f="m">
      <t c="1">
        <n x="282"/>
      </t>
    </mdx>
    <mdx n="0" f="m">
      <t c="1">
        <n x="283"/>
      </t>
    </mdx>
    <mdx n="0" f="m">
      <t c="1">
        <n x="284"/>
      </t>
    </mdx>
    <mdx n="0" f="m">
      <t c="1">
        <n x="285"/>
      </t>
    </mdx>
    <mdx n="0" f="m">
      <t c="1">
        <n x="286"/>
      </t>
    </mdx>
    <mdx n="0" f="m">
      <t c="1">
        <n x="287"/>
      </t>
    </mdx>
    <mdx n="0" f="m">
      <t c="1">
        <n x="288"/>
      </t>
    </mdx>
    <mdx n="0" f="m">
      <t c="1">
        <n x="289"/>
      </t>
    </mdx>
    <mdx n="0" f="m">
      <t c="1">
        <n x="290"/>
      </t>
    </mdx>
    <mdx n="0" f="m">
      <t c="1">
        <n x="291"/>
      </t>
    </mdx>
    <mdx n="0" f="m">
      <t c="1">
        <n x="292"/>
      </t>
    </mdx>
    <mdx n="0" f="m">
      <t c="1">
        <n x="293"/>
      </t>
    </mdx>
    <mdx n="0" f="m">
      <t c="1">
        <n x="294"/>
      </t>
    </mdx>
    <mdx n="0" f="m">
      <t c="1">
        <n x="295"/>
      </t>
    </mdx>
    <mdx n="0" f="m">
      <t c="1">
        <n x="296"/>
      </t>
    </mdx>
    <mdx n="0" f="m">
      <t c="1">
        <n x="297"/>
      </t>
    </mdx>
    <mdx n="0" f="m">
      <t c="1">
        <n x="298"/>
      </t>
    </mdx>
    <mdx n="0" f="m">
      <t c="1">
        <n x="299"/>
      </t>
    </mdx>
    <mdx n="0" f="m">
      <t c="1">
        <n x="300"/>
      </t>
    </mdx>
    <mdx n="0" f="m">
      <t c="1">
        <n x="301"/>
      </t>
    </mdx>
    <mdx n="0" f="m">
      <t c="1">
        <n x="302"/>
      </t>
    </mdx>
    <mdx n="0" f="m">
      <t c="1">
        <n x="303"/>
      </t>
    </mdx>
    <mdx n="0" f="m">
      <t c="1">
        <n x="304"/>
      </t>
    </mdx>
    <mdx n="0" f="m">
      <t c="1">
        <n x="305"/>
      </t>
    </mdx>
    <mdx n="0" f="m">
      <t c="1">
        <n x="306"/>
      </t>
    </mdx>
    <mdx n="0" f="m">
      <t c="1">
        <n x="307"/>
      </t>
    </mdx>
    <mdx n="0" f="m">
      <t c="1">
        <n x="308"/>
      </t>
    </mdx>
    <mdx n="0" f="m">
      <t c="1">
        <n x="309"/>
      </t>
    </mdx>
    <mdx n="0" f="m">
      <t c="1">
        <n x="310"/>
      </t>
    </mdx>
    <mdx n="0" f="m">
      <t c="1">
        <n x="311"/>
      </t>
    </mdx>
    <mdx n="0" f="m">
      <t c="1">
        <n x="312"/>
      </t>
    </mdx>
    <mdx n="0" f="m">
      <t c="1">
        <n x="313"/>
      </t>
    </mdx>
    <mdx n="0" f="m">
      <t c="1">
        <n x="314"/>
      </t>
    </mdx>
    <mdx n="0" f="m">
      <t c="1">
        <n x="315"/>
      </t>
    </mdx>
    <mdx n="0" f="m">
      <t c="1">
        <n x="316"/>
      </t>
    </mdx>
    <mdx n="0" f="m">
      <t c="1">
        <n x="317"/>
      </t>
    </mdx>
    <mdx n="0" f="m">
      <t c="1">
        <n x="318"/>
      </t>
    </mdx>
    <mdx n="0" f="m">
      <t c="1">
        <n x="319"/>
      </t>
    </mdx>
    <mdx n="0" f="m">
      <t c="1">
        <n x="320"/>
      </t>
    </mdx>
    <mdx n="0" f="m">
      <t c="1">
        <n x="321"/>
      </t>
    </mdx>
    <mdx n="0" f="m">
      <t c="1">
        <n x="322"/>
      </t>
    </mdx>
    <mdx n="0" f="m">
      <t c="1">
        <n x="323"/>
      </t>
    </mdx>
    <mdx n="0" f="m">
      <t c="1">
        <n x="324"/>
      </t>
    </mdx>
    <mdx n="0" f="m">
      <t c="1">
        <n x="325"/>
      </t>
    </mdx>
    <mdx n="0" f="m">
      <t c="1">
        <n x="326"/>
      </t>
    </mdx>
    <mdx n="0" f="m">
      <t c="1">
        <n x="327"/>
      </t>
    </mdx>
    <mdx n="0" f="m">
      <t c="1">
        <n x="328"/>
      </t>
    </mdx>
    <mdx n="0" f="m">
      <t c="1">
        <n x="329"/>
      </t>
    </mdx>
    <mdx n="0" f="m">
      <t c="1">
        <n x="330"/>
      </t>
    </mdx>
    <mdx n="0" f="m">
      <t c="1">
        <n x="331"/>
      </t>
    </mdx>
    <mdx n="0" f="m">
      <t c="1">
        <n x="332"/>
      </t>
    </mdx>
    <mdx n="0" f="m">
      <t c="1">
        <n x="333"/>
      </t>
    </mdx>
    <mdx n="0" f="m">
      <t c="1">
        <n x="334"/>
      </t>
    </mdx>
    <mdx n="0" f="m">
      <t c="1">
        <n x="335"/>
      </t>
    </mdx>
    <mdx n="0" f="m">
      <t c="1">
        <n x="336"/>
      </t>
    </mdx>
    <mdx n="0" f="m">
      <t c="1">
        <n x="337"/>
      </t>
    </mdx>
    <mdx n="0" f="m">
      <t c="1">
        <n x="338"/>
      </t>
    </mdx>
    <mdx n="0" f="m">
      <t c="1">
        <n x="339"/>
      </t>
    </mdx>
    <mdx n="0" f="m">
      <t c="1">
        <n x="340"/>
      </t>
    </mdx>
    <mdx n="0" f="m">
      <t c="1">
        <n x="341"/>
      </t>
    </mdx>
    <mdx n="0" f="m">
      <t c="1">
        <n x="342"/>
      </t>
    </mdx>
    <mdx n="0" f="m">
      <t c="1">
        <n x="343"/>
      </t>
    </mdx>
    <mdx n="0" f="m">
      <t c="1">
        <n x="344"/>
      </t>
    </mdx>
    <mdx n="0" f="m">
      <t c="1">
        <n x="345"/>
      </t>
    </mdx>
    <mdx n="0" f="m">
      <t c="1">
        <n x="346"/>
      </t>
    </mdx>
    <mdx n="0" f="m">
      <t c="1">
        <n x="347"/>
      </t>
    </mdx>
    <mdx n="0" f="m">
      <t c="1">
        <n x="348"/>
      </t>
    </mdx>
    <mdx n="0" f="m">
      <t c="1">
        <n x="349"/>
      </t>
    </mdx>
    <mdx n="0" f="m">
      <t c="1">
        <n x="350"/>
      </t>
    </mdx>
    <mdx n="0" f="m">
      <t c="1">
        <n x="351"/>
      </t>
    </mdx>
    <mdx n="0" f="m">
      <t c="1">
        <n x="352"/>
      </t>
    </mdx>
    <mdx n="0" f="m">
      <t c="1">
        <n x="353"/>
      </t>
    </mdx>
    <mdx n="0" f="m">
      <t c="1">
        <n x="354"/>
      </t>
    </mdx>
    <mdx n="0" f="m">
      <t c="1">
        <n x="355"/>
      </t>
    </mdx>
    <mdx n="0" f="m">
      <t c="1">
        <n x="356"/>
      </t>
    </mdx>
    <mdx n="0" f="m">
      <t c="1">
        <n x="357"/>
      </t>
    </mdx>
    <mdx n="0" f="m">
      <t c="1">
        <n x="358"/>
      </t>
    </mdx>
    <mdx n="0" f="m">
      <t c="1">
        <n x="359"/>
      </t>
    </mdx>
    <mdx n="0" f="m">
      <t c="1">
        <n x="360"/>
      </t>
    </mdx>
    <mdx n="0" f="m">
      <t c="1">
        <n x="361"/>
      </t>
    </mdx>
    <mdx n="0" f="m">
      <t c="1">
        <n x="362"/>
      </t>
    </mdx>
    <mdx n="0" f="m">
      <t c="1">
        <n x="363"/>
      </t>
    </mdx>
    <mdx n="0" f="m">
      <t c="1">
        <n x="364"/>
      </t>
    </mdx>
    <mdx n="0" f="m">
      <t c="1">
        <n x="365"/>
      </t>
    </mdx>
    <mdx n="0" f="m">
      <t c="1">
        <n x="366"/>
      </t>
    </mdx>
    <mdx n="0" f="m">
      <t c="1">
        <n x="367"/>
      </t>
    </mdx>
    <mdx n="0" f="m">
      <t c="1">
        <n x="368"/>
      </t>
    </mdx>
    <mdx n="0" f="m">
      <t c="1">
        <n x="369"/>
      </t>
    </mdx>
    <mdx n="0" f="m">
      <t c="1">
        <n x="370"/>
      </t>
    </mdx>
    <mdx n="0" f="m">
      <t c="1">
        <n x="371"/>
      </t>
    </mdx>
    <mdx n="0" f="m">
      <t c="1">
        <n x="372"/>
      </t>
    </mdx>
    <mdx n="0" f="m">
      <t c="1">
        <n x="373"/>
      </t>
    </mdx>
    <mdx n="0" f="m">
      <t c="1">
        <n x="374"/>
      </t>
    </mdx>
    <mdx n="0" f="m">
      <t c="1">
        <n x="375"/>
      </t>
    </mdx>
    <mdx n="0" f="m">
      <t c="1">
        <n x="376"/>
      </t>
    </mdx>
    <mdx n="0" f="m">
      <t c="1">
        <n x="377"/>
      </t>
    </mdx>
    <mdx n="0" f="m">
      <t c="1">
        <n x="378"/>
      </t>
    </mdx>
    <mdx n="0" f="m">
      <t c="1">
        <n x="379"/>
      </t>
    </mdx>
    <mdx n="0" f="m">
      <t c="1">
        <n x="380"/>
      </t>
    </mdx>
    <mdx n="0" f="m">
      <t c="1">
        <n x="381"/>
      </t>
    </mdx>
    <mdx n="0" f="m">
      <t c="1">
        <n x="382"/>
      </t>
    </mdx>
    <mdx n="0" f="m">
      <t c="1">
        <n x="383"/>
      </t>
    </mdx>
    <mdx n="0" f="m">
      <t c="1">
        <n x="384"/>
      </t>
    </mdx>
    <mdx n="0" f="m">
      <t c="1">
        <n x="385"/>
      </t>
    </mdx>
    <mdx n="0" f="m">
      <t c="1">
        <n x="386"/>
      </t>
    </mdx>
    <mdx n="0" f="m">
      <t c="1">
        <n x="387"/>
      </t>
    </mdx>
    <mdx n="0" f="m">
      <t c="1">
        <n x="388"/>
      </t>
    </mdx>
    <mdx n="0" f="m">
      <t c="1">
        <n x="389"/>
      </t>
    </mdx>
    <mdx n="0" f="m">
      <t c="1">
        <n x="390"/>
      </t>
    </mdx>
    <mdx n="0" f="m">
      <t c="1">
        <n x="391"/>
      </t>
    </mdx>
    <mdx n="0" f="m">
      <t c="1">
        <n x="392"/>
      </t>
    </mdx>
    <mdx n="0" f="m">
      <t c="1">
        <n x="393"/>
      </t>
    </mdx>
    <mdx n="0" f="m">
      <t c="1">
        <n x="394"/>
      </t>
    </mdx>
    <mdx n="0" f="m">
      <t c="1">
        <n x="395"/>
      </t>
    </mdx>
    <mdx n="0" f="m">
      <t c="1">
        <n x="396"/>
      </t>
    </mdx>
    <mdx n="0" f="m">
      <t c="1">
        <n x="397"/>
      </t>
    </mdx>
    <mdx n="0" f="m">
      <t c="1">
        <n x="398"/>
      </t>
    </mdx>
    <mdx n="0" f="m">
      <t c="1">
        <n x="399"/>
      </t>
    </mdx>
    <mdx n="0" f="m">
      <t c="1">
        <n x="400"/>
      </t>
    </mdx>
    <mdx n="0" f="m">
      <t c="1">
        <n x="401"/>
      </t>
    </mdx>
    <mdx n="0" f="m">
      <t c="1">
        <n x="402"/>
      </t>
    </mdx>
    <mdx n="0" f="m">
      <t c="1">
        <n x="403"/>
      </t>
    </mdx>
    <mdx n="0" f="m">
      <t c="1">
        <n x="404"/>
      </t>
    </mdx>
    <mdx n="0" f="m">
      <t c="1">
        <n x="405"/>
      </t>
    </mdx>
    <mdx n="0" f="m">
      <t c="1">
        <n x="406"/>
      </t>
    </mdx>
    <mdx n="0" f="m">
      <t c="1">
        <n x="407"/>
      </t>
    </mdx>
    <mdx n="0" f="m">
      <t c="1">
        <n x="408"/>
      </t>
    </mdx>
    <mdx n="0" f="m">
      <t c="1">
        <n x="409"/>
      </t>
    </mdx>
    <mdx n="0" f="m">
      <t c="1">
        <n x="410"/>
      </t>
    </mdx>
    <mdx n="0" f="m">
      <t c="1">
        <n x="411"/>
      </t>
    </mdx>
    <mdx n="0" f="m">
      <t c="1">
        <n x="412"/>
      </t>
    </mdx>
    <mdx n="0" f="m">
      <t c="1">
        <n x="413"/>
      </t>
    </mdx>
    <mdx n="0" f="m">
      <t c="1">
        <n x="414"/>
      </t>
    </mdx>
    <mdx n="0" f="m">
      <t c="1">
        <n x="415"/>
      </t>
    </mdx>
    <mdx n="0" f="m">
      <t c="1">
        <n x="416"/>
      </t>
    </mdx>
    <mdx n="0" f="m">
      <t c="1">
        <n x="417"/>
      </t>
    </mdx>
    <mdx n="0" f="m">
      <t c="1">
        <n x="418"/>
      </t>
    </mdx>
    <mdx n="0" f="m">
      <t c="1">
        <n x="419"/>
      </t>
    </mdx>
    <mdx n="0" f="m">
      <t c="1">
        <n x="420"/>
      </t>
    </mdx>
    <mdx n="0" f="m">
      <t c="1">
        <n x="421"/>
      </t>
    </mdx>
    <mdx n="0" f="m">
      <t c="1">
        <n x="422"/>
      </t>
    </mdx>
    <mdx n="0" f="m">
      <t c="1">
        <n x="423"/>
      </t>
    </mdx>
    <mdx n="0" f="m">
      <t c="1">
        <n x="424"/>
      </t>
    </mdx>
    <mdx n="0" f="m">
      <t c="1">
        <n x="425"/>
      </t>
    </mdx>
    <mdx n="0" f="m">
      <t c="1">
        <n x="426"/>
      </t>
    </mdx>
    <mdx n="0" f="m">
      <t c="1">
        <n x="427"/>
      </t>
    </mdx>
    <mdx n="0" f="m">
      <t c="1">
        <n x="428"/>
      </t>
    </mdx>
    <mdx n="0" f="m">
      <t c="1">
        <n x="429"/>
      </t>
    </mdx>
    <mdx n="0" f="m">
      <t c="1">
        <n x="430"/>
      </t>
    </mdx>
    <mdx n="0" f="m">
      <t c="1">
        <n x="431"/>
      </t>
    </mdx>
    <mdx n="0" f="m">
      <t c="1">
        <n x="432"/>
      </t>
    </mdx>
    <mdx n="0" f="m">
      <t c="1">
        <n x="433"/>
      </t>
    </mdx>
    <mdx n="0" f="m">
      <t c="1">
        <n x="434"/>
      </t>
    </mdx>
    <mdx n="0" f="m">
      <t c="1">
        <n x="435"/>
      </t>
    </mdx>
    <mdx n="0" f="m">
      <t c="1">
        <n x="436"/>
      </t>
    </mdx>
    <mdx n="0" f="m">
      <t c="1">
        <n x="437"/>
      </t>
    </mdx>
    <mdx n="0" f="m">
      <t c="1">
        <n x="438"/>
      </t>
    </mdx>
    <mdx n="0" f="m">
      <t c="1">
        <n x="439"/>
      </t>
    </mdx>
    <mdx n="0" f="m">
      <t c="1">
        <n x="440"/>
      </t>
    </mdx>
    <mdx n="0" f="m">
      <t c="1">
        <n x="441"/>
      </t>
    </mdx>
    <mdx n="0" f="m">
      <t c="1">
        <n x="442"/>
      </t>
    </mdx>
    <mdx n="0" f="m">
      <t c="1">
        <n x="443"/>
      </t>
    </mdx>
    <mdx n="0" f="m">
      <t c="1">
        <n x="444"/>
      </t>
    </mdx>
    <mdx n="0" f="m">
      <t c="1">
        <n x="445"/>
      </t>
    </mdx>
    <mdx n="0" f="m">
      <t c="1">
        <n x="446"/>
      </t>
    </mdx>
    <mdx n="0" f="m">
      <t c="1">
        <n x="447"/>
      </t>
    </mdx>
    <mdx n="0" f="m">
      <t c="1">
        <n x="448"/>
      </t>
    </mdx>
    <mdx n="0" f="m">
      <t c="1">
        <n x="449"/>
      </t>
    </mdx>
    <mdx n="0" f="m">
      <t c="1">
        <n x="450"/>
      </t>
    </mdx>
    <mdx n="0" f="m">
      <t c="1">
        <n x="451"/>
      </t>
    </mdx>
    <mdx n="0" f="m">
      <t c="1">
        <n x="452"/>
      </t>
    </mdx>
    <mdx n="0" f="m">
      <t c="1">
        <n x="453"/>
      </t>
    </mdx>
    <mdx n="0" f="m">
      <t c="2">
        <n x="445"/>
        <n x="193"/>
      </t>
    </mdx>
    <mdx n="0" f="m">
      <t c="2">
        <n x="445"/>
        <n x="231"/>
      </t>
    </mdx>
    <mdx n="0" f="m">
      <t c="2">
        <n x="443"/>
        <n x="193"/>
      </t>
    </mdx>
    <mdx n="0" f="m">
      <t c="2">
        <n x="443"/>
        <n x="231"/>
      </t>
    </mdx>
    <mdx n="0" f="m">
      <t c="2">
        <n x="433"/>
        <n x="193"/>
      </t>
    </mdx>
    <mdx n="0" f="m">
      <t c="2">
        <n x="433"/>
        <n x="231"/>
      </t>
    </mdx>
    <mdx n="0" f="m">
      <t c="2">
        <n x="272"/>
        <n x="193"/>
      </t>
    </mdx>
    <mdx n="0" f="m">
      <t c="2">
        <n x="272"/>
        <n x="231"/>
      </t>
    </mdx>
    <mdx n="0" f="v">
      <t c="3">
        <n x="153"/>
        <n x="445"/>
        <n x="193"/>
      </t>
    </mdx>
    <mdx n="0" f="v">
      <t c="3">
        <n x="153"/>
        <n x="443"/>
        <n x="193"/>
      </t>
    </mdx>
    <mdx n="0" f="v">
      <t c="3">
        <n x="153"/>
        <n x="433"/>
        <n x="193"/>
      </t>
    </mdx>
    <mdx n="0" f="v">
      <t c="3">
        <n x="153"/>
        <n x="272"/>
        <n x="193"/>
      </t>
    </mdx>
    <mdx n="0" f="v">
      <t c="3">
        <n x="113"/>
        <n x="445"/>
        <n x="193"/>
      </t>
    </mdx>
    <mdx n="0" f="v">
      <t c="3">
        <n x="113"/>
        <n x="443"/>
        <n x="193"/>
      </t>
    </mdx>
    <mdx n="0" f="v">
      <t c="3">
        <n x="113"/>
        <n x="433"/>
        <n x="193"/>
      </t>
    </mdx>
    <mdx n="0" f="v">
      <t c="3">
        <n x="113"/>
        <n x="272"/>
        <n x="193"/>
      </t>
    </mdx>
    <mdx n="0" f="v">
      <t c="3">
        <n x="74"/>
        <n x="445"/>
        <n x="193"/>
      </t>
    </mdx>
    <mdx n="0" f="v">
      <t c="3">
        <n x="74"/>
        <n x="443"/>
        <n x="193"/>
      </t>
    </mdx>
    <mdx n="0" f="v">
      <t c="3">
        <n x="74"/>
        <n x="433"/>
        <n x="193"/>
      </t>
    </mdx>
    <mdx n="0" f="v">
      <t c="3">
        <n x="74"/>
        <n x="272"/>
        <n x="193"/>
      </t>
    </mdx>
    <mdx n="0" f="v">
      <t c="3">
        <n x="35"/>
        <n x="445"/>
        <n x="193"/>
      </t>
    </mdx>
    <mdx n="0" f="v">
      <t c="3">
        <n x="35"/>
        <n x="443"/>
        <n x="193"/>
      </t>
    </mdx>
    <mdx n="0" f="v">
      <t c="3">
        <n x="35"/>
        <n x="433"/>
        <n x="193"/>
      </t>
    </mdx>
    <mdx n="0" f="v">
      <t c="3">
        <n x="35"/>
        <n x="272"/>
        <n x="193"/>
      </t>
    </mdx>
    <mdx n="0" f="v">
      <t c="3">
        <n x="159"/>
        <n x="445"/>
        <n x="193"/>
      </t>
    </mdx>
    <mdx n="0" f="v">
      <t c="3">
        <n x="159"/>
        <n x="443"/>
        <n x="193"/>
      </t>
    </mdx>
    <mdx n="0" f="v">
      <t c="3">
        <n x="159"/>
        <n x="433"/>
        <n x="193"/>
      </t>
    </mdx>
    <mdx n="0" f="v">
      <t c="3">
        <n x="159"/>
        <n x="272"/>
        <n x="193"/>
      </t>
    </mdx>
    <mdx n="0" f="v">
      <t c="3">
        <n x="266"/>
        <n x="445"/>
        <n x="193"/>
      </t>
    </mdx>
    <mdx n="0" f="v">
      <t c="3">
        <n x="266"/>
        <n x="443"/>
        <n x="193"/>
      </t>
    </mdx>
    <mdx n="0" f="v">
      <t c="3">
        <n x="266"/>
        <n x="433"/>
        <n x="193"/>
      </t>
    </mdx>
    <mdx n="0" f="v">
      <t c="3">
        <n x="266"/>
        <n x="272"/>
        <n x="193"/>
      </t>
    </mdx>
    <mdx n="0" f="v">
      <t c="3">
        <n x="230"/>
        <n x="445"/>
        <n x="193"/>
      </t>
    </mdx>
    <mdx n="0" f="v">
      <t c="3">
        <n x="230"/>
        <n x="443"/>
        <n x="193"/>
      </t>
    </mdx>
    <mdx n="0" f="v">
      <t c="3">
        <n x="230"/>
        <n x="433"/>
        <n x="193"/>
      </t>
    </mdx>
    <mdx n="0" f="v">
      <t c="3">
        <n x="230"/>
        <n x="272"/>
        <n x="193"/>
      </t>
    </mdx>
    <mdx n="0" f="v">
      <t c="3">
        <n x="192"/>
        <n x="445"/>
        <n x="193"/>
      </t>
    </mdx>
    <mdx n="0" f="v">
      <t c="3">
        <n x="192"/>
        <n x="443"/>
        <n x="193"/>
      </t>
    </mdx>
    <mdx n="0" f="v">
      <t c="3">
        <n x="192"/>
        <n x="433"/>
        <n x="193"/>
      </t>
    </mdx>
    <mdx n="0" f="v">
      <t c="3">
        <n x="192"/>
        <n x="272"/>
        <n x="193"/>
      </t>
    </mdx>
    <mdx n="0" f="v">
      <t c="3">
        <n x="152"/>
        <n x="445"/>
        <n x="193"/>
      </t>
    </mdx>
    <mdx n="0" f="v">
      <t c="3">
        <n x="152"/>
        <n x="443"/>
        <n x="193"/>
      </t>
    </mdx>
    <mdx n="0" f="v">
      <t c="3">
        <n x="152"/>
        <n x="433"/>
        <n x="193"/>
      </t>
    </mdx>
    <mdx n="0" f="v">
      <t c="3">
        <n x="152"/>
        <n x="272"/>
        <n x="193"/>
      </t>
    </mdx>
    <mdx n="0" f="v">
      <t c="3">
        <n x="112"/>
        <n x="445"/>
        <n x="193"/>
      </t>
    </mdx>
    <mdx n="0" f="v">
      <t c="3">
        <n x="112"/>
        <n x="443"/>
        <n x="193"/>
      </t>
    </mdx>
    <mdx n="0" f="v">
      <t c="3">
        <n x="112"/>
        <n x="433"/>
        <n x="193"/>
      </t>
    </mdx>
    <mdx n="0" f="v">
      <t c="3">
        <n x="112"/>
        <n x="272"/>
        <n x="193"/>
      </t>
    </mdx>
    <mdx n="0" f="v">
      <t c="3">
        <n x="73"/>
        <n x="445"/>
        <n x="193"/>
      </t>
    </mdx>
    <mdx n="0" f="v">
      <t c="3">
        <n x="73"/>
        <n x="443"/>
        <n x="193"/>
      </t>
    </mdx>
    <mdx n="0" f="v">
      <t c="3">
        <n x="73"/>
        <n x="433"/>
        <n x="193"/>
      </t>
    </mdx>
    <mdx n="0" f="v">
      <t c="3">
        <n x="73"/>
        <n x="272"/>
        <n x="193"/>
      </t>
    </mdx>
    <mdx n="0" f="v">
      <t c="3">
        <n x="34"/>
        <n x="445"/>
        <n x="193"/>
      </t>
    </mdx>
    <mdx n="0" f="v">
      <t c="3">
        <n x="34"/>
        <n x="443"/>
        <n x="193"/>
      </t>
    </mdx>
    <mdx n="0" f="v">
      <t c="3">
        <n x="34"/>
        <n x="433"/>
        <n x="193"/>
      </t>
    </mdx>
    <mdx n="0" f="v">
      <t c="3">
        <n x="34"/>
        <n x="272"/>
        <n x="193"/>
      </t>
    </mdx>
    <mdx n="0" f="v">
      <t c="3">
        <n x="40"/>
        <n x="445"/>
        <n x="193"/>
      </t>
    </mdx>
    <mdx n="0" f="v">
      <t c="3">
        <n x="40"/>
        <n x="443"/>
        <n x="193"/>
      </t>
    </mdx>
    <mdx n="0" f="v">
      <t c="3">
        <n x="40"/>
        <n x="433"/>
        <n x="193"/>
      </t>
    </mdx>
    <mdx n="0" f="v">
      <t c="3">
        <n x="40"/>
        <n x="272"/>
        <n x="193"/>
      </t>
    </mdx>
    <mdx n="0" f="v">
      <t c="3">
        <n x="265"/>
        <n x="445"/>
        <n x="193"/>
      </t>
    </mdx>
    <mdx n="0" f="v">
      <t c="3">
        <n x="265"/>
        <n x="443"/>
        <n x="193"/>
      </t>
    </mdx>
    <mdx n="0" f="v">
      <t c="3">
        <n x="265"/>
        <n x="433"/>
        <n x="193"/>
      </t>
    </mdx>
    <mdx n="0" f="v">
      <t c="3">
        <n x="265"/>
        <n x="272"/>
        <n x="193"/>
      </t>
    </mdx>
    <mdx n="0" f="v">
      <t c="3">
        <n x="229"/>
        <n x="445"/>
        <n x="193"/>
      </t>
    </mdx>
    <mdx n="0" f="v">
      <t c="3">
        <n x="229"/>
        <n x="443"/>
        <n x="193"/>
      </t>
    </mdx>
    <mdx n="0" f="v">
      <t c="3">
        <n x="229"/>
        <n x="433"/>
        <n x="193"/>
      </t>
    </mdx>
    <mdx n="0" f="v">
      <t c="3">
        <n x="229"/>
        <n x="272"/>
        <n x="193"/>
      </t>
    </mdx>
    <mdx n="0" f="v">
      <t c="3">
        <n x="191"/>
        <n x="445"/>
        <n x="193"/>
      </t>
    </mdx>
    <mdx n="0" f="v">
      <t c="3">
        <n x="191"/>
        <n x="443"/>
        <n x="193"/>
      </t>
    </mdx>
    <mdx n="0" f="v">
      <t c="3">
        <n x="191"/>
        <n x="433"/>
        <n x="193"/>
      </t>
    </mdx>
    <mdx n="0" f="v">
      <t c="3">
        <n x="191"/>
        <n x="272"/>
        <n x="193"/>
      </t>
    </mdx>
    <mdx n="0" f="v">
      <t c="3">
        <n x="151"/>
        <n x="445"/>
        <n x="193"/>
      </t>
    </mdx>
    <mdx n="0" f="v">
      <t c="3">
        <n x="151"/>
        <n x="443"/>
        <n x="193"/>
      </t>
    </mdx>
    <mdx n="0" f="v">
      <t c="3">
        <n x="151"/>
        <n x="433"/>
        <n x="193"/>
      </t>
    </mdx>
    <mdx n="0" f="v">
      <t c="3">
        <n x="151"/>
        <n x="272"/>
        <n x="193"/>
      </t>
    </mdx>
    <mdx n="0" f="v">
      <t c="3">
        <n x="111"/>
        <n x="445"/>
        <n x="193"/>
      </t>
    </mdx>
    <mdx n="0" f="v">
      <t c="3">
        <n x="111"/>
        <n x="443"/>
        <n x="193"/>
      </t>
    </mdx>
    <mdx n="0" f="v">
      <t c="3">
        <n x="111"/>
        <n x="433"/>
        <n x="193"/>
      </t>
    </mdx>
    <mdx n="0" f="v">
      <t c="3">
        <n x="111"/>
        <n x="272"/>
        <n x="193"/>
      </t>
    </mdx>
    <mdx n="0" f="v">
      <t c="3">
        <n x="72"/>
        <n x="445"/>
        <n x="193"/>
      </t>
    </mdx>
    <mdx n="0" f="v">
      <t c="3">
        <n x="72"/>
        <n x="443"/>
        <n x="193"/>
      </t>
    </mdx>
    <mdx n="0" f="v">
      <t c="3">
        <n x="72"/>
        <n x="433"/>
        <n x="193"/>
      </t>
    </mdx>
    <mdx n="0" f="v">
      <t c="3">
        <n x="72"/>
        <n x="272"/>
        <n x="193"/>
      </t>
    </mdx>
    <mdx n="0" f="v">
      <t c="3">
        <n x="33"/>
        <n x="445"/>
        <n x="193"/>
      </t>
    </mdx>
    <mdx n="0" f="v">
      <t c="3">
        <n x="33"/>
        <n x="443"/>
        <n x="193"/>
      </t>
    </mdx>
    <mdx n="0" f="v">
      <t c="3">
        <n x="33"/>
        <n x="433"/>
        <n x="193"/>
      </t>
    </mdx>
    <mdx n="0" f="v">
      <t c="3">
        <n x="33"/>
        <n x="272"/>
        <n x="193"/>
      </t>
    </mdx>
    <mdx n="0" f="v">
      <t c="3">
        <n x="119"/>
        <n x="445"/>
        <n x="193"/>
      </t>
    </mdx>
    <mdx n="0" f="v">
      <t c="3">
        <n x="119"/>
        <n x="443"/>
        <n x="193"/>
      </t>
    </mdx>
    <mdx n="0" f="v">
      <t c="3">
        <n x="119"/>
        <n x="433"/>
        <n x="193"/>
      </t>
    </mdx>
    <mdx n="0" f="v">
      <t c="3">
        <n x="119"/>
        <n x="272"/>
        <n x="193"/>
      </t>
    </mdx>
    <mdx n="0" f="v">
      <t c="3">
        <n x="264"/>
        <n x="445"/>
        <n x="193"/>
      </t>
    </mdx>
    <mdx n="0" f="v">
      <t c="3">
        <n x="264"/>
        <n x="443"/>
        <n x="193"/>
      </t>
    </mdx>
    <mdx n="0" f="v">
      <t c="3">
        <n x="264"/>
        <n x="433"/>
        <n x="193"/>
      </t>
    </mdx>
    <mdx n="0" f="v">
      <t c="3">
        <n x="264"/>
        <n x="272"/>
        <n x="193"/>
      </t>
    </mdx>
    <mdx n="0" f="v">
      <t c="3">
        <n x="228"/>
        <n x="445"/>
        <n x="193"/>
      </t>
    </mdx>
    <mdx n="0" f="v">
      <t c="3">
        <n x="228"/>
        <n x="443"/>
        <n x="193"/>
      </t>
    </mdx>
    <mdx n="0" f="v">
      <t c="3">
        <n x="228"/>
        <n x="433"/>
        <n x="193"/>
      </t>
    </mdx>
    <mdx n="0" f="v">
      <t c="3">
        <n x="228"/>
        <n x="272"/>
        <n x="193"/>
      </t>
    </mdx>
    <mdx n="0" f="v">
      <t c="3">
        <n x="190"/>
        <n x="445"/>
        <n x="193"/>
      </t>
    </mdx>
    <mdx n="0" f="v">
      <t c="3">
        <n x="190"/>
        <n x="443"/>
        <n x="193"/>
      </t>
    </mdx>
    <mdx n="0" f="v">
      <t c="3">
        <n x="190"/>
        <n x="433"/>
        <n x="193"/>
      </t>
    </mdx>
    <mdx n="0" f="v">
      <t c="3">
        <n x="190"/>
        <n x="272"/>
        <n x="193"/>
      </t>
    </mdx>
    <mdx n="0" f="v">
      <t c="3">
        <n x="150"/>
        <n x="445"/>
        <n x="193"/>
      </t>
    </mdx>
    <mdx n="0" f="v">
      <t c="3">
        <n x="150"/>
        <n x="443"/>
        <n x="193"/>
      </t>
    </mdx>
    <mdx n="0" f="v">
      <t c="3">
        <n x="150"/>
        <n x="433"/>
        <n x="193"/>
      </t>
    </mdx>
    <mdx n="0" f="v">
      <t c="3">
        <n x="150"/>
        <n x="272"/>
        <n x="193"/>
      </t>
    </mdx>
    <mdx n="0" f="v">
      <t c="3">
        <n x="110"/>
        <n x="445"/>
        <n x="193"/>
      </t>
    </mdx>
    <mdx n="0" f="v">
      <t c="3">
        <n x="110"/>
        <n x="443"/>
        <n x="193"/>
      </t>
    </mdx>
    <mdx n="0" f="v">
      <t c="3">
        <n x="110"/>
        <n x="433"/>
        <n x="193"/>
      </t>
    </mdx>
    <mdx n="0" f="v">
      <t c="3">
        <n x="110"/>
        <n x="272"/>
        <n x="193"/>
      </t>
    </mdx>
    <mdx n="0" f="v">
      <t c="3">
        <n x="71"/>
        <n x="445"/>
        <n x="193"/>
      </t>
    </mdx>
    <mdx n="0" f="v">
      <t c="3">
        <n x="71"/>
        <n x="443"/>
        <n x="193"/>
      </t>
    </mdx>
    <mdx n="0" f="v">
      <t c="3">
        <n x="71"/>
        <n x="433"/>
        <n x="193"/>
      </t>
    </mdx>
    <mdx n="0" f="v">
      <t c="3">
        <n x="71"/>
        <n x="272"/>
        <n x="193"/>
      </t>
    </mdx>
    <mdx n="0" f="v">
      <t c="3">
        <n x="32"/>
        <n x="445"/>
        <n x="193"/>
      </t>
    </mdx>
    <mdx n="0" f="v">
      <t c="3">
        <n x="32"/>
        <n x="443"/>
        <n x="193"/>
      </t>
    </mdx>
    <mdx n="0" f="v">
      <t c="3">
        <n x="32"/>
        <n x="433"/>
        <n x="193"/>
      </t>
    </mdx>
    <mdx n="0" f="v">
      <t c="3">
        <n x="32"/>
        <n x="272"/>
        <n x="193"/>
      </t>
    </mdx>
    <mdx n="0" f="v">
      <t c="3">
        <n x="79"/>
        <n x="445"/>
        <n x="193"/>
      </t>
    </mdx>
    <mdx n="0" f="v">
      <t c="3">
        <n x="79"/>
        <n x="443"/>
        <n x="193"/>
      </t>
    </mdx>
    <mdx n="0" f="v">
      <t c="3">
        <n x="79"/>
        <n x="433"/>
        <n x="193"/>
      </t>
    </mdx>
    <mdx n="0" f="v">
      <t c="3">
        <n x="79"/>
        <n x="272"/>
        <n x="193"/>
      </t>
    </mdx>
    <mdx n="0" f="v">
      <t c="3">
        <n x="263"/>
        <n x="445"/>
        <n x="193"/>
      </t>
    </mdx>
    <mdx n="0" f="v">
      <t c="3">
        <n x="263"/>
        <n x="443"/>
        <n x="193"/>
      </t>
    </mdx>
    <mdx n="0" f="v">
      <t c="3">
        <n x="263"/>
        <n x="433"/>
        <n x="193"/>
      </t>
    </mdx>
    <mdx n="0" f="v">
      <t c="3">
        <n x="263"/>
        <n x="272"/>
        <n x="193"/>
      </t>
    </mdx>
    <mdx n="0" f="v">
      <t c="3">
        <n x="227"/>
        <n x="445"/>
        <n x="193"/>
      </t>
    </mdx>
    <mdx n="0" f="v">
      <t c="3">
        <n x="227"/>
        <n x="443"/>
        <n x="193"/>
      </t>
    </mdx>
    <mdx n="0" f="v">
      <t c="3">
        <n x="227"/>
        <n x="433"/>
        <n x="193"/>
      </t>
    </mdx>
    <mdx n="0" f="v">
      <t c="3">
        <n x="227"/>
        <n x="272"/>
        <n x="193"/>
      </t>
    </mdx>
    <mdx n="0" f="v">
      <t c="3">
        <n x="189"/>
        <n x="445"/>
        <n x="193"/>
      </t>
    </mdx>
    <mdx n="0" f="v">
      <t c="3">
        <n x="189"/>
        <n x="443"/>
        <n x="193"/>
      </t>
    </mdx>
    <mdx n="0" f="v">
      <t c="3">
        <n x="189"/>
        <n x="433"/>
        <n x="193"/>
      </t>
    </mdx>
    <mdx n="0" f="v">
      <t c="3">
        <n x="189"/>
        <n x="272"/>
        <n x="193"/>
      </t>
    </mdx>
    <mdx n="0" f="v">
      <t c="3">
        <n x="149"/>
        <n x="445"/>
        <n x="193"/>
      </t>
    </mdx>
    <mdx n="0" f="v">
      <t c="3">
        <n x="149"/>
        <n x="443"/>
        <n x="193"/>
      </t>
    </mdx>
    <mdx n="0" f="v">
      <t c="3">
        <n x="149"/>
        <n x="433"/>
        <n x="193"/>
      </t>
    </mdx>
    <mdx n="0" f="v">
      <t c="3">
        <n x="149"/>
        <n x="272"/>
        <n x="193"/>
      </t>
    </mdx>
    <mdx n="0" f="v">
      <t c="3">
        <n x="109"/>
        <n x="445"/>
        <n x="193"/>
      </t>
    </mdx>
    <mdx n="0" f="v">
      <t c="3">
        <n x="109"/>
        <n x="443"/>
        <n x="193"/>
      </t>
    </mdx>
    <mdx n="0" f="v">
      <t c="3">
        <n x="109"/>
        <n x="433"/>
        <n x="193"/>
      </t>
    </mdx>
    <mdx n="0" f="v">
      <t c="3">
        <n x="109"/>
        <n x="272"/>
        <n x="193"/>
      </t>
    </mdx>
    <mdx n="0" f="v">
      <t c="3">
        <n x="70"/>
        <n x="445"/>
        <n x="193"/>
      </t>
    </mdx>
    <mdx n="0" f="v">
      <t c="3">
        <n x="70"/>
        <n x="443"/>
        <n x="193"/>
      </t>
    </mdx>
    <mdx n="0" f="v">
      <t c="3">
        <n x="70"/>
        <n x="433"/>
        <n x="193"/>
      </t>
    </mdx>
    <mdx n="0" f="v">
      <t c="3">
        <n x="70"/>
        <n x="272"/>
        <n x="193"/>
      </t>
    </mdx>
    <mdx n="0" f="v">
      <t c="3">
        <n x="31"/>
        <n x="445"/>
        <n x="193"/>
      </t>
    </mdx>
    <mdx n="0" f="v">
      <t c="3">
        <n x="31"/>
        <n x="443"/>
        <n x="193"/>
      </t>
    </mdx>
    <mdx n="0" f="v">
      <t c="3">
        <n x="31"/>
        <n x="433"/>
        <n x="193"/>
      </t>
    </mdx>
    <mdx n="0" f="v">
      <t c="3">
        <n x="31"/>
        <n x="272"/>
        <n x="193"/>
      </t>
    </mdx>
    <mdx n="0" f="v">
      <t c="3">
        <n x="271"/>
        <n x="445"/>
        <n x="193"/>
      </t>
    </mdx>
    <mdx n="0" f="v">
      <t c="3">
        <n x="271"/>
        <n x="443"/>
        <n x="193"/>
      </t>
    </mdx>
    <mdx n="0" f="v">
      <t c="3">
        <n x="271"/>
        <n x="433"/>
        <n x="193"/>
      </t>
    </mdx>
    <mdx n="0" f="v">
      <t c="3">
        <n x="271"/>
        <n x="272"/>
        <n x="193"/>
      </t>
    </mdx>
    <mdx n="0" f="v">
      <t c="3">
        <n x="262"/>
        <n x="445"/>
        <n x="193"/>
      </t>
    </mdx>
    <mdx n="0" f="v">
      <t c="3">
        <n x="262"/>
        <n x="443"/>
        <n x="193"/>
      </t>
    </mdx>
    <mdx n="0" f="v">
      <t c="3">
        <n x="262"/>
        <n x="433"/>
        <n x="193"/>
      </t>
    </mdx>
    <mdx n="0" f="v">
      <t c="3">
        <n x="262"/>
        <n x="272"/>
        <n x="193"/>
      </t>
    </mdx>
    <mdx n="0" f="v">
      <t c="3">
        <n x="226"/>
        <n x="445"/>
        <n x="193"/>
      </t>
    </mdx>
    <mdx n="0" f="v">
      <t c="3">
        <n x="226"/>
        <n x="443"/>
        <n x="193"/>
      </t>
    </mdx>
    <mdx n="0" f="v">
      <t c="3">
        <n x="226"/>
        <n x="433"/>
        <n x="193"/>
      </t>
    </mdx>
    <mdx n="0" f="v">
      <t c="3">
        <n x="226"/>
        <n x="272"/>
        <n x="193"/>
      </t>
    </mdx>
    <mdx n="0" f="v">
      <t c="3">
        <n x="188"/>
        <n x="445"/>
        <n x="193"/>
      </t>
    </mdx>
    <mdx n="0" f="v">
      <t c="3">
        <n x="188"/>
        <n x="443"/>
        <n x="193"/>
      </t>
    </mdx>
    <mdx n="0" f="v">
      <t c="3">
        <n x="188"/>
        <n x="433"/>
        <n x="193"/>
      </t>
    </mdx>
    <mdx n="0" f="v">
      <t c="3">
        <n x="188"/>
        <n x="272"/>
        <n x="193"/>
      </t>
    </mdx>
    <mdx n="0" f="v">
      <t c="3">
        <n x="148"/>
        <n x="445"/>
        <n x="193"/>
      </t>
    </mdx>
    <mdx n="0" f="v">
      <t c="3">
        <n x="148"/>
        <n x="443"/>
        <n x="193"/>
      </t>
    </mdx>
    <mdx n="0" f="v">
      <t c="3">
        <n x="148"/>
        <n x="433"/>
        <n x="193"/>
      </t>
    </mdx>
    <mdx n="0" f="v">
      <t c="3">
        <n x="148"/>
        <n x="272"/>
        <n x="193"/>
      </t>
    </mdx>
    <mdx n="0" f="v">
      <t c="3">
        <n x="108"/>
        <n x="445"/>
        <n x="193"/>
      </t>
    </mdx>
    <mdx n="0" f="v">
      <t c="3">
        <n x="108"/>
        <n x="443"/>
        <n x="193"/>
      </t>
    </mdx>
    <mdx n="0" f="v">
      <t c="3">
        <n x="108"/>
        <n x="433"/>
        <n x="193"/>
      </t>
    </mdx>
    <mdx n="0" f="v">
      <t c="3">
        <n x="108"/>
        <n x="272"/>
        <n x="193"/>
      </t>
    </mdx>
    <mdx n="0" f="v">
      <t c="3">
        <n x="69"/>
        <n x="445"/>
        <n x="193"/>
      </t>
    </mdx>
    <mdx n="0" f="v">
      <t c="3">
        <n x="69"/>
        <n x="443"/>
        <n x="193"/>
      </t>
    </mdx>
    <mdx n="0" f="v">
      <t c="3">
        <n x="69"/>
        <n x="433"/>
        <n x="193"/>
      </t>
    </mdx>
    <mdx n="0" f="v">
      <t c="3">
        <n x="69"/>
        <n x="272"/>
        <n x="193"/>
      </t>
    </mdx>
    <mdx n="0" f="v">
      <t c="3">
        <n x="30"/>
        <n x="445"/>
        <n x="193"/>
      </t>
    </mdx>
    <mdx n="0" f="v">
      <t c="3">
        <n x="30"/>
        <n x="443"/>
        <n x="193"/>
      </t>
    </mdx>
    <mdx n="0" f="v">
      <t c="3">
        <n x="30"/>
        <n x="433"/>
        <n x="193"/>
      </t>
    </mdx>
    <mdx n="0" f="v">
      <t c="3">
        <n x="30"/>
        <n x="272"/>
        <n x="193"/>
      </t>
    </mdx>
    <mdx n="0" f="v">
      <t c="3">
        <n x="233"/>
        <n x="445"/>
        <n x="193"/>
      </t>
    </mdx>
    <mdx n="0" f="v">
      <t c="3">
        <n x="233"/>
        <n x="443"/>
        <n x="193"/>
      </t>
    </mdx>
    <mdx n="0" f="v">
      <t c="3">
        <n x="233"/>
        <n x="433"/>
        <n x="193"/>
      </t>
    </mdx>
    <mdx n="0" f="v">
      <t c="3">
        <n x="233"/>
        <n x="272"/>
        <n x="193"/>
      </t>
    </mdx>
    <mdx n="0" f="v">
      <t c="3">
        <n x="261"/>
        <n x="445"/>
        <n x="193"/>
      </t>
    </mdx>
    <mdx n="0" f="v">
      <t c="3">
        <n x="261"/>
        <n x="443"/>
        <n x="193"/>
      </t>
    </mdx>
    <mdx n="0" f="v">
      <t c="3">
        <n x="261"/>
        <n x="433"/>
        <n x="193"/>
      </t>
    </mdx>
    <mdx n="0" f="v">
      <t c="3">
        <n x="261"/>
        <n x="272"/>
        <n x="193"/>
      </t>
    </mdx>
    <mdx n="0" f="v">
      <t c="3">
        <n x="225"/>
        <n x="445"/>
        <n x="193"/>
      </t>
    </mdx>
    <mdx n="0" f="v">
      <t c="3">
        <n x="225"/>
        <n x="443"/>
        <n x="193"/>
      </t>
    </mdx>
    <mdx n="0" f="v">
      <t c="3">
        <n x="225"/>
        <n x="433"/>
        <n x="193"/>
      </t>
    </mdx>
    <mdx n="0" f="v">
      <t c="3">
        <n x="225"/>
        <n x="272"/>
        <n x="193"/>
      </t>
    </mdx>
    <mdx n="0" f="v">
      <t c="3">
        <n x="187"/>
        <n x="445"/>
        <n x="193"/>
      </t>
    </mdx>
    <mdx n="0" f="v">
      <t c="3">
        <n x="187"/>
        <n x="443"/>
        <n x="193"/>
      </t>
    </mdx>
    <mdx n="0" f="v">
      <t c="3">
        <n x="187"/>
        <n x="433"/>
        <n x="193"/>
      </t>
    </mdx>
    <mdx n="0" f="v">
      <t c="3">
        <n x="187"/>
        <n x="272"/>
        <n x="193"/>
      </t>
    </mdx>
    <mdx n="0" f="v">
      <t c="3">
        <n x="147"/>
        <n x="445"/>
        <n x="193"/>
      </t>
    </mdx>
    <mdx n="0" f="v">
      <t c="3">
        <n x="147"/>
        <n x="443"/>
        <n x="193"/>
      </t>
    </mdx>
    <mdx n="0" f="v">
      <t c="3">
        <n x="147"/>
        <n x="433"/>
        <n x="193"/>
      </t>
    </mdx>
    <mdx n="0" f="v">
      <t c="3">
        <n x="147"/>
        <n x="272"/>
        <n x="193"/>
      </t>
    </mdx>
    <mdx n="0" f="v">
      <t c="3">
        <n x="107"/>
        <n x="445"/>
        <n x="193"/>
      </t>
    </mdx>
    <mdx n="0" f="v">
      <t c="3">
        <n x="107"/>
        <n x="443"/>
        <n x="193"/>
      </t>
    </mdx>
    <mdx n="0" f="v">
      <t c="3">
        <n x="107"/>
        <n x="433"/>
        <n x="193"/>
      </t>
    </mdx>
    <mdx n="0" f="v">
      <t c="3">
        <n x="107"/>
        <n x="272"/>
        <n x="193"/>
      </t>
    </mdx>
    <mdx n="0" f="v">
      <t c="3">
        <n x="68"/>
        <n x="445"/>
        <n x="193"/>
      </t>
    </mdx>
    <mdx n="0" f="v">
      <t c="3">
        <n x="68"/>
        <n x="443"/>
        <n x="193"/>
      </t>
    </mdx>
    <mdx n="0" f="v">
      <t c="3">
        <n x="68"/>
        <n x="433"/>
        <n x="193"/>
      </t>
    </mdx>
    <mdx n="0" f="v">
      <t c="3">
        <n x="68"/>
        <n x="272"/>
        <n x="193"/>
      </t>
    </mdx>
    <mdx n="0" f="v">
      <t c="3">
        <n x="29"/>
        <n x="445"/>
        <n x="193"/>
      </t>
    </mdx>
    <mdx n="0" f="v">
      <t c="3">
        <n x="29"/>
        <n x="443"/>
        <n x="193"/>
      </t>
    </mdx>
    <mdx n="0" f="v">
      <t c="3">
        <n x="29"/>
        <n x="433"/>
        <n x="193"/>
      </t>
    </mdx>
    <mdx n="0" f="v">
      <t c="3">
        <n x="29"/>
        <n x="272"/>
        <n x="193"/>
      </t>
    </mdx>
    <mdx n="0" f="v">
      <t c="3">
        <n x="197"/>
        <n x="445"/>
        <n x="193"/>
      </t>
    </mdx>
    <mdx n="0" f="v">
      <t c="3">
        <n x="197"/>
        <n x="443"/>
        <n x="193"/>
      </t>
    </mdx>
    <mdx n="0" f="v">
      <t c="3">
        <n x="197"/>
        <n x="433"/>
        <n x="193"/>
      </t>
    </mdx>
    <mdx n="0" f="v">
      <t c="3">
        <n x="197"/>
        <n x="272"/>
        <n x="193"/>
      </t>
    </mdx>
    <mdx n="0" f="v">
      <t c="3">
        <n x="260"/>
        <n x="445"/>
        <n x="193"/>
      </t>
    </mdx>
    <mdx n="0" f="v">
      <t c="3">
        <n x="260"/>
        <n x="443"/>
        <n x="193"/>
      </t>
    </mdx>
    <mdx n="0" f="v">
      <t c="3">
        <n x="260"/>
        <n x="433"/>
        <n x="193"/>
      </t>
    </mdx>
    <mdx n="0" f="v">
      <t c="3">
        <n x="260"/>
        <n x="272"/>
        <n x="193"/>
      </t>
    </mdx>
    <mdx n="0" f="v">
      <t c="3">
        <n x="224"/>
        <n x="445"/>
        <n x="193"/>
      </t>
    </mdx>
    <mdx n="0" f="v">
      <t c="3">
        <n x="224"/>
        <n x="443"/>
        <n x="193"/>
      </t>
    </mdx>
    <mdx n="0" f="v">
      <t c="3">
        <n x="224"/>
        <n x="433"/>
        <n x="193"/>
      </t>
    </mdx>
    <mdx n="0" f="v">
      <t c="3">
        <n x="224"/>
        <n x="272"/>
        <n x="193"/>
      </t>
    </mdx>
    <mdx n="0" f="v">
      <t c="3">
        <n x="186"/>
        <n x="445"/>
        <n x="193"/>
      </t>
    </mdx>
    <mdx n="0" f="v">
      <t c="3">
        <n x="186"/>
        <n x="443"/>
        <n x="193"/>
      </t>
    </mdx>
    <mdx n="0" f="v">
      <t c="3">
        <n x="186"/>
        <n x="433"/>
        <n x="193"/>
      </t>
    </mdx>
    <mdx n="0" f="v">
      <t c="3">
        <n x="186"/>
        <n x="272"/>
        <n x="193"/>
      </t>
    </mdx>
    <mdx n="0" f="v">
      <t c="3">
        <n x="146"/>
        <n x="445"/>
        <n x="193"/>
      </t>
    </mdx>
    <mdx n="0" f="v">
      <t c="3">
        <n x="146"/>
        <n x="443"/>
        <n x="193"/>
      </t>
    </mdx>
    <mdx n="0" f="v">
      <t c="3">
        <n x="146"/>
        <n x="433"/>
        <n x="193"/>
      </t>
    </mdx>
    <mdx n="0" f="v">
      <t c="3">
        <n x="146"/>
        <n x="272"/>
        <n x="193"/>
      </t>
    </mdx>
    <mdx n="0" f="v">
      <t c="3">
        <n x="106"/>
        <n x="445"/>
        <n x="193"/>
      </t>
    </mdx>
    <mdx n="0" f="v">
      <t c="3">
        <n x="106"/>
        <n x="443"/>
        <n x="193"/>
      </t>
    </mdx>
    <mdx n="0" f="v">
      <t c="3">
        <n x="106"/>
        <n x="433"/>
        <n x="193"/>
      </t>
    </mdx>
    <mdx n="0" f="v">
      <t c="3">
        <n x="106"/>
        <n x="272"/>
        <n x="193"/>
      </t>
    </mdx>
    <mdx n="0" f="v">
      <t c="3">
        <n x="67"/>
        <n x="445"/>
        <n x="193"/>
      </t>
    </mdx>
    <mdx n="0" f="v">
      <t c="3">
        <n x="67"/>
        <n x="443"/>
        <n x="193"/>
      </t>
    </mdx>
    <mdx n="0" f="v">
      <t c="3">
        <n x="67"/>
        <n x="433"/>
        <n x="193"/>
      </t>
    </mdx>
    <mdx n="0" f="v">
      <t c="3">
        <n x="67"/>
        <n x="272"/>
        <n x="193"/>
      </t>
    </mdx>
    <mdx n="0" f="v">
      <t c="3">
        <n x="28"/>
        <n x="445"/>
        <n x="193"/>
      </t>
    </mdx>
    <mdx n="0" f="v">
      <t c="3">
        <n x="28"/>
        <n x="443"/>
        <n x="193"/>
      </t>
    </mdx>
    <mdx n="0" f="v">
      <t c="3">
        <n x="28"/>
        <n x="433"/>
        <n x="193"/>
      </t>
    </mdx>
    <mdx n="0" f="v">
      <t c="3">
        <n x="28"/>
        <n x="272"/>
        <n x="193"/>
      </t>
    </mdx>
    <mdx n="0" f="v">
      <t c="3">
        <n x="158"/>
        <n x="445"/>
        <n x="193"/>
      </t>
    </mdx>
    <mdx n="0" f="v">
      <t c="3">
        <n x="158"/>
        <n x="443"/>
        <n x="193"/>
      </t>
    </mdx>
    <mdx n="0" f="v">
      <t c="3">
        <n x="158"/>
        <n x="433"/>
        <n x="193"/>
      </t>
    </mdx>
    <mdx n="0" f="v">
      <t c="3">
        <n x="158"/>
        <n x="272"/>
        <n x="193"/>
      </t>
    </mdx>
    <mdx n="0" f="v">
      <t c="3">
        <n x="259"/>
        <n x="445"/>
        <n x="193"/>
      </t>
    </mdx>
    <mdx n="0" f="v">
      <t c="3">
        <n x="259"/>
        <n x="443"/>
        <n x="193"/>
      </t>
    </mdx>
    <mdx n="0" f="v">
      <t c="3">
        <n x="259"/>
        <n x="433"/>
        <n x="193"/>
      </t>
    </mdx>
    <mdx n="0" f="v">
      <t c="3">
        <n x="259"/>
        <n x="272"/>
        <n x="193"/>
      </t>
    </mdx>
    <mdx n="0" f="v">
      <t c="3">
        <n x="223"/>
        <n x="445"/>
        <n x="193"/>
      </t>
    </mdx>
    <mdx n="0" f="v">
      <t c="3">
        <n x="223"/>
        <n x="443"/>
        <n x="193"/>
      </t>
    </mdx>
    <mdx n="0" f="v">
      <t c="3">
        <n x="223"/>
        <n x="433"/>
        <n x="193"/>
      </t>
    </mdx>
    <mdx n="0" f="v">
      <t c="3">
        <n x="223"/>
        <n x="272"/>
        <n x="193"/>
      </t>
    </mdx>
    <mdx n="0" f="v">
      <t c="3">
        <n x="185"/>
        <n x="445"/>
        <n x="193"/>
      </t>
    </mdx>
    <mdx n="0" f="v">
      <t c="3">
        <n x="185"/>
        <n x="443"/>
        <n x="193"/>
      </t>
    </mdx>
    <mdx n="0" f="v">
      <t c="3">
        <n x="185"/>
        <n x="433"/>
        <n x="193"/>
      </t>
    </mdx>
    <mdx n="0" f="v">
      <t c="3">
        <n x="185"/>
        <n x="272"/>
        <n x="193"/>
      </t>
    </mdx>
    <mdx n="0" f="v">
      <t c="3">
        <n x="145"/>
        <n x="445"/>
        <n x="193"/>
      </t>
    </mdx>
    <mdx n="0" f="v">
      <t c="3">
        <n x="145"/>
        <n x="443"/>
        <n x="193"/>
      </t>
    </mdx>
    <mdx n="0" f="v">
      <t c="3">
        <n x="145"/>
        <n x="433"/>
        <n x="193"/>
      </t>
    </mdx>
    <mdx n="0" f="v">
      <t c="3">
        <n x="145"/>
        <n x="272"/>
        <n x="193"/>
      </t>
    </mdx>
    <mdx n="0" f="v">
      <t c="3">
        <n x="105"/>
        <n x="445"/>
        <n x="193"/>
      </t>
    </mdx>
    <mdx n="0" f="v">
      <t c="3">
        <n x="105"/>
        <n x="443"/>
        <n x="193"/>
      </t>
    </mdx>
    <mdx n="0" f="v">
      <t c="3">
        <n x="105"/>
        <n x="433"/>
        <n x="193"/>
      </t>
    </mdx>
    <mdx n="0" f="v">
      <t c="3">
        <n x="105"/>
        <n x="272"/>
        <n x="193"/>
      </t>
    </mdx>
    <mdx n="0" f="v">
      <t c="3">
        <n x="66"/>
        <n x="445"/>
        <n x="193"/>
      </t>
    </mdx>
    <mdx n="0" f="v">
      <t c="3">
        <n x="66"/>
        <n x="443"/>
        <n x="193"/>
      </t>
    </mdx>
    <mdx n="0" f="v">
      <t c="3">
        <n x="66"/>
        <n x="433"/>
        <n x="193"/>
      </t>
    </mdx>
    <mdx n="0" f="v">
      <t c="3">
        <n x="66"/>
        <n x="272"/>
        <n x="193"/>
      </t>
    </mdx>
    <mdx n="0" f="v">
      <t c="3">
        <n x="27"/>
        <n x="445"/>
        <n x="193"/>
      </t>
    </mdx>
    <mdx n="0" f="v">
      <t c="3">
        <n x="27"/>
        <n x="443"/>
        <n x="193"/>
      </t>
    </mdx>
    <mdx n="0" f="v">
      <t c="3">
        <n x="27"/>
        <n x="433"/>
        <n x="193"/>
      </t>
    </mdx>
    <mdx n="0" f="v">
      <t c="3">
        <n x="27"/>
        <n x="272"/>
        <n x="193"/>
      </t>
    </mdx>
    <mdx n="0" f="v">
      <t c="3">
        <n x="118"/>
        <n x="445"/>
        <n x="193"/>
      </t>
    </mdx>
    <mdx n="0" f="v">
      <t c="3">
        <n x="118"/>
        <n x="443"/>
        <n x="193"/>
      </t>
    </mdx>
    <mdx n="0" f="v">
      <t c="3">
        <n x="118"/>
        <n x="433"/>
        <n x="193"/>
      </t>
    </mdx>
    <mdx n="0" f="v">
      <t c="3">
        <n x="118"/>
        <n x="272"/>
        <n x="193"/>
      </t>
    </mdx>
    <mdx n="0" f="v">
      <t c="3">
        <n x="258"/>
        <n x="445"/>
        <n x="193"/>
      </t>
    </mdx>
    <mdx n="0" f="v">
      <t c="3">
        <n x="258"/>
        <n x="443"/>
        <n x="193"/>
      </t>
    </mdx>
    <mdx n="0" f="v">
      <t c="3">
        <n x="258"/>
        <n x="433"/>
        <n x="193"/>
      </t>
    </mdx>
    <mdx n="0" f="v">
      <t c="3">
        <n x="258"/>
        <n x="272"/>
        <n x="193"/>
      </t>
    </mdx>
    <mdx n="0" f="v">
      <t c="3">
        <n x="222"/>
        <n x="445"/>
        <n x="193"/>
      </t>
    </mdx>
    <mdx n="0" f="v">
      <t c="3">
        <n x="222"/>
        <n x="443"/>
        <n x="193"/>
      </t>
    </mdx>
    <mdx n="0" f="v">
      <t c="3">
        <n x="222"/>
        <n x="433"/>
        <n x="193"/>
      </t>
    </mdx>
    <mdx n="0" f="v">
      <t c="3">
        <n x="222"/>
        <n x="272"/>
        <n x="193"/>
      </t>
    </mdx>
    <mdx n="0" f="v">
      <t c="3">
        <n x="184"/>
        <n x="445"/>
        <n x="193"/>
      </t>
    </mdx>
    <mdx n="0" f="v">
      <t c="3">
        <n x="184"/>
        <n x="443"/>
        <n x="193"/>
      </t>
    </mdx>
    <mdx n="0" f="v">
      <t c="3">
        <n x="184"/>
        <n x="433"/>
        <n x="193"/>
      </t>
    </mdx>
    <mdx n="0" f="v">
      <t c="3">
        <n x="184"/>
        <n x="272"/>
        <n x="193"/>
      </t>
    </mdx>
    <mdx n="0" f="v">
      <t c="3">
        <n x="144"/>
        <n x="445"/>
        <n x="193"/>
      </t>
    </mdx>
    <mdx n="0" f="v">
      <t c="3">
        <n x="144"/>
        <n x="443"/>
        <n x="193"/>
      </t>
    </mdx>
    <mdx n="0" f="v">
      <t c="3">
        <n x="144"/>
        <n x="433"/>
        <n x="193"/>
      </t>
    </mdx>
    <mdx n="0" f="v">
      <t c="3">
        <n x="144"/>
        <n x="272"/>
        <n x="193"/>
      </t>
    </mdx>
    <mdx n="0" f="v">
      <t c="3">
        <n x="104"/>
        <n x="445"/>
        <n x="193"/>
      </t>
    </mdx>
    <mdx n="0" f="v">
      <t c="3">
        <n x="104"/>
        <n x="443"/>
        <n x="193"/>
      </t>
    </mdx>
    <mdx n="0" f="v">
      <t c="3">
        <n x="104"/>
        <n x="433"/>
        <n x="193"/>
      </t>
    </mdx>
    <mdx n="0" f="v">
      <t c="3">
        <n x="104"/>
        <n x="272"/>
        <n x="193"/>
      </t>
    </mdx>
    <mdx n="0" f="v">
      <t c="3">
        <n x="65"/>
        <n x="445"/>
        <n x="193"/>
      </t>
    </mdx>
    <mdx n="0" f="v">
      <t c="3">
        <n x="65"/>
        <n x="443"/>
        <n x="193"/>
      </t>
    </mdx>
    <mdx n="0" f="v">
      <t c="3">
        <n x="65"/>
        <n x="433"/>
        <n x="193"/>
      </t>
    </mdx>
    <mdx n="0" f="v">
      <t c="3">
        <n x="65"/>
        <n x="272"/>
        <n x="193"/>
      </t>
    </mdx>
    <mdx n="0" f="v">
      <t c="3">
        <n x="26"/>
        <n x="445"/>
        <n x="193"/>
      </t>
    </mdx>
    <mdx n="0" f="v">
      <t c="3">
        <n x="26"/>
        <n x="443"/>
        <n x="193"/>
      </t>
    </mdx>
    <mdx n="0" f="v">
      <t c="3">
        <n x="26"/>
        <n x="433"/>
        <n x="193"/>
      </t>
    </mdx>
    <mdx n="0" f="v">
      <t c="3">
        <n x="26"/>
        <n x="272"/>
        <n x="193"/>
      </t>
    </mdx>
    <mdx n="0" f="v">
      <t c="3">
        <n x="157"/>
        <n x="445"/>
        <n x="193"/>
      </t>
    </mdx>
    <mdx n="0" f="v">
      <t c="3">
        <n x="157"/>
        <n x="443"/>
        <n x="193"/>
      </t>
    </mdx>
    <mdx n="0" f="v">
      <t c="3">
        <n x="157"/>
        <n x="433"/>
        <n x="193"/>
      </t>
    </mdx>
    <mdx n="0" f="v">
      <t c="3">
        <n x="157"/>
        <n x="272"/>
        <n x="193"/>
      </t>
    </mdx>
    <mdx n="0" f="v">
      <t c="3">
        <n x="257"/>
        <n x="445"/>
        <n x="193"/>
      </t>
    </mdx>
    <mdx n="0" f="v">
      <t c="3">
        <n x="257"/>
        <n x="443"/>
        <n x="193"/>
      </t>
    </mdx>
    <mdx n="0" f="v">
      <t c="3">
        <n x="257"/>
        <n x="433"/>
        <n x="193"/>
      </t>
    </mdx>
    <mdx n="0" f="v">
      <t c="3">
        <n x="257"/>
        <n x="272"/>
        <n x="193"/>
      </t>
    </mdx>
    <mdx n="0" f="v">
      <t c="3">
        <n x="221"/>
        <n x="445"/>
        <n x="193"/>
      </t>
    </mdx>
    <mdx n="0" f="v">
      <t c="3">
        <n x="221"/>
        <n x="443"/>
        <n x="193"/>
      </t>
    </mdx>
    <mdx n="0" f="v">
      <t c="3">
        <n x="221"/>
        <n x="433"/>
        <n x="193"/>
      </t>
    </mdx>
    <mdx n="0" f="v">
      <t c="3">
        <n x="221"/>
        <n x="272"/>
        <n x="193"/>
      </t>
    </mdx>
    <mdx n="0" f="v">
      <t c="3">
        <n x="183"/>
        <n x="445"/>
        <n x="193"/>
      </t>
    </mdx>
    <mdx n="0" f="v">
      <t c="3">
        <n x="183"/>
        <n x="443"/>
        <n x="193"/>
      </t>
    </mdx>
    <mdx n="0" f="v">
      <t c="3">
        <n x="183"/>
        <n x="433"/>
        <n x="193"/>
      </t>
    </mdx>
    <mdx n="0" f="v">
      <t c="3">
        <n x="183"/>
        <n x="272"/>
        <n x="193"/>
      </t>
    </mdx>
    <mdx n="0" f="v">
      <t c="3">
        <n x="143"/>
        <n x="445"/>
        <n x="193"/>
      </t>
    </mdx>
    <mdx n="0" f="v">
      <t c="3">
        <n x="143"/>
        <n x="443"/>
        <n x="193"/>
      </t>
    </mdx>
    <mdx n="0" f="v">
      <t c="3">
        <n x="143"/>
        <n x="433"/>
        <n x="193"/>
      </t>
    </mdx>
    <mdx n="0" f="v">
      <t c="3">
        <n x="143"/>
        <n x="272"/>
        <n x="193"/>
      </t>
    </mdx>
    <mdx n="0" f="v">
      <t c="3">
        <n x="103"/>
        <n x="445"/>
        <n x="193"/>
      </t>
    </mdx>
    <mdx n="0" f="v">
      <t c="3">
        <n x="103"/>
        <n x="443"/>
        <n x="193"/>
      </t>
    </mdx>
    <mdx n="0" f="v">
      <t c="3">
        <n x="103"/>
        <n x="433"/>
        <n x="193"/>
      </t>
    </mdx>
    <mdx n="0" f="v">
      <t c="3">
        <n x="103"/>
        <n x="272"/>
        <n x="193"/>
      </t>
    </mdx>
    <mdx n="0" f="v">
      <t c="3">
        <n x="64"/>
        <n x="445"/>
        <n x="193"/>
      </t>
    </mdx>
    <mdx n="0" f="v">
      <t c="3">
        <n x="64"/>
        <n x="443"/>
        <n x="193"/>
      </t>
    </mdx>
    <mdx n="0" f="v">
      <t c="3">
        <n x="64"/>
        <n x="433"/>
        <n x="193"/>
      </t>
    </mdx>
    <mdx n="0" f="v">
      <t c="3">
        <n x="64"/>
        <n x="272"/>
        <n x="193"/>
      </t>
    </mdx>
    <mdx n="0" f="v">
      <t c="3">
        <n x="25"/>
        <n x="445"/>
        <n x="193"/>
      </t>
    </mdx>
    <mdx n="0" f="v">
      <t c="3">
        <n x="25"/>
        <n x="443"/>
        <n x="193"/>
      </t>
    </mdx>
    <mdx n="0" f="v">
      <t c="3">
        <n x="25"/>
        <n x="433"/>
        <n x="193"/>
      </t>
    </mdx>
    <mdx n="0" f="v">
      <t c="3">
        <n x="25"/>
        <n x="272"/>
        <n x="193"/>
      </t>
    </mdx>
    <mdx n="0" f="v">
      <t c="3">
        <n x="39"/>
        <n x="445"/>
        <n x="193"/>
      </t>
    </mdx>
    <mdx n="0" f="v">
      <t c="3">
        <n x="39"/>
        <n x="443"/>
        <n x="193"/>
      </t>
    </mdx>
    <mdx n="0" f="v">
      <t c="3">
        <n x="39"/>
        <n x="433"/>
        <n x="193"/>
      </t>
    </mdx>
    <mdx n="0" f="v">
      <t c="3">
        <n x="39"/>
        <n x="272"/>
        <n x="193"/>
      </t>
    </mdx>
    <mdx n="0" f="v">
      <t c="3">
        <n x="256"/>
        <n x="445"/>
        <n x="193"/>
      </t>
    </mdx>
    <mdx n="0" f="v">
      <t c="3">
        <n x="256"/>
        <n x="443"/>
        <n x="193"/>
      </t>
    </mdx>
    <mdx n="0" f="v">
      <t c="3">
        <n x="256"/>
        <n x="433"/>
        <n x="193"/>
      </t>
    </mdx>
    <mdx n="0" f="v">
      <t c="3">
        <n x="256"/>
        <n x="272"/>
        <n x="193"/>
      </t>
    </mdx>
    <mdx n="0" f="v">
      <t c="3">
        <n x="220"/>
        <n x="445"/>
        <n x="193"/>
      </t>
    </mdx>
    <mdx n="0" f="v">
      <t c="3">
        <n x="220"/>
        <n x="443"/>
        <n x="193"/>
      </t>
    </mdx>
    <mdx n="0" f="v">
      <t c="3">
        <n x="220"/>
        <n x="433"/>
        <n x="193"/>
      </t>
    </mdx>
    <mdx n="0" f="v">
      <t c="3">
        <n x="220"/>
        <n x="272"/>
        <n x="193"/>
      </t>
    </mdx>
    <mdx n="0" f="v">
      <t c="3">
        <n x="182"/>
        <n x="445"/>
        <n x="193"/>
      </t>
    </mdx>
    <mdx n="0" f="v">
      <t c="3">
        <n x="182"/>
        <n x="443"/>
        <n x="193"/>
      </t>
    </mdx>
    <mdx n="0" f="v">
      <t c="3">
        <n x="182"/>
        <n x="433"/>
        <n x="193"/>
      </t>
    </mdx>
    <mdx n="0" f="v">
      <t c="3">
        <n x="182"/>
        <n x="272"/>
        <n x="193"/>
      </t>
    </mdx>
    <mdx n="0" f="v">
      <t c="3">
        <n x="142"/>
        <n x="445"/>
        <n x="193"/>
      </t>
    </mdx>
    <mdx n="0" f="v">
      <t c="3">
        <n x="142"/>
        <n x="443"/>
        <n x="193"/>
      </t>
    </mdx>
    <mdx n="0" f="v">
      <t c="3">
        <n x="142"/>
        <n x="433"/>
        <n x="193"/>
      </t>
    </mdx>
    <mdx n="0" f="v">
      <t c="3">
        <n x="142"/>
        <n x="272"/>
        <n x="193"/>
      </t>
    </mdx>
    <mdx n="0" f="v">
      <t c="3">
        <n x="102"/>
        <n x="445"/>
        <n x="193"/>
      </t>
    </mdx>
    <mdx n="0" f="v">
      <t c="3">
        <n x="102"/>
        <n x="443"/>
        <n x="193"/>
      </t>
    </mdx>
    <mdx n="0" f="v">
      <t c="3">
        <n x="102"/>
        <n x="433"/>
        <n x="193"/>
      </t>
    </mdx>
    <mdx n="0" f="v">
      <t c="3">
        <n x="102"/>
        <n x="272"/>
        <n x="193"/>
      </t>
    </mdx>
    <mdx n="0" f="v">
      <t c="3">
        <n x="63"/>
        <n x="445"/>
        <n x="193"/>
      </t>
    </mdx>
    <mdx n="0" f="v">
      <t c="3">
        <n x="63"/>
        <n x="443"/>
        <n x="193"/>
      </t>
    </mdx>
    <mdx n="0" f="v">
      <t c="3">
        <n x="63"/>
        <n x="433"/>
        <n x="193"/>
      </t>
    </mdx>
    <mdx n="0" f="v">
      <t c="3">
        <n x="63"/>
        <n x="272"/>
        <n x="193"/>
      </t>
    </mdx>
    <mdx n="0" f="v">
      <t c="3">
        <n x="24"/>
        <n x="445"/>
        <n x="193"/>
      </t>
    </mdx>
    <mdx n="0" f="v">
      <t c="3">
        <n x="24"/>
        <n x="443"/>
        <n x="193"/>
      </t>
    </mdx>
    <mdx n="0" f="v">
      <t c="3">
        <n x="24"/>
        <n x="433"/>
        <n x="193"/>
      </t>
    </mdx>
    <mdx n="0" f="v">
      <t c="3">
        <n x="24"/>
        <n x="272"/>
        <n x="193"/>
      </t>
    </mdx>
    <mdx n="0" f="v">
      <t c="3">
        <n x="270"/>
        <n x="445"/>
        <n x="193"/>
      </t>
    </mdx>
    <mdx n="0" f="v">
      <t c="3">
        <n x="270"/>
        <n x="443"/>
        <n x="193"/>
      </t>
    </mdx>
    <mdx n="0" f="v">
      <t c="3">
        <n x="270"/>
        <n x="433"/>
        <n x="193"/>
      </t>
    </mdx>
    <mdx n="0" f="v">
      <t c="3">
        <n x="270"/>
        <n x="272"/>
        <n x="193"/>
      </t>
    </mdx>
    <mdx n="0" f="v">
      <t c="3">
        <n x="255"/>
        <n x="445"/>
        <n x="193"/>
      </t>
    </mdx>
    <mdx n="0" f="v">
      <t c="3">
        <n x="255"/>
        <n x="443"/>
        <n x="193"/>
      </t>
    </mdx>
    <mdx n="0" f="v">
      <t c="3">
        <n x="255"/>
        <n x="433"/>
        <n x="193"/>
      </t>
    </mdx>
    <mdx n="0" f="v">
      <t c="3">
        <n x="255"/>
        <n x="272"/>
        <n x="193"/>
      </t>
    </mdx>
    <mdx n="0" f="v">
      <t c="3">
        <n x="219"/>
        <n x="445"/>
        <n x="193"/>
      </t>
    </mdx>
    <mdx n="0" f="v">
      <t c="3">
        <n x="219"/>
        <n x="443"/>
        <n x="193"/>
      </t>
    </mdx>
    <mdx n="0" f="v">
      <t c="3">
        <n x="219"/>
        <n x="433"/>
        <n x="193"/>
      </t>
    </mdx>
    <mdx n="0" f="v">
      <t c="3">
        <n x="219"/>
        <n x="272"/>
        <n x="193"/>
      </t>
    </mdx>
    <mdx n="0" f="v">
      <t c="3">
        <n x="181"/>
        <n x="445"/>
        <n x="193"/>
      </t>
    </mdx>
    <mdx n="0" f="v">
      <t c="3">
        <n x="181"/>
        <n x="443"/>
        <n x="193"/>
      </t>
    </mdx>
    <mdx n="0" f="v">
      <t c="3">
        <n x="181"/>
        <n x="433"/>
        <n x="193"/>
      </t>
    </mdx>
    <mdx n="0" f="v">
      <t c="3">
        <n x="181"/>
        <n x="272"/>
        <n x="193"/>
      </t>
    </mdx>
    <mdx n="0" f="v">
      <t c="3">
        <n x="141"/>
        <n x="445"/>
        <n x="193"/>
      </t>
    </mdx>
    <mdx n="0" f="v">
      <t c="3">
        <n x="141"/>
        <n x="443"/>
        <n x="193"/>
      </t>
    </mdx>
    <mdx n="0" f="v">
      <t c="3">
        <n x="141"/>
        <n x="433"/>
        <n x="193"/>
      </t>
    </mdx>
    <mdx n="0" f="v">
      <t c="3">
        <n x="141"/>
        <n x="272"/>
        <n x="193"/>
      </t>
    </mdx>
    <mdx n="0" f="v">
      <t c="3">
        <n x="101"/>
        <n x="445"/>
        <n x="193"/>
      </t>
    </mdx>
    <mdx n="0" f="v">
      <t c="3">
        <n x="101"/>
        <n x="443"/>
        <n x="193"/>
      </t>
    </mdx>
    <mdx n="0" f="v">
      <t c="3">
        <n x="101"/>
        <n x="433"/>
        <n x="193"/>
      </t>
    </mdx>
    <mdx n="0" f="v">
      <t c="3">
        <n x="101"/>
        <n x="272"/>
        <n x="193"/>
      </t>
    </mdx>
    <mdx n="0" f="v">
      <t c="3">
        <n x="62"/>
        <n x="445"/>
        <n x="193"/>
      </t>
    </mdx>
    <mdx n="0" f="v">
      <t c="3">
        <n x="62"/>
        <n x="443"/>
        <n x="193"/>
      </t>
    </mdx>
    <mdx n="0" f="v">
      <t c="3">
        <n x="62"/>
        <n x="433"/>
        <n x="193"/>
      </t>
    </mdx>
    <mdx n="0" f="v">
      <t c="3">
        <n x="62"/>
        <n x="272"/>
        <n x="193"/>
      </t>
    </mdx>
    <mdx n="0" f="v">
      <t c="3">
        <n x="23"/>
        <n x="445"/>
        <n x="193"/>
      </t>
    </mdx>
    <mdx n="0" f="v">
      <t c="3">
        <n x="23"/>
        <n x="443"/>
        <n x="193"/>
      </t>
    </mdx>
    <mdx n="0" f="v">
      <t c="3">
        <n x="23"/>
        <n x="433"/>
        <n x="193"/>
      </t>
    </mdx>
    <mdx n="0" f="v">
      <t c="3">
        <n x="23"/>
        <n x="272"/>
        <n x="193"/>
      </t>
    </mdx>
    <mdx n="0" f="v">
      <t c="3">
        <n x="78"/>
        <n x="445"/>
        <n x="193"/>
      </t>
    </mdx>
    <mdx n="0" f="v">
      <t c="3">
        <n x="78"/>
        <n x="443"/>
        <n x="193"/>
      </t>
    </mdx>
    <mdx n="0" f="v">
      <t c="3">
        <n x="78"/>
        <n x="433"/>
        <n x="193"/>
      </t>
    </mdx>
    <mdx n="0" f="v">
      <t c="3">
        <n x="78"/>
        <n x="272"/>
        <n x="193"/>
      </t>
    </mdx>
    <mdx n="0" f="v">
      <t c="3">
        <n x="254"/>
        <n x="445"/>
        <n x="193"/>
      </t>
    </mdx>
    <mdx n="0" f="v">
      <t c="3">
        <n x="254"/>
        <n x="443"/>
        <n x="193"/>
      </t>
    </mdx>
    <mdx n="0" f="v">
      <t c="3">
        <n x="254"/>
        <n x="433"/>
        <n x="193"/>
      </t>
    </mdx>
    <mdx n="0" f="v">
      <t c="3">
        <n x="254"/>
        <n x="272"/>
        <n x="193"/>
      </t>
    </mdx>
    <mdx n="0" f="v">
      <t c="3">
        <n x="218"/>
        <n x="445"/>
        <n x="193"/>
      </t>
    </mdx>
    <mdx n="0" f="v">
      <t c="3">
        <n x="218"/>
        <n x="443"/>
        <n x="193"/>
      </t>
    </mdx>
    <mdx n="0" f="v">
      <t c="3">
        <n x="218"/>
        <n x="433"/>
        <n x="193"/>
      </t>
    </mdx>
    <mdx n="0" f="v">
      <t c="3">
        <n x="218"/>
        <n x="272"/>
        <n x="193"/>
      </t>
    </mdx>
    <mdx n="0" f="v">
      <t c="3">
        <n x="180"/>
        <n x="445"/>
        <n x="193"/>
      </t>
    </mdx>
    <mdx n="0" f="v">
      <t c="3">
        <n x="180"/>
        <n x="443"/>
        <n x="193"/>
      </t>
    </mdx>
    <mdx n="0" f="v">
      <t c="3">
        <n x="180"/>
        <n x="433"/>
        <n x="193"/>
      </t>
    </mdx>
    <mdx n="0" f="v">
      <t c="3">
        <n x="180"/>
        <n x="272"/>
        <n x="193"/>
      </t>
    </mdx>
    <mdx n="0" f="v">
      <t c="3">
        <n x="140"/>
        <n x="445"/>
        <n x="193"/>
      </t>
    </mdx>
    <mdx n="0" f="v">
      <t c="3">
        <n x="140"/>
        <n x="443"/>
        <n x="193"/>
      </t>
    </mdx>
    <mdx n="0" f="v">
      <t c="3">
        <n x="140"/>
        <n x="433"/>
        <n x="193"/>
      </t>
    </mdx>
    <mdx n="0" f="v">
      <t c="3">
        <n x="140"/>
        <n x="272"/>
        <n x="193"/>
      </t>
    </mdx>
    <mdx n="0" f="v">
      <t c="3">
        <n x="100"/>
        <n x="445"/>
        <n x="193"/>
      </t>
    </mdx>
    <mdx n="0" f="v">
      <t c="3">
        <n x="100"/>
        <n x="443"/>
        <n x="193"/>
      </t>
    </mdx>
    <mdx n="0" f="v">
      <t c="3">
        <n x="100"/>
        <n x="433"/>
        <n x="193"/>
      </t>
    </mdx>
    <mdx n="0" f="v">
      <t c="3">
        <n x="100"/>
        <n x="272"/>
        <n x="193"/>
      </t>
    </mdx>
    <mdx n="0" f="v">
      <t c="3">
        <n x="61"/>
        <n x="445"/>
        <n x="193"/>
      </t>
    </mdx>
    <mdx n="0" f="v">
      <t c="3">
        <n x="61"/>
        <n x="443"/>
        <n x="193"/>
      </t>
    </mdx>
    <mdx n="0" f="v">
      <t c="3">
        <n x="61"/>
        <n x="433"/>
        <n x="193"/>
      </t>
    </mdx>
    <mdx n="0" f="v">
      <t c="3">
        <n x="61"/>
        <n x="272"/>
        <n x="193"/>
      </t>
    </mdx>
    <mdx n="0" f="v">
      <t c="3">
        <n x="22"/>
        <n x="445"/>
        <n x="193"/>
      </t>
    </mdx>
    <mdx n="0" f="v">
      <t c="3">
        <n x="22"/>
        <n x="443"/>
        <n x="193"/>
      </t>
    </mdx>
    <mdx n="0" f="v">
      <t c="3">
        <n x="22"/>
        <n x="433"/>
        <n x="193"/>
      </t>
    </mdx>
    <mdx n="0" f="v">
      <t c="3">
        <n x="22"/>
        <n x="272"/>
        <n x="193"/>
      </t>
    </mdx>
    <mdx n="0" f="v">
      <t c="3">
        <n x="196"/>
        <n x="445"/>
        <n x="193"/>
      </t>
    </mdx>
    <mdx n="0" f="v">
      <t c="3">
        <n x="196"/>
        <n x="443"/>
        <n x="193"/>
      </t>
    </mdx>
    <mdx n="0" f="v">
      <t c="3">
        <n x="196"/>
        <n x="433"/>
        <n x="193"/>
      </t>
    </mdx>
    <mdx n="0" f="v">
      <t c="3">
        <n x="196"/>
        <n x="272"/>
        <n x="193"/>
      </t>
    </mdx>
    <mdx n="0" f="v">
      <t c="3">
        <n x="253"/>
        <n x="445"/>
        <n x="193"/>
      </t>
    </mdx>
    <mdx n="0" f="v">
      <t c="3">
        <n x="253"/>
        <n x="443"/>
        <n x="193"/>
      </t>
    </mdx>
    <mdx n="0" f="v">
      <t c="3">
        <n x="253"/>
        <n x="433"/>
        <n x="193"/>
      </t>
    </mdx>
    <mdx n="0" f="v">
      <t c="3">
        <n x="253"/>
        <n x="272"/>
        <n x="193"/>
      </t>
    </mdx>
    <mdx n="0" f="v">
      <t c="3">
        <n x="217"/>
        <n x="445"/>
        <n x="193"/>
      </t>
    </mdx>
    <mdx n="0" f="v">
      <t c="3">
        <n x="217"/>
        <n x="443"/>
        <n x="193"/>
      </t>
    </mdx>
    <mdx n="0" f="v">
      <t c="3">
        <n x="217"/>
        <n x="433"/>
        <n x="193"/>
      </t>
    </mdx>
    <mdx n="0" f="v">
      <t c="3">
        <n x="217"/>
        <n x="272"/>
        <n x="193"/>
      </t>
    </mdx>
    <mdx n="0" f="v">
      <t c="3">
        <n x="179"/>
        <n x="445"/>
        <n x="193"/>
      </t>
    </mdx>
    <mdx n="0" f="v">
      <t c="3">
        <n x="179"/>
        <n x="443"/>
        <n x="193"/>
      </t>
    </mdx>
    <mdx n="0" f="v">
      <t c="3">
        <n x="179"/>
        <n x="433"/>
        <n x="193"/>
      </t>
    </mdx>
    <mdx n="0" f="v">
      <t c="3">
        <n x="179"/>
        <n x="272"/>
        <n x="193"/>
      </t>
    </mdx>
    <mdx n="0" f="v">
      <t c="3">
        <n x="139"/>
        <n x="445"/>
        <n x="193"/>
      </t>
    </mdx>
    <mdx n="0" f="v">
      <t c="3">
        <n x="139"/>
        <n x="443"/>
        <n x="193"/>
      </t>
    </mdx>
    <mdx n="0" f="v">
      <t c="3">
        <n x="139"/>
        <n x="433"/>
        <n x="193"/>
      </t>
    </mdx>
    <mdx n="0" f="v">
      <t c="3">
        <n x="139"/>
        <n x="272"/>
        <n x="193"/>
      </t>
    </mdx>
    <mdx n="0" f="v">
      <t c="3">
        <n x="99"/>
        <n x="445"/>
        <n x="193"/>
      </t>
    </mdx>
    <mdx n="0" f="v">
      <t c="3">
        <n x="99"/>
        <n x="443"/>
        <n x="193"/>
      </t>
    </mdx>
    <mdx n="0" f="v">
      <t c="3">
        <n x="99"/>
        <n x="433"/>
        <n x="193"/>
      </t>
    </mdx>
    <mdx n="0" f="v">
      <t c="3">
        <n x="99"/>
        <n x="272"/>
        <n x="193"/>
      </t>
    </mdx>
    <mdx n="0" f="v">
      <t c="3">
        <n x="60"/>
        <n x="445"/>
        <n x="193"/>
      </t>
    </mdx>
    <mdx n="0" f="v">
      <t c="3">
        <n x="60"/>
        <n x="443"/>
        <n x="193"/>
      </t>
    </mdx>
    <mdx n="0" f="v">
      <t c="3">
        <n x="60"/>
        <n x="433"/>
        <n x="193"/>
      </t>
    </mdx>
    <mdx n="0" f="v">
      <t c="3">
        <n x="60"/>
        <n x="272"/>
        <n x="193"/>
      </t>
    </mdx>
    <mdx n="0" f="v">
      <t c="3">
        <n x="21"/>
        <n x="445"/>
        <n x="193"/>
      </t>
    </mdx>
    <mdx n="0" f="v">
      <t c="3">
        <n x="21"/>
        <n x="443"/>
        <n x="193"/>
      </t>
    </mdx>
    <mdx n="0" f="v">
      <t c="3">
        <n x="21"/>
        <n x="433"/>
        <n x="193"/>
      </t>
    </mdx>
    <mdx n="0" f="v">
      <t c="3">
        <n x="21"/>
        <n x="272"/>
        <n x="193"/>
      </t>
    </mdx>
    <mdx n="0" f="v">
      <t c="3">
        <n x="117"/>
        <n x="445"/>
        <n x="193"/>
      </t>
    </mdx>
    <mdx n="0" f="v">
      <t c="3">
        <n x="117"/>
        <n x="443"/>
        <n x="193"/>
      </t>
    </mdx>
    <mdx n="0" f="v">
      <t c="3">
        <n x="117"/>
        <n x="433"/>
        <n x="193"/>
      </t>
    </mdx>
    <mdx n="0" f="v">
      <t c="3">
        <n x="117"/>
        <n x="272"/>
        <n x="193"/>
      </t>
    </mdx>
    <mdx n="0" f="v">
      <t c="3">
        <n x="252"/>
        <n x="445"/>
        <n x="193"/>
      </t>
    </mdx>
    <mdx n="0" f="v">
      <t c="3">
        <n x="252"/>
        <n x="443"/>
        <n x="193"/>
      </t>
    </mdx>
    <mdx n="0" f="v">
      <t c="3">
        <n x="252"/>
        <n x="433"/>
        <n x="193"/>
      </t>
    </mdx>
    <mdx n="0" f="v">
      <t c="3">
        <n x="252"/>
        <n x="272"/>
        <n x="193"/>
      </t>
    </mdx>
    <mdx n="0" f="v">
      <t c="3">
        <n x="216"/>
        <n x="445"/>
        <n x="193"/>
      </t>
    </mdx>
    <mdx n="0" f="v">
      <t c="3">
        <n x="216"/>
        <n x="443"/>
        <n x="193"/>
      </t>
    </mdx>
    <mdx n="0" f="v">
      <t c="3">
        <n x="216"/>
        <n x="433"/>
        <n x="193"/>
      </t>
    </mdx>
    <mdx n="0" f="v">
      <t c="3">
        <n x="216"/>
        <n x="272"/>
        <n x="193"/>
      </t>
    </mdx>
    <mdx n="0" f="v">
      <t c="3">
        <n x="178"/>
        <n x="445"/>
        <n x="193"/>
      </t>
    </mdx>
    <mdx n="0" f="v">
      <t c="3">
        <n x="178"/>
        <n x="443"/>
        <n x="193"/>
      </t>
    </mdx>
    <mdx n="0" f="v">
      <t c="3">
        <n x="178"/>
        <n x="433"/>
        <n x="193"/>
      </t>
    </mdx>
    <mdx n="0" f="v">
      <t c="3">
        <n x="178"/>
        <n x="272"/>
        <n x="193"/>
      </t>
    </mdx>
    <mdx n="0" f="v">
      <t c="3">
        <n x="138"/>
        <n x="445"/>
        <n x="193"/>
      </t>
    </mdx>
    <mdx n="0" f="v">
      <t c="3">
        <n x="138"/>
        <n x="443"/>
        <n x="193"/>
      </t>
    </mdx>
    <mdx n="0" f="v">
      <t c="3">
        <n x="138"/>
        <n x="433"/>
        <n x="193"/>
      </t>
    </mdx>
    <mdx n="0" f="v">
      <t c="3">
        <n x="138"/>
        <n x="272"/>
        <n x="193"/>
      </t>
    </mdx>
    <mdx n="0" f="v">
      <t c="3">
        <n x="98"/>
        <n x="445"/>
        <n x="193"/>
      </t>
    </mdx>
    <mdx n="0" f="v">
      <t c="3">
        <n x="98"/>
        <n x="443"/>
        <n x="193"/>
      </t>
    </mdx>
    <mdx n="0" f="v">
      <t c="3">
        <n x="98"/>
        <n x="433"/>
        <n x="193"/>
      </t>
    </mdx>
    <mdx n="0" f="v">
      <t c="3">
        <n x="98"/>
        <n x="272"/>
        <n x="193"/>
      </t>
    </mdx>
    <mdx n="0" f="v">
      <t c="3">
        <n x="59"/>
        <n x="445"/>
        <n x="193"/>
      </t>
    </mdx>
    <mdx n="0" f="v">
      <t c="3">
        <n x="59"/>
        <n x="443"/>
        <n x="193"/>
      </t>
    </mdx>
    <mdx n="0" f="v">
      <t c="3">
        <n x="59"/>
        <n x="433"/>
        <n x="193"/>
      </t>
    </mdx>
    <mdx n="0" f="v">
      <t c="3">
        <n x="59"/>
        <n x="272"/>
        <n x="193"/>
      </t>
    </mdx>
    <mdx n="0" f="v">
      <t c="3">
        <n x="20"/>
        <n x="445"/>
        <n x="193"/>
      </t>
    </mdx>
    <mdx n="0" f="v">
      <t c="3">
        <n x="20"/>
        <n x="443"/>
        <n x="193"/>
      </t>
    </mdx>
    <mdx n="0" f="v">
      <t c="3">
        <n x="20"/>
        <n x="433"/>
        <n x="193"/>
      </t>
    </mdx>
    <mdx n="0" f="v">
      <t c="3">
        <n x="20"/>
        <n x="272"/>
        <n x="193"/>
      </t>
    </mdx>
    <mdx n="0" f="v">
      <t c="3">
        <n x="156"/>
        <n x="445"/>
        <n x="193"/>
      </t>
    </mdx>
    <mdx n="0" f="v">
      <t c="3">
        <n x="156"/>
        <n x="443"/>
        <n x="193"/>
      </t>
    </mdx>
    <mdx n="0" f="v">
      <t c="3">
        <n x="156"/>
        <n x="433"/>
        <n x="193"/>
      </t>
    </mdx>
    <mdx n="0" f="v">
      <t c="3">
        <n x="156"/>
        <n x="272"/>
        <n x="193"/>
      </t>
    </mdx>
    <mdx n="0" f="v">
      <t c="3">
        <n x="251"/>
        <n x="445"/>
        <n x="193"/>
      </t>
    </mdx>
    <mdx n="0" f="v">
      <t c="3">
        <n x="251"/>
        <n x="443"/>
        <n x="193"/>
      </t>
    </mdx>
    <mdx n="0" f="v">
      <t c="3">
        <n x="251"/>
        <n x="433"/>
        <n x="193"/>
      </t>
    </mdx>
    <mdx n="0" f="v">
      <t c="3">
        <n x="251"/>
        <n x="272"/>
        <n x="193"/>
      </t>
    </mdx>
    <mdx n="0" f="v">
      <t c="3">
        <n x="215"/>
        <n x="445"/>
        <n x="193"/>
      </t>
    </mdx>
    <mdx n="0" f="v">
      <t c="3">
        <n x="215"/>
        <n x="443"/>
        <n x="193"/>
      </t>
    </mdx>
    <mdx n="0" f="v">
      <t c="3">
        <n x="215"/>
        <n x="433"/>
        <n x="193"/>
      </t>
    </mdx>
    <mdx n="0" f="v">
      <t c="3">
        <n x="215"/>
        <n x="272"/>
        <n x="193"/>
      </t>
    </mdx>
    <mdx n="0" f="v">
      <t c="3">
        <n x="177"/>
        <n x="445"/>
        <n x="193"/>
      </t>
    </mdx>
    <mdx n="0" f="v">
      <t c="3">
        <n x="177"/>
        <n x="443"/>
        <n x="193"/>
      </t>
    </mdx>
    <mdx n="0" f="v">
      <t c="3">
        <n x="177"/>
        <n x="433"/>
        <n x="193"/>
      </t>
    </mdx>
    <mdx n="0" f="v">
      <t c="3">
        <n x="177"/>
        <n x="272"/>
        <n x="193"/>
      </t>
    </mdx>
    <mdx n="0" f="v">
      <t c="3">
        <n x="137"/>
        <n x="445"/>
        <n x="193"/>
      </t>
    </mdx>
    <mdx n="0" f="v">
      <t c="3">
        <n x="137"/>
        <n x="443"/>
        <n x="193"/>
      </t>
    </mdx>
    <mdx n="0" f="v">
      <t c="3">
        <n x="137"/>
        <n x="433"/>
        <n x="193"/>
      </t>
    </mdx>
    <mdx n="0" f="v">
      <t c="3">
        <n x="137"/>
        <n x="272"/>
        <n x="193"/>
      </t>
    </mdx>
    <mdx n="0" f="v">
      <t c="3">
        <n x="97"/>
        <n x="445"/>
        <n x="193"/>
      </t>
    </mdx>
    <mdx n="0" f="v">
      <t c="3">
        <n x="97"/>
        <n x="443"/>
        <n x="193"/>
      </t>
    </mdx>
    <mdx n="0" f="v">
      <t c="3">
        <n x="97"/>
        <n x="433"/>
        <n x="193"/>
      </t>
    </mdx>
    <mdx n="0" f="v">
      <t c="3">
        <n x="97"/>
        <n x="272"/>
        <n x="193"/>
      </t>
    </mdx>
    <mdx n="0" f="v">
      <t c="3">
        <n x="58"/>
        <n x="445"/>
        <n x="193"/>
      </t>
    </mdx>
    <mdx n="0" f="v">
      <t c="3">
        <n x="58"/>
        <n x="443"/>
        <n x="193"/>
      </t>
    </mdx>
    <mdx n="0" f="v">
      <t c="3">
        <n x="58"/>
        <n x="433"/>
        <n x="193"/>
      </t>
    </mdx>
    <mdx n="0" f="v">
      <t c="3">
        <n x="58"/>
        <n x="272"/>
        <n x="193"/>
      </t>
    </mdx>
    <mdx n="0" f="v">
      <t c="3">
        <n x="19"/>
        <n x="445"/>
        <n x="193"/>
      </t>
    </mdx>
    <mdx n="0" f="v">
      <t c="3">
        <n x="19"/>
        <n x="443"/>
        <n x="193"/>
      </t>
    </mdx>
    <mdx n="0" f="v">
      <t c="3">
        <n x="19"/>
        <n x="433"/>
        <n x="193"/>
      </t>
    </mdx>
    <mdx n="0" f="v">
      <t c="3">
        <n x="19"/>
        <n x="272"/>
        <n x="193"/>
      </t>
    </mdx>
    <mdx n="0" f="v">
      <t c="3">
        <n x="116"/>
        <n x="445"/>
        <n x="193"/>
      </t>
    </mdx>
    <mdx n="0" f="v">
      <t c="3">
        <n x="116"/>
        <n x="443"/>
        <n x="193"/>
      </t>
    </mdx>
    <mdx n="0" f="v">
      <t c="3">
        <n x="116"/>
        <n x="433"/>
        <n x="193"/>
      </t>
    </mdx>
    <mdx n="0" f="v">
      <t c="3">
        <n x="116"/>
        <n x="272"/>
        <n x="193"/>
      </t>
    </mdx>
    <mdx n="0" f="v">
      <t c="3">
        <n x="250"/>
        <n x="445"/>
        <n x="193"/>
      </t>
    </mdx>
    <mdx n="0" f="v">
      <t c="3">
        <n x="250"/>
        <n x="443"/>
        <n x="193"/>
      </t>
    </mdx>
    <mdx n="0" f="v">
      <t c="3">
        <n x="250"/>
        <n x="433"/>
        <n x="193"/>
      </t>
    </mdx>
    <mdx n="0" f="v">
      <t c="3">
        <n x="250"/>
        <n x="272"/>
        <n x="193"/>
      </t>
    </mdx>
    <mdx n="0" f="v">
      <t c="3">
        <n x="214"/>
        <n x="445"/>
        <n x="193"/>
      </t>
    </mdx>
    <mdx n="0" f="v">
      <t c="3">
        <n x="214"/>
        <n x="443"/>
        <n x="193"/>
      </t>
    </mdx>
    <mdx n="0" f="v">
      <t c="3">
        <n x="214"/>
        <n x="433"/>
        <n x="193"/>
      </t>
    </mdx>
    <mdx n="0" f="v">
      <t c="3">
        <n x="214"/>
        <n x="272"/>
        <n x="193"/>
      </t>
    </mdx>
    <mdx n="0" f="v">
      <t c="3">
        <n x="176"/>
        <n x="445"/>
        <n x="193"/>
      </t>
    </mdx>
    <mdx n="0" f="v">
      <t c="3">
        <n x="176"/>
        <n x="443"/>
        <n x="193"/>
      </t>
    </mdx>
    <mdx n="0" f="v">
      <t c="3">
        <n x="176"/>
        <n x="433"/>
        <n x="193"/>
      </t>
    </mdx>
    <mdx n="0" f="v">
      <t c="3">
        <n x="176"/>
        <n x="272"/>
        <n x="193"/>
      </t>
    </mdx>
    <mdx n="0" f="v">
      <t c="3">
        <n x="136"/>
        <n x="445"/>
        <n x="193"/>
      </t>
    </mdx>
    <mdx n="0" f="v">
      <t c="3">
        <n x="136"/>
        <n x="443"/>
        <n x="193"/>
      </t>
    </mdx>
    <mdx n="0" f="v">
      <t c="3">
        <n x="136"/>
        <n x="433"/>
        <n x="193"/>
      </t>
    </mdx>
    <mdx n="0" f="v">
      <t c="3">
        <n x="136"/>
        <n x="272"/>
        <n x="193"/>
      </t>
    </mdx>
    <mdx n="0" f="v">
      <t c="3">
        <n x="96"/>
        <n x="445"/>
        <n x="193"/>
      </t>
    </mdx>
    <mdx n="0" f="v">
      <t c="3">
        <n x="96"/>
        <n x="443"/>
        <n x="193"/>
      </t>
    </mdx>
    <mdx n="0" f="v">
      <t c="3">
        <n x="96"/>
        <n x="433"/>
        <n x="193"/>
      </t>
    </mdx>
    <mdx n="0" f="v">
      <t c="3">
        <n x="96"/>
        <n x="272"/>
        <n x="193"/>
      </t>
    </mdx>
    <mdx n="0" f="v">
      <t c="3">
        <n x="57"/>
        <n x="445"/>
        <n x="193"/>
      </t>
    </mdx>
    <mdx n="0" f="v">
      <t c="3">
        <n x="57"/>
        <n x="443"/>
        <n x="193"/>
      </t>
    </mdx>
    <mdx n="0" f="v">
      <t c="3">
        <n x="57"/>
        <n x="433"/>
        <n x="193"/>
      </t>
    </mdx>
    <mdx n="0" f="v">
      <t c="3">
        <n x="57"/>
        <n x="272"/>
        <n x="193"/>
      </t>
    </mdx>
    <mdx n="0" f="v">
      <t c="3">
        <n x="18"/>
        <n x="445"/>
        <n x="193"/>
      </t>
    </mdx>
    <mdx n="0" f="v">
      <t c="3">
        <n x="18"/>
        <n x="443"/>
        <n x="193"/>
      </t>
    </mdx>
    <mdx n="0" f="v">
      <t c="3">
        <n x="18"/>
        <n x="433"/>
        <n x="193"/>
      </t>
    </mdx>
    <mdx n="0" f="v">
      <t c="3">
        <n x="18"/>
        <n x="272"/>
        <n x="193"/>
      </t>
    </mdx>
    <mdx n="0" f="v">
      <t c="3">
        <n x="269"/>
        <n x="445"/>
        <n x="193"/>
      </t>
    </mdx>
    <mdx n="0" f="v">
      <t c="3">
        <n x="269"/>
        <n x="443"/>
        <n x="193"/>
      </t>
    </mdx>
    <mdx n="0" f="v">
      <t c="3">
        <n x="269"/>
        <n x="433"/>
        <n x="193"/>
      </t>
    </mdx>
    <mdx n="0" f="v">
      <t c="3">
        <n x="269"/>
        <n x="272"/>
        <n x="193"/>
      </t>
    </mdx>
    <mdx n="0" f="v">
      <t c="3">
        <n x="249"/>
        <n x="445"/>
        <n x="193"/>
      </t>
    </mdx>
    <mdx n="0" f="v">
      <t c="3">
        <n x="249"/>
        <n x="443"/>
        <n x="193"/>
      </t>
    </mdx>
    <mdx n="0" f="v">
      <t c="3">
        <n x="249"/>
        <n x="433"/>
        <n x="193"/>
      </t>
    </mdx>
    <mdx n="0" f="v">
      <t c="3">
        <n x="249"/>
        <n x="272"/>
        <n x="193"/>
      </t>
    </mdx>
    <mdx n="0" f="v">
      <t c="3">
        <n x="213"/>
        <n x="445"/>
        <n x="193"/>
      </t>
    </mdx>
    <mdx n="0" f="v">
      <t c="3">
        <n x="213"/>
        <n x="443"/>
        <n x="193"/>
      </t>
    </mdx>
    <mdx n="0" f="v">
      <t c="3">
        <n x="213"/>
        <n x="433"/>
        <n x="193"/>
      </t>
    </mdx>
    <mdx n="0" f="v">
      <t c="3">
        <n x="213"/>
        <n x="272"/>
        <n x="193"/>
      </t>
    </mdx>
    <mdx n="0" f="v">
      <t c="3">
        <n x="175"/>
        <n x="445"/>
        <n x="193"/>
      </t>
    </mdx>
    <mdx n="0" f="v">
      <t c="3">
        <n x="175"/>
        <n x="443"/>
        <n x="193"/>
      </t>
    </mdx>
    <mdx n="0" f="v">
      <t c="3">
        <n x="175"/>
        <n x="433"/>
        <n x="193"/>
      </t>
    </mdx>
    <mdx n="0" f="v">
      <t c="3">
        <n x="175"/>
        <n x="272"/>
        <n x="193"/>
      </t>
    </mdx>
    <mdx n="0" f="v">
      <t c="3">
        <n x="135"/>
        <n x="445"/>
        <n x="193"/>
      </t>
    </mdx>
    <mdx n="0" f="v">
      <t c="3">
        <n x="135"/>
        <n x="443"/>
        <n x="193"/>
      </t>
    </mdx>
    <mdx n="0" f="v">
      <t c="3">
        <n x="135"/>
        <n x="433"/>
        <n x="193"/>
      </t>
    </mdx>
    <mdx n="0" f="v">
      <t c="3">
        <n x="135"/>
        <n x="272"/>
        <n x="193"/>
      </t>
    </mdx>
    <mdx n="0" f="v">
      <t c="3">
        <n x="95"/>
        <n x="445"/>
        <n x="193"/>
      </t>
    </mdx>
    <mdx n="0" f="v">
      <t c="3">
        <n x="95"/>
        <n x="443"/>
        <n x="193"/>
      </t>
    </mdx>
    <mdx n="0" f="v">
      <t c="3">
        <n x="95"/>
        <n x="433"/>
        <n x="193"/>
      </t>
    </mdx>
    <mdx n="0" f="v">
      <t c="3">
        <n x="95"/>
        <n x="272"/>
        <n x="193"/>
      </t>
    </mdx>
    <mdx n="0" f="v">
      <t c="3">
        <n x="56"/>
        <n x="445"/>
        <n x="193"/>
      </t>
    </mdx>
    <mdx n="0" f="v">
      <t c="3">
        <n x="56"/>
        <n x="443"/>
        <n x="193"/>
      </t>
    </mdx>
    <mdx n="0" f="v">
      <t c="3">
        <n x="56"/>
        <n x="433"/>
        <n x="193"/>
      </t>
    </mdx>
    <mdx n="0" f="v">
      <t c="3">
        <n x="56"/>
        <n x="272"/>
        <n x="193"/>
      </t>
    </mdx>
    <mdx n="0" f="v">
      <t c="3">
        <n x="17"/>
        <n x="445"/>
        <n x="193"/>
      </t>
    </mdx>
    <mdx n="0" f="v">
      <t c="3">
        <n x="17"/>
        <n x="443"/>
        <n x="193"/>
      </t>
    </mdx>
    <mdx n="0" f="v">
      <t c="3">
        <n x="17"/>
        <n x="433"/>
        <n x="193"/>
      </t>
    </mdx>
    <mdx n="0" f="v">
      <t c="3">
        <n x="17"/>
        <n x="272"/>
        <n x="193"/>
      </t>
    </mdx>
    <mdx n="0" f="v">
      <t c="3">
        <n x="77"/>
        <n x="445"/>
        <n x="193"/>
      </t>
    </mdx>
    <mdx n="0" f="v">
      <t c="3">
        <n x="77"/>
        <n x="443"/>
        <n x="193"/>
      </t>
    </mdx>
    <mdx n="0" f="v">
      <t c="3">
        <n x="77"/>
        <n x="433"/>
        <n x="193"/>
      </t>
    </mdx>
    <mdx n="0" f="v">
      <t c="3">
        <n x="77"/>
        <n x="272"/>
        <n x="193"/>
      </t>
    </mdx>
    <mdx n="0" f="v">
      <t c="3">
        <n x="248"/>
        <n x="445"/>
        <n x="193"/>
      </t>
    </mdx>
    <mdx n="0" f="v">
      <t c="3">
        <n x="248"/>
        <n x="443"/>
        <n x="193"/>
      </t>
    </mdx>
    <mdx n="0" f="v">
      <t c="3">
        <n x="248"/>
        <n x="433"/>
        <n x="193"/>
      </t>
    </mdx>
    <mdx n="0" f="v">
      <t c="3">
        <n x="248"/>
        <n x="272"/>
        <n x="193"/>
      </t>
    </mdx>
    <mdx n="0" f="v">
      <t c="3">
        <n x="212"/>
        <n x="445"/>
        <n x="193"/>
      </t>
    </mdx>
    <mdx n="0" f="v">
      <t c="3">
        <n x="212"/>
        <n x="443"/>
        <n x="193"/>
      </t>
    </mdx>
    <mdx n="0" f="v">
      <t c="3">
        <n x="212"/>
        <n x="433"/>
        <n x="193"/>
      </t>
    </mdx>
    <mdx n="0" f="v">
      <t c="3">
        <n x="212"/>
        <n x="272"/>
        <n x="193"/>
      </t>
    </mdx>
    <mdx n="0" f="v">
      <t c="3">
        <n x="174"/>
        <n x="445"/>
        <n x="193"/>
      </t>
    </mdx>
    <mdx n="0" f="v">
      <t c="3">
        <n x="174"/>
        <n x="443"/>
        <n x="193"/>
      </t>
    </mdx>
    <mdx n="0" f="v">
      <t c="3">
        <n x="174"/>
        <n x="433"/>
        <n x="193"/>
      </t>
    </mdx>
    <mdx n="0" f="v">
      <t c="3">
        <n x="174"/>
        <n x="272"/>
        <n x="193"/>
      </t>
    </mdx>
    <mdx n="0" f="v">
      <t c="3">
        <n x="134"/>
        <n x="445"/>
        <n x="193"/>
      </t>
    </mdx>
    <mdx n="0" f="v">
      <t c="3">
        <n x="134"/>
        <n x="443"/>
        <n x="193"/>
      </t>
    </mdx>
    <mdx n="0" f="v">
      <t c="3">
        <n x="134"/>
        <n x="433"/>
        <n x="193"/>
      </t>
    </mdx>
    <mdx n="0" f="v">
      <t c="3">
        <n x="134"/>
        <n x="272"/>
        <n x="193"/>
      </t>
    </mdx>
    <mdx n="0" f="v">
      <t c="3">
        <n x="94"/>
        <n x="445"/>
        <n x="193"/>
      </t>
    </mdx>
    <mdx n="0" f="v">
      <t c="3">
        <n x="94"/>
        <n x="443"/>
        <n x="193"/>
      </t>
    </mdx>
    <mdx n="0" f="v">
      <t c="3">
        <n x="94"/>
        <n x="433"/>
        <n x="193"/>
      </t>
    </mdx>
    <mdx n="0" f="v">
      <t c="3">
        <n x="94"/>
        <n x="272"/>
        <n x="193"/>
      </t>
    </mdx>
    <mdx n="0" f="v">
      <t c="3">
        <n x="55"/>
        <n x="445"/>
        <n x="193"/>
      </t>
    </mdx>
    <mdx n="0" f="v">
      <t c="3">
        <n x="55"/>
        <n x="443"/>
        <n x="193"/>
      </t>
    </mdx>
    <mdx n="0" f="v">
      <t c="3">
        <n x="55"/>
        <n x="433"/>
        <n x="193"/>
      </t>
    </mdx>
    <mdx n="0" f="v">
      <t c="3">
        <n x="55"/>
        <n x="272"/>
        <n x="193"/>
      </t>
    </mdx>
    <mdx n="0" f="v">
      <t c="3">
        <n x="16"/>
        <n x="445"/>
        <n x="193"/>
      </t>
    </mdx>
    <mdx n="0" f="v">
      <t c="3">
        <n x="16"/>
        <n x="443"/>
        <n x="193"/>
      </t>
    </mdx>
    <mdx n="0" f="v">
      <t c="3">
        <n x="16"/>
        <n x="433"/>
        <n x="193"/>
      </t>
    </mdx>
    <mdx n="0" f="v">
      <t c="3">
        <n x="16"/>
        <n x="272"/>
        <n x="193"/>
      </t>
    </mdx>
    <mdx n="0" f="v">
      <t c="3">
        <n x="155"/>
        <n x="445"/>
        <n x="193"/>
      </t>
    </mdx>
    <mdx n="0" f="v">
      <t c="3">
        <n x="155"/>
        <n x="443"/>
        <n x="193"/>
      </t>
    </mdx>
    <mdx n="0" f="v">
      <t c="3">
        <n x="155"/>
        <n x="433"/>
        <n x="193"/>
      </t>
    </mdx>
    <mdx n="0" f="v">
      <t c="3">
        <n x="155"/>
        <n x="272"/>
        <n x="193"/>
      </t>
    </mdx>
    <mdx n="0" f="v">
      <t c="3">
        <n x="247"/>
        <n x="445"/>
        <n x="193"/>
      </t>
    </mdx>
    <mdx n="0" f="v">
      <t c="3">
        <n x="247"/>
        <n x="443"/>
        <n x="193"/>
      </t>
    </mdx>
    <mdx n="0" f="v">
      <t c="3">
        <n x="247"/>
        <n x="433"/>
        <n x="193"/>
      </t>
    </mdx>
    <mdx n="0" f="v">
      <t c="3">
        <n x="247"/>
        <n x="272"/>
        <n x="193"/>
      </t>
    </mdx>
    <mdx n="0" f="v">
      <t c="3">
        <n x="211"/>
        <n x="445"/>
        <n x="193"/>
      </t>
    </mdx>
    <mdx n="0" f="v">
      <t c="3">
        <n x="211"/>
        <n x="443"/>
        <n x="193"/>
      </t>
    </mdx>
    <mdx n="0" f="v">
      <t c="3">
        <n x="211"/>
        <n x="433"/>
        <n x="193"/>
      </t>
    </mdx>
    <mdx n="0" f="v">
      <t c="3">
        <n x="211"/>
        <n x="272"/>
        <n x="193"/>
      </t>
    </mdx>
    <mdx n="0" f="v">
      <t c="3">
        <n x="173"/>
        <n x="445"/>
        <n x="193"/>
      </t>
    </mdx>
    <mdx n="0" f="v">
      <t c="3">
        <n x="173"/>
        <n x="443"/>
        <n x="193"/>
      </t>
    </mdx>
    <mdx n="0" f="v">
      <t c="3">
        <n x="173"/>
        <n x="433"/>
        <n x="193"/>
      </t>
    </mdx>
    <mdx n="0" f="v">
      <t c="3">
        <n x="173"/>
        <n x="272"/>
        <n x="193"/>
      </t>
    </mdx>
    <mdx n="0" f="v">
      <t c="3">
        <n x="133"/>
        <n x="445"/>
        <n x="193"/>
      </t>
    </mdx>
    <mdx n="0" f="v">
      <t c="3">
        <n x="133"/>
        <n x="443"/>
        <n x="193"/>
      </t>
    </mdx>
    <mdx n="0" f="v">
      <t c="3">
        <n x="133"/>
        <n x="433"/>
        <n x="193"/>
      </t>
    </mdx>
    <mdx n="0" f="v">
      <t c="3">
        <n x="133"/>
        <n x="272"/>
        <n x="193"/>
      </t>
    </mdx>
    <mdx n="0" f="v">
      <t c="3">
        <n x="93"/>
        <n x="445"/>
        <n x="193"/>
      </t>
    </mdx>
    <mdx n="0" f="v">
      <t c="3">
        <n x="93"/>
        <n x="443"/>
        <n x="193"/>
      </t>
    </mdx>
    <mdx n="0" f="v">
      <t c="3">
        <n x="93"/>
        <n x="433"/>
        <n x="193"/>
      </t>
    </mdx>
    <mdx n="0" f="v">
      <t c="3">
        <n x="93"/>
        <n x="272"/>
        <n x="193"/>
      </t>
    </mdx>
    <mdx n="0" f="v">
      <t c="3">
        <n x="54"/>
        <n x="445"/>
        <n x="193"/>
      </t>
    </mdx>
    <mdx n="0" f="v">
      <t c="3">
        <n x="54"/>
        <n x="443"/>
        <n x="193"/>
      </t>
    </mdx>
    <mdx n="0" f="v">
      <t c="3">
        <n x="54"/>
        <n x="433"/>
        <n x="193"/>
      </t>
    </mdx>
    <mdx n="0" f="v">
      <t c="3">
        <n x="54"/>
        <n x="272"/>
        <n x="193"/>
      </t>
    </mdx>
    <mdx n="0" f="v">
      <t c="3">
        <n x="15"/>
        <n x="445"/>
        <n x="193"/>
      </t>
    </mdx>
    <mdx n="0" f="v">
      <t c="3">
        <n x="15"/>
        <n x="443"/>
        <n x="193"/>
      </t>
    </mdx>
    <mdx n="0" f="v">
      <t c="3">
        <n x="15"/>
        <n x="433"/>
        <n x="193"/>
      </t>
    </mdx>
    <mdx n="0" f="v">
      <t c="3">
        <n x="15"/>
        <n x="272"/>
        <n x="193"/>
      </t>
    </mdx>
    <mdx n="0" f="v">
      <t c="3">
        <n x="38"/>
        <n x="445"/>
        <n x="193"/>
      </t>
    </mdx>
    <mdx n="0" f="v">
      <t c="3">
        <n x="38"/>
        <n x="443"/>
        <n x="193"/>
      </t>
    </mdx>
    <mdx n="0" f="v">
      <t c="3">
        <n x="38"/>
        <n x="433"/>
        <n x="193"/>
      </t>
    </mdx>
    <mdx n="0" f="v">
      <t c="3">
        <n x="38"/>
        <n x="272"/>
        <n x="193"/>
      </t>
    </mdx>
    <mdx n="0" f="v">
      <t c="3">
        <n x="246"/>
        <n x="445"/>
        <n x="193"/>
      </t>
    </mdx>
    <mdx n="0" f="v">
      <t c="3">
        <n x="246"/>
        <n x="443"/>
        <n x="193"/>
      </t>
    </mdx>
    <mdx n="0" f="v">
      <t c="3">
        <n x="246"/>
        <n x="433"/>
        <n x="193"/>
      </t>
    </mdx>
    <mdx n="0" f="v">
      <t c="3">
        <n x="246"/>
        <n x="272"/>
        <n x="193"/>
      </t>
    </mdx>
    <mdx n="0" f="v">
      <t c="3">
        <n x="210"/>
        <n x="445"/>
        <n x="193"/>
      </t>
    </mdx>
    <mdx n="0" f="v">
      <t c="3">
        <n x="210"/>
        <n x="443"/>
        <n x="193"/>
      </t>
    </mdx>
    <mdx n="0" f="v">
      <t c="3">
        <n x="210"/>
        <n x="433"/>
        <n x="193"/>
      </t>
    </mdx>
    <mdx n="0" f="v">
      <t c="3">
        <n x="210"/>
        <n x="272"/>
        <n x="193"/>
      </t>
    </mdx>
    <mdx n="0" f="v">
      <t c="3">
        <n x="172"/>
        <n x="445"/>
        <n x="193"/>
      </t>
    </mdx>
    <mdx n="0" f="v">
      <t c="3">
        <n x="172"/>
        <n x="443"/>
        <n x="193"/>
      </t>
    </mdx>
    <mdx n="0" f="v">
      <t c="3">
        <n x="172"/>
        <n x="433"/>
        <n x="193"/>
      </t>
    </mdx>
    <mdx n="0" f="v">
      <t c="3">
        <n x="172"/>
        <n x="272"/>
        <n x="193"/>
      </t>
    </mdx>
    <mdx n="0" f="v">
      <t c="3">
        <n x="132"/>
        <n x="445"/>
        <n x="193"/>
      </t>
    </mdx>
    <mdx n="0" f="v">
      <t c="3">
        <n x="132"/>
        <n x="443"/>
        <n x="193"/>
      </t>
    </mdx>
    <mdx n="0" f="v">
      <t c="3">
        <n x="132"/>
        <n x="433"/>
        <n x="193"/>
      </t>
    </mdx>
    <mdx n="0" f="v">
      <t c="3">
        <n x="132"/>
        <n x="272"/>
        <n x="193"/>
      </t>
    </mdx>
    <mdx n="0" f="v">
      <t c="3">
        <n x="92"/>
        <n x="445"/>
        <n x="193"/>
      </t>
    </mdx>
    <mdx n="0" f="v">
      <t c="3">
        <n x="92"/>
        <n x="443"/>
        <n x="193"/>
      </t>
    </mdx>
    <mdx n="0" f="v">
      <t c="3">
        <n x="92"/>
        <n x="433"/>
        <n x="193"/>
      </t>
    </mdx>
    <mdx n="0" f="v">
      <t c="3">
        <n x="92"/>
        <n x="272"/>
        <n x="193"/>
      </t>
    </mdx>
    <mdx n="0" f="v">
      <t c="3">
        <n x="53"/>
        <n x="445"/>
        <n x="193"/>
      </t>
    </mdx>
    <mdx n="0" f="v">
      <t c="3">
        <n x="53"/>
        <n x="443"/>
        <n x="193"/>
      </t>
    </mdx>
    <mdx n="0" f="v">
      <t c="3">
        <n x="53"/>
        <n x="433"/>
        <n x="193"/>
      </t>
    </mdx>
    <mdx n="0" f="v">
      <t c="3">
        <n x="53"/>
        <n x="272"/>
        <n x="193"/>
      </t>
    </mdx>
    <mdx n="0" f="v">
      <t c="3">
        <n x="14"/>
        <n x="445"/>
        <n x="193"/>
      </t>
    </mdx>
    <mdx n="0" f="v">
      <t c="3">
        <n x="14"/>
        <n x="443"/>
        <n x="193"/>
      </t>
    </mdx>
    <mdx n="0" f="v">
      <t c="3">
        <n x="14"/>
        <n x="433"/>
        <n x="193"/>
      </t>
    </mdx>
    <mdx n="0" f="v">
      <t c="3">
        <n x="14"/>
        <n x="272"/>
        <n x="193"/>
      </t>
    </mdx>
    <mdx n="0" f="v">
      <t c="3">
        <n x="115"/>
        <n x="445"/>
        <n x="193"/>
      </t>
    </mdx>
    <mdx n="0" f="v">
      <t c="3">
        <n x="115"/>
        <n x="443"/>
        <n x="193"/>
      </t>
    </mdx>
    <mdx n="0" f="v">
      <t c="3">
        <n x="115"/>
        <n x="433"/>
        <n x="193"/>
      </t>
    </mdx>
    <mdx n="0" f="v">
      <t c="3">
        <n x="115"/>
        <n x="272"/>
        <n x="193"/>
      </t>
    </mdx>
    <mdx n="0" f="v">
      <t c="3">
        <n x="245"/>
        <n x="445"/>
        <n x="193"/>
      </t>
    </mdx>
    <mdx n="0" f="v">
      <t c="3">
        <n x="245"/>
        <n x="443"/>
        <n x="193"/>
      </t>
    </mdx>
    <mdx n="0" f="v">
      <t c="3">
        <n x="245"/>
        <n x="433"/>
        <n x="193"/>
      </t>
    </mdx>
    <mdx n="0" f="v">
      <t c="3">
        <n x="245"/>
        <n x="272"/>
        <n x="193"/>
      </t>
    </mdx>
    <mdx n="0" f="v">
      <t c="3">
        <n x="209"/>
        <n x="445"/>
        <n x="193"/>
      </t>
    </mdx>
    <mdx n="0" f="v">
      <t c="3">
        <n x="209"/>
        <n x="443"/>
        <n x="193"/>
      </t>
    </mdx>
    <mdx n="0" f="v">
      <t c="3">
        <n x="209"/>
        <n x="433"/>
        <n x="193"/>
      </t>
    </mdx>
    <mdx n="0" f="v">
      <t c="3">
        <n x="209"/>
        <n x="272"/>
        <n x="193"/>
      </t>
    </mdx>
    <mdx n="0" f="v">
      <t c="3">
        <n x="171"/>
        <n x="445"/>
        <n x="193"/>
      </t>
    </mdx>
    <mdx n="0" f="v">
      <t c="3">
        <n x="171"/>
        <n x="443"/>
        <n x="193"/>
      </t>
    </mdx>
    <mdx n="0" f="v">
      <t c="3">
        <n x="171"/>
        <n x="433"/>
        <n x="193"/>
      </t>
    </mdx>
    <mdx n="0" f="v">
      <t c="3">
        <n x="171"/>
        <n x="272"/>
        <n x="193"/>
      </t>
    </mdx>
    <mdx n="0" f="v">
      <t c="3">
        <n x="131"/>
        <n x="445"/>
        <n x="193"/>
      </t>
    </mdx>
    <mdx n="0" f="v">
      <t c="3">
        <n x="131"/>
        <n x="443"/>
        <n x="193"/>
      </t>
    </mdx>
    <mdx n="0" f="v">
      <t c="3">
        <n x="131"/>
        <n x="433"/>
        <n x="193"/>
      </t>
    </mdx>
    <mdx n="0" f="v">
      <t c="3">
        <n x="131"/>
        <n x="272"/>
        <n x="193"/>
      </t>
    </mdx>
    <mdx n="0" f="v">
      <t c="3">
        <n x="91"/>
        <n x="445"/>
        <n x="193"/>
      </t>
    </mdx>
    <mdx n="0" f="v">
      <t c="3">
        <n x="91"/>
        <n x="443"/>
        <n x="193"/>
      </t>
    </mdx>
    <mdx n="0" f="v">
      <t c="3">
        <n x="91"/>
        <n x="433"/>
        <n x="193"/>
      </t>
    </mdx>
    <mdx n="0" f="v">
      <t c="3">
        <n x="91"/>
        <n x="272"/>
        <n x="193"/>
      </t>
    </mdx>
    <mdx n="0" f="v">
      <t c="3">
        <n x="52"/>
        <n x="445"/>
        <n x="193"/>
      </t>
    </mdx>
    <mdx n="0" f="v">
      <t c="3">
        <n x="52"/>
        <n x="443"/>
        <n x="193"/>
      </t>
    </mdx>
    <mdx n="0" f="v">
      <t c="3">
        <n x="52"/>
        <n x="433"/>
        <n x="193"/>
      </t>
    </mdx>
    <mdx n="0" f="v">
      <t c="3">
        <n x="52"/>
        <n x="272"/>
        <n x="193"/>
      </t>
    </mdx>
    <mdx n="0" f="v">
      <t c="3">
        <n x="13"/>
        <n x="445"/>
        <n x="193"/>
      </t>
    </mdx>
    <mdx n="0" f="v">
      <t c="3">
        <n x="13"/>
        <n x="443"/>
        <n x="193"/>
      </t>
    </mdx>
    <mdx n="0" f="v">
      <t c="3">
        <n x="13"/>
        <n x="433"/>
        <n x="193"/>
      </t>
    </mdx>
    <mdx n="0" f="v">
      <t c="3">
        <n x="13"/>
        <n x="272"/>
        <n x="193"/>
      </t>
    </mdx>
    <mdx n="0" f="v">
      <t c="3">
        <n x="195"/>
        <n x="445"/>
        <n x="193"/>
      </t>
    </mdx>
    <mdx n="0" f="v">
      <t c="3">
        <n x="195"/>
        <n x="443"/>
        <n x="193"/>
      </t>
    </mdx>
    <mdx n="0" f="v">
      <t c="3">
        <n x="195"/>
        <n x="433"/>
        <n x="193"/>
      </t>
    </mdx>
    <mdx n="0" f="v">
      <t c="3">
        <n x="195"/>
        <n x="272"/>
        <n x="193"/>
      </t>
    </mdx>
    <mdx n="0" f="v">
      <t c="3">
        <n x="244"/>
        <n x="445"/>
        <n x="193"/>
      </t>
    </mdx>
    <mdx n="0" f="v">
      <t c="3">
        <n x="244"/>
        <n x="443"/>
        <n x="193"/>
      </t>
    </mdx>
    <mdx n="0" f="v">
      <t c="3">
        <n x="244"/>
        <n x="433"/>
        <n x="193"/>
      </t>
    </mdx>
    <mdx n="0" f="v">
      <t c="3">
        <n x="244"/>
        <n x="272"/>
        <n x="193"/>
      </t>
    </mdx>
    <mdx n="0" f="v">
      <t c="3">
        <n x="208"/>
        <n x="445"/>
        <n x="193"/>
      </t>
    </mdx>
    <mdx n="0" f="v">
      <t c="3">
        <n x="208"/>
        <n x="443"/>
        <n x="193"/>
      </t>
    </mdx>
    <mdx n="0" f="v">
      <t c="3">
        <n x="208"/>
        <n x="433"/>
        <n x="193"/>
      </t>
    </mdx>
    <mdx n="0" f="v">
      <t c="3">
        <n x="208"/>
        <n x="272"/>
        <n x="193"/>
      </t>
    </mdx>
    <mdx n="0" f="v">
      <t c="3">
        <n x="170"/>
        <n x="445"/>
        <n x="193"/>
      </t>
    </mdx>
    <mdx n="0" f="v">
      <t c="3">
        <n x="170"/>
        <n x="443"/>
        <n x="193"/>
      </t>
    </mdx>
    <mdx n="0" f="v">
      <t c="3">
        <n x="170"/>
        <n x="433"/>
        <n x="193"/>
      </t>
    </mdx>
    <mdx n="0" f="v">
      <t c="3">
        <n x="170"/>
        <n x="272"/>
        <n x="193"/>
      </t>
    </mdx>
    <mdx n="0" f="v">
      <t c="3">
        <n x="130"/>
        <n x="445"/>
        <n x="193"/>
      </t>
    </mdx>
    <mdx n="0" f="v">
      <t c="3">
        <n x="130"/>
        <n x="443"/>
        <n x="193"/>
      </t>
    </mdx>
    <mdx n="0" f="v">
      <t c="3">
        <n x="130"/>
        <n x="433"/>
        <n x="193"/>
      </t>
    </mdx>
    <mdx n="0" f="v">
      <t c="3">
        <n x="130"/>
        <n x="272"/>
        <n x="193"/>
      </t>
    </mdx>
    <mdx n="0" f="v">
      <t c="3">
        <n x="90"/>
        <n x="445"/>
        <n x="193"/>
      </t>
    </mdx>
    <mdx n="0" f="v">
      <t c="3">
        <n x="90"/>
        <n x="443"/>
        <n x="193"/>
      </t>
    </mdx>
    <mdx n="0" f="v">
      <t c="3">
        <n x="90"/>
        <n x="433"/>
        <n x="193"/>
      </t>
    </mdx>
    <mdx n="0" f="v">
      <t c="3">
        <n x="90"/>
        <n x="272"/>
        <n x="193"/>
      </t>
    </mdx>
    <mdx n="0" f="v">
      <t c="3">
        <n x="51"/>
        <n x="445"/>
        <n x="193"/>
      </t>
    </mdx>
    <mdx n="0" f="v">
      <t c="3">
        <n x="51"/>
        <n x="443"/>
        <n x="193"/>
      </t>
    </mdx>
    <mdx n="0" f="v">
      <t c="3">
        <n x="51"/>
        <n x="433"/>
        <n x="193"/>
      </t>
    </mdx>
    <mdx n="0" f="v">
      <t c="3">
        <n x="51"/>
        <n x="272"/>
        <n x="193"/>
      </t>
    </mdx>
    <mdx n="0" f="v">
      <t c="3">
        <n x="12"/>
        <n x="445"/>
        <n x="193"/>
      </t>
    </mdx>
    <mdx n="0" f="v">
      <t c="3">
        <n x="12"/>
        <n x="443"/>
        <n x="193"/>
      </t>
    </mdx>
    <mdx n="0" f="v">
      <t c="3">
        <n x="12"/>
        <n x="433"/>
        <n x="193"/>
      </t>
    </mdx>
    <mdx n="0" f="v">
      <t c="3">
        <n x="12"/>
        <n x="272"/>
        <n x="193"/>
      </t>
    </mdx>
    <mdx n="0" f="v">
      <t c="3">
        <n x="76"/>
        <n x="445"/>
        <n x="193"/>
      </t>
    </mdx>
    <mdx n="0" f="v">
      <t c="3">
        <n x="76"/>
        <n x="443"/>
        <n x="193"/>
      </t>
    </mdx>
    <mdx n="0" f="v">
      <t c="3">
        <n x="76"/>
        <n x="433"/>
        <n x="193"/>
      </t>
    </mdx>
    <mdx n="0" f="v">
      <t c="3">
        <n x="76"/>
        <n x="272"/>
        <n x="193"/>
      </t>
    </mdx>
    <mdx n="0" f="v">
      <t c="3">
        <n x="243"/>
        <n x="445"/>
        <n x="193"/>
      </t>
    </mdx>
    <mdx n="0" f="v">
      <t c="3">
        <n x="243"/>
        <n x="443"/>
        <n x="193"/>
      </t>
    </mdx>
    <mdx n="0" f="v">
      <t c="3">
        <n x="243"/>
        <n x="433"/>
        <n x="193"/>
      </t>
    </mdx>
    <mdx n="0" f="v">
      <t c="3">
        <n x="243"/>
        <n x="272"/>
        <n x="193"/>
      </t>
    </mdx>
    <mdx n="0" f="v">
      <t c="3">
        <n x="207"/>
        <n x="445"/>
        <n x="193"/>
      </t>
    </mdx>
    <mdx n="0" f="v">
      <t c="3">
        <n x="207"/>
        <n x="443"/>
        <n x="193"/>
      </t>
    </mdx>
    <mdx n="0" f="v">
      <t c="3">
        <n x="207"/>
        <n x="433"/>
        <n x="193"/>
      </t>
    </mdx>
    <mdx n="0" f="v">
      <t c="3">
        <n x="207"/>
        <n x="272"/>
        <n x="193"/>
      </t>
    </mdx>
    <mdx n="0" f="v">
      <t c="3">
        <n x="169"/>
        <n x="445"/>
        <n x="193"/>
      </t>
    </mdx>
    <mdx n="0" f="v">
      <t c="3">
        <n x="169"/>
        <n x="443"/>
        <n x="193"/>
      </t>
    </mdx>
    <mdx n="0" f="v">
      <t c="3">
        <n x="169"/>
        <n x="433"/>
        <n x="193"/>
      </t>
    </mdx>
    <mdx n="0" f="v">
      <t c="3">
        <n x="169"/>
        <n x="272"/>
        <n x="193"/>
      </t>
    </mdx>
    <mdx n="0" f="v">
      <t c="3">
        <n x="129"/>
        <n x="445"/>
        <n x="193"/>
      </t>
    </mdx>
    <mdx n="0" f="v">
      <t c="3">
        <n x="129"/>
        <n x="443"/>
        <n x="193"/>
      </t>
    </mdx>
    <mdx n="0" f="v">
      <t c="3">
        <n x="129"/>
        <n x="433"/>
        <n x="193"/>
      </t>
    </mdx>
    <mdx n="0" f="v">
      <t c="3">
        <n x="129"/>
        <n x="272"/>
        <n x="193"/>
      </t>
    </mdx>
    <mdx n="0" f="v">
      <t c="3">
        <n x="89"/>
        <n x="445"/>
        <n x="193"/>
      </t>
    </mdx>
    <mdx n="0" f="v">
      <t c="3">
        <n x="89"/>
        <n x="443"/>
        <n x="193"/>
      </t>
    </mdx>
    <mdx n="0" f="v">
      <t c="3">
        <n x="89"/>
        <n x="433"/>
        <n x="193"/>
      </t>
    </mdx>
    <mdx n="0" f="v">
      <t c="3">
        <n x="89"/>
        <n x="272"/>
        <n x="193"/>
      </t>
    </mdx>
    <mdx n="0" f="v">
      <t c="3">
        <n x="50"/>
        <n x="445"/>
        <n x="193"/>
      </t>
    </mdx>
    <mdx n="0" f="v">
      <t c="3">
        <n x="50"/>
        <n x="443"/>
        <n x="193"/>
      </t>
    </mdx>
    <mdx n="0" f="v">
      <t c="3">
        <n x="50"/>
        <n x="433"/>
        <n x="193"/>
      </t>
    </mdx>
    <mdx n="0" f="v">
      <t c="3">
        <n x="50"/>
        <n x="272"/>
        <n x="193"/>
      </t>
    </mdx>
    <mdx n="0" f="v">
      <t c="3">
        <n x="11"/>
        <n x="445"/>
        <n x="193"/>
      </t>
    </mdx>
    <mdx n="0" f="v">
      <t c="3">
        <n x="11"/>
        <n x="443"/>
        <n x="193"/>
      </t>
    </mdx>
    <mdx n="0" f="v">
      <t c="3">
        <n x="11"/>
        <n x="433"/>
        <n x="193"/>
      </t>
    </mdx>
    <mdx n="0" f="v">
      <t c="3">
        <n x="11"/>
        <n x="272"/>
        <n x="193"/>
      </t>
    </mdx>
    <mdx n="0" f="v">
      <t c="3">
        <n x="37"/>
        <n x="445"/>
        <n x="193"/>
      </t>
    </mdx>
    <mdx n="0" f="v">
      <t c="3">
        <n x="37"/>
        <n x="443"/>
        <n x="193"/>
      </t>
    </mdx>
    <mdx n="0" f="v">
      <t c="3">
        <n x="37"/>
        <n x="433"/>
        <n x="193"/>
      </t>
    </mdx>
    <mdx n="0" f="v">
      <t c="3">
        <n x="37"/>
        <n x="272"/>
        <n x="193"/>
      </t>
    </mdx>
    <mdx n="0" f="v">
      <t c="3">
        <n x="242"/>
        <n x="445"/>
        <n x="193"/>
      </t>
    </mdx>
    <mdx n="0" f="v">
      <t c="3">
        <n x="242"/>
        <n x="443"/>
        <n x="193"/>
      </t>
    </mdx>
    <mdx n="0" f="v">
      <t c="3">
        <n x="242"/>
        <n x="433"/>
        <n x="193"/>
      </t>
    </mdx>
    <mdx n="0" f="v">
      <t c="3">
        <n x="242"/>
        <n x="272"/>
        <n x="193"/>
      </t>
    </mdx>
    <mdx n="0" f="v">
      <t c="3">
        <n x="206"/>
        <n x="445"/>
        <n x="193"/>
      </t>
    </mdx>
    <mdx n="0" f="v">
      <t c="3">
        <n x="206"/>
        <n x="443"/>
        <n x="193"/>
      </t>
    </mdx>
    <mdx n="0" f="v">
      <t c="3">
        <n x="206"/>
        <n x="433"/>
        <n x="193"/>
      </t>
    </mdx>
    <mdx n="0" f="v">
      <t c="3">
        <n x="206"/>
        <n x="272"/>
        <n x="193"/>
      </t>
    </mdx>
    <mdx n="0" f="v">
      <t c="3">
        <n x="168"/>
        <n x="445"/>
        <n x="193"/>
      </t>
    </mdx>
    <mdx n="0" f="v">
      <t c="3">
        <n x="168"/>
        <n x="443"/>
        <n x="193"/>
      </t>
    </mdx>
    <mdx n="0" f="v">
      <t c="3">
        <n x="168"/>
        <n x="433"/>
        <n x="193"/>
      </t>
    </mdx>
    <mdx n="0" f="v">
      <t c="3">
        <n x="168"/>
        <n x="272"/>
        <n x="193"/>
      </t>
    </mdx>
    <mdx n="0" f="v">
      <t c="3">
        <n x="128"/>
        <n x="445"/>
        <n x="193"/>
      </t>
    </mdx>
    <mdx n="0" f="v">
      <t c="3">
        <n x="128"/>
        <n x="443"/>
        <n x="193"/>
      </t>
    </mdx>
    <mdx n="0" f="v">
      <t c="3">
        <n x="128"/>
        <n x="433"/>
        <n x="193"/>
      </t>
    </mdx>
    <mdx n="0" f="v">
      <t c="3">
        <n x="128"/>
        <n x="272"/>
        <n x="193"/>
      </t>
    </mdx>
    <mdx n="0" f="v">
      <t c="3">
        <n x="88"/>
        <n x="445"/>
        <n x="193"/>
      </t>
    </mdx>
    <mdx n="0" f="v">
      <t c="3">
        <n x="88"/>
        <n x="443"/>
        <n x="193"/>
      </t>
    </mdx>
    <mdx n="0" f="v">
      <t c="3">
        <n x="88"/>
        <n x="433"/>
        <n x="193"/>
      </t>
    </mdx>
    <mdx n="0" f="v">
      <t c="3">
        <n x="88"/>
        <n x="272"/>
        <n x="193"/>
      </t>
    </mdx>
    <mdx n="0" f="v">
      <t c="3">
        <n x="49"/>
        <n x="445"/>
        <n x="193"/>
      </t>
    </mdx>
    <mdx n="0" f="v">
      <t c="3">
        <n x="49"/>
        <n x="443"/>
        <n x="193"/>
      </t>
    </mdx>
    <mdx n="0" f="v">
      <t c="3">
        <n x="49"/>
        <n x="433"/>
        <n x="193"/>
      </t>
    </mdx>
    <mdx n="0" f="v">
      <t c="3">
        <n x="49"/>
        <n x="272"/>
        <n x="193"/>
      </t>
    </mdx>
    <mdx n="0" f="v">
      <t c="3">
        <n x="10"/>
        <n x="445"/>
        <n x="193"/>
      </t>
    </mdx>
    <mdx n="0" f="v">
      <t c="3">
        <n x="10"/>
        <n x="443"/>
        <n x="193"/>
      </t>
    </mdx>
    <mdx n="0" f="v">
      <t c="3">
        <n x="10"/>
        <n x="433"/>
        <n x="193"/>
      </t>
    </mdx>
    <mdx n="0" f="v">
      <t c="3">
        <n x="10"/>
        <n x="272"/>
        <n x="193"/>
      </t>
    </mdx>
    <mdx n="0" f="v">
      <t c="3">
        <n x="268"/>
        <n x="445"/>
        <n x="193"/>
      </t>
    </mdx>
    <mdx n="0" f="v">
      <t c="3">
        <n x="268"/>
        <n x="443"/>
        <n x="193"/>
      </t>
    </mdx>
    <mdx n="0" f="v">
      <t c="3">
        <n x="268"/>
        <n x="433"/>
        <n x="193"/>
      </t>
    </mdx>
    <mdx n="0" f="v">
      <t c="3">
        <n x="268"/>
        <n x="272"/>
        <n x="193"/>
      </t>
    </mdx>
    <mdx n="0" f="v">
      <t c="3">
        <n x="241"/>
        <n x="445"/>
        <n x="193"/>
      </t>
    </mdx>
    <mdx n="0" f="v">
      <t c="3">
        <n x="241"/>
        <n x="443"/>
        <n x="193"/>
      </t>
    </mdx>
    <mdx n="0" f="v">
      <t c="3">
        <n x="241"/>
        <n x="433"/>
        <n x="193"/>
      </t>
    </mdx>
    <mdx n="0" f="v">
      <t c="3">
        <n x="241"/>
        <n x="272"/>
        <n x="193"/>
      </t>
    </mdx>
    <mdx n="0" f="v">
      <t c="3">
        <n x="205"/>
        <n x="445"/>
        <n x="193"/>
      </t>
    </mdx>
    <mdx n="0" f="v">
      <t c="3">
        <n x="205"/>
        <n x="443"/>
        <n x="193"/>
      </t>
    </mdx>
    <mdx n="0" f="v">
      <t c="3">
        <n x="205"/>
        <n x="433"/>
        <n x="193"/>
      </t>
    </mdx>
    <mdx n="0" f="v">
      <t c="3">
        <n x="205"/>
        <n x="272"/>
        <n x="193"/>
      </t>
    </mdx>
    <mdx n="0" f="v">
      <t c="3">
        <n x="167"/>
        <n x="445"/>
        <n x="193"/>
      </t>
    </mdx>
    <mdx n="0" f="v">
      <t c="3">
        <n x="167"/>
        <n x="443"/>
        <n x="193"/>
      </t>
    </mdx>
    <mdx n="0" f="v">
      <t c="3">
        <n x="167"/>
        <n x="433"/>
        <n x="193"/>
      </t>
    </mdx>
    <mdx n="0" f="v">
      <t c="3">
        <n x="167"/>
        <n x="272"/>
        <n x="193"/>
      </t>
    </mdx>
    <mdx n="0" f="v">
      <t c="3">
        <n x="127"/>
        <n x="445"/>
        <n x="193"/>
      </t>
    </mdx>
    <mdx n="0" f="v">
      <t c="3">
        <n x="127"/>
        <n x="443"/>
        <n x="193"/>
      </t>
    </mdx>
    <mdx n="0" f="v">
      <t c="3">
        <n x="127"/>
        <n x="433"/>
        <n x="193"/>
      </t>
    </mdx>
    <mdx n="0" f="v">
      <t c="3">
        <n x="127"/>
        <n x="272"/>
        <n x="193"/>
      </t>
    </mdx>
    <mdx n="0" f="v">
      <t c="3">
        <n x="87"/>
        <n x="445"/>
        <n x="193"/>
      </t>
    </mdx>
    <mdx n="0" f="v">
      <t c="3">
        <n x="87"/>
        <n x="443"/>
        <n x="193"/>
      </t>
    </mdx>
    <mdx n="0" f="v">
      <t c="3">
        <n x="87"/>
        <n x="433"/>
        <n x="193"/>
      </t>
    </mdx>
    <mdx n="0" f="v">
      <t c="3">
        <n x="87"/>
        <n x="272"/>
        <n x="193"/>
      </t>
    </mdx>
    <mdx n="0" f="v">
      <t c="3">
        <n x="48"/>
        <n x="445"/>
        <n x="193"/>
      </t>
    </mdx>
    <mdx n="0" f="v">
      <t c="3">
        <n x="48"/>
        <n x="443"/>
        <n x="193"/>
      </t>
    </mdx>
    <mdx n="0" f="v">
      <t c="3">
        <n x="48"/>
        <n x="433"/>
        <n x="193"/>
      </t>
    </mdx>
    <mdx n="0" f="v">
      <t c="3">
        <n x="48"/>
        <n x="272"/>
        <n x="193"/>
      </t>
    </mdx>
    <mdx n="0" f="v">
      <t c="3">
        <n x="9"/>
        <n x="445"/>
        <n x="193"/>
      </t>
    </mdx>
    <mdx n="0" f="v">
      <t c="3">
        <n x="9"/>
        <n x="443"/>
        <n x="193"/>
      </t>
    </mdx>
    <mdx n="0" f="v">
      <t c="3">
        <n x="9"/>
        <n x="433"/>
        <n x="193"/>
      </t>
    </mdx>
    <mdx n="0" f="v">
      <t c="3">
        <n x="9"/>
        <n x="272"/>
        <n x="193"/>
      </t>
    </mdx>
    <mdx n="0" f="v">
      <t c="3">
        <n x="154"/>
        <n x="445"/>
        <n x="193"/>
      </t>
    </mdx>
    <mdx n="0" f="v">
      <t c="3">
        <n x="154"/>
        <n x="443"/>
        <n x="193"/>
      </t>
    </mdx>
    <mdx n="0" f="v">
      <t c="3">
        <n x="154"/>
        <n x="433"/>
        <n x="193"/>
      </t>
    </mdx>
    <mdx n="0" f="v">
      <t c="3">
        <n x="154"/>
        <n x="272"/>
        <n x="193"/>
      </t>
    </mdx>
    <mdx n="0" f="v">
      <t c="3">
        <n x="240"/>
        <n x="445"/>
        <n x="193"/>
      </t>
    </mdx>
    <mdx n="0" f="v">
      <t c="3">
        <n x="240"/>
        <n x="443"/>
        <n x="193"/>
      </t>
    </mdx>
    <mdx n="0" f="v">
      <t c="3">
        <n x="240"/>
        <n x="433"/>
        <n x="193"/>
      </t>
    </mdx>
    <mdx n="0" f="v">
      <t c="3">
        <n x="240"/>
        <n x="272"/>
        <n x="193"/>
      </t>
    </mdx>
    <mdx n="0" f="v">
      <t c="3">
        <n x="204"/>
        <n x="445"/>
        <n x="193"/>
      </t>
    </mdx>
    <mdx n="0" f="v">
      <t c="3">
        <n x="204"/>
        <n x="443"/>
        <n x="193"/>
      </t>
    </mdx>
    <mdx n="0" f="v">
      <t c="3">
        <n x="204"/>
        <n x="433"/>
        <n x="193"/>
      </t>
    </mdx>
    <mdx n="0" f="v">
      <t c="3">
        <n x="204"/>
        <n x="272"/>
        <n x="193"/>
      </t>
    </mdx>
    <mdx n="0" f="v">
      <t c="3">
        <n x="166"/>
        <n x="445"/>
        <n x="193"/>
      </t>
    </mdx>
    <mdx n="0" f="v">
      <t c="3">
        <n x="166"/>
        <n x="443"/>
        <n x="193"/>
      </t>
    </mdx>
    <mdx n="0" f="v">
      <t c="3">
        <n x="166"/>
        <n x="433"/>
        <n x="193"/>
      </t>
    </mdx>
    <mdx n="0" f="v">
      <t c="3">
        <n x="166"/>
        <n x="272"/>
        <n x="193"/>
      </t>
    </mdx>
    <mdx n="0" f="v">
      <t c="3">
        <n x="126"/>
        <n x="445"/>
        <n x="193"/>
      </t>
    </mdx>
    <mdx n="0" f="v">
      <t c="3">
        <n x="126"/>
        <n x="443"/>
        <n x="193"/>
      </t>
    </mdx>
    <mdx n="0" f="v">
      <t c="3">
        <n x="126"/>
        <n x="433"/>
        <n x="193"/>
      </t>
    </mdx>
    <mdx n="0" f="v">
      <t c="3">
        <n x="126"/>
        <n x="272"/>
        <n x="193"/>
      </t>
    </mdx>
    <mdx n="0" f="v">
      <t c="3">
        <n x="86"/>
        <n x="445"/>
        <n x="193"/>
      </t>
    </mdx>
    <mdx n="0" f="v">
      <t c="3">
        <n x="86"/>
        <n x="443"/>
        <n x="193"/>
      </t>
    </mdx>
    <mdx n="0" f="v">
      <t c="3">
        <n x="86"/>
        <n x="433"/>
        <n x="193"/>
      </t>
    </mdx>
    <mdx n="0" f="v">
      <t c="3">
        <n x="86"/>
        <n x="272"/>
        <n x="193"/>
      </t>
    </mdx>
    <mdx n="0" f="v">
      <t c="3">
        <n x="47"/>
        <n x="445"/>
        <n x="193"/>
      </t>
    </mdx>
    <mdx n="0" f="v">
      <t c="3">
        <n x="47"/>
        <n x="443"/>
        <n x="193"/>
      </t>
    </mdx>
    <mdx n="0" f="v">
      <t c="3">
        <n x="47"/>
        <n x="433"/>
        <n x="193"/>
      </t>
    </mdx>
    <mdx n="0" f="v">
      <t c="3">
        <n x="47"/>
        <n x="272"/>
        <n x="193"/>
      </t>
    </mdx>
    <mdx n="0" f="v">
      <t c="3">
        <n x="8"/>
        <n x="445"/>
        <n x="193"/>
      </t>
    </mdx>
    <mdx n="0" f="v">
      <t c="3">
        <n x="8"/>
        <n x="443"/>
        <n x="193"/>
      </t>
    </mdx>
    <mdx n="0" f="v">
      <t c="3">
        <n x="8"/>
        <n x="433"/>
        <n x="193"/>
      </t>
    </mdx>
    <mdx n="0" f="v">
      <t c="3">
        <n x="8"/>
        <n x="272"/>
        <n x="193"/>
      </t>
    </mdx>
    <mdx n="0" f="v">
      <t c="3">
        <n x="114"/>
        <n x="445"/>
        <n x="193"/>
      </t>
    </mdx>
    <mdx n="0" f="v">
      <t c="3">
        <n x="114"/>
        <n x="443"/>
        <n x="193"/>
      </t>
    </mdx>
    <mdx n="0" f="v">
      <t c="3">
        <n x="114"/>
        <n x="433"/>
        <n x="193"/>
      </t>
    </mdx>
    <mdx n="0" f="v">
      <t c="3">
        <n x="114"/>
        <n x="272"/>
        <n x="193"/>
      </t>
    </mdx>
    <mdx n="0" f="v">
      <t c="3">
        <n x="239"/>
        <n x="445"/>
        <n x="193"/>
      </t>
    </mdx>
    <mdx n="0" f="v">
      <t c="3">
        <n x="239"/>
        <n x="443"/>
        <n x="193"/>
      </t>
    </mdx>
    <mdx n="0" f="v">
      <t c="3">
        <n x="239"/>
        <n x="433"/>
        <n x="193"/>
      </t>
    </mdx>
    <mdx n="0" f="v">
      <t c="3">
        <n x="239"/>
        <n x="272"/>
        <n x="193"/>
      </t>
    </mdx>
    <mdx n="0" f="v">
      <t c="3">
        <n x="203"/>
        <n x="445"/>
        <n x="193"/>
      </t>
    </mdx>
    <mdx n="0" f="v">
      <t c="3">
        <n x="203"/>
        <n x="443"/>
        <n x="193"/>
      </t>
    </mdx>
    <mdx n="0" f="v">
      <t c="3">
        <n x="203"/>
        <n x="433"/>
        <n x="193"/>
      </t>
    </mdx>
    <mdx n="0" f="v">
      <t c="3">
        <n x="203"/>
        <n x="272"/>
        <n x="193"/>
      </t>
    </mdx>
    <mdx n="0" f="v">
      <t c="3">
        <n x="165"/>
        <n x="445"/>
        <n x="193"/>
      </t>
    </mdx>
    <mdx n="0" f="v">
      <t c="3">
        <n x="165"/>
        <n x="443"/>
        <n x="193"/>
      </t>
    </mdx>
    <mdx n="0" f="v">
      <t c="3">
        <n x="165"/>
        <n x="433"/>
        <n x="193"/>
      </t>
    </mdx>
    <mdx n="0" f="v">
      <t c="3">
        <n x="165"/>
        <n x="272"/>
        <n x="193"/>
      </t>
    </mdx>
    <mdx n="0" f="v">
      <t c="3">
        <n x="125"/>
        <n x="445"/>
        <n x="193"/>
      </t>
    </mdx>
    <mdx n="0" f="v">
      <t c="3">
        <n x="125"/>
        <n x="443"/>
        <n x="193"/>
      </t>
    </mdx>
    <mdx n="0" f="v">
      <t c="3">
        <n x="125"/>
        <n x="433"/>
        <n x="193"/>
      </t>
    </mdx>
    <mdx n="0" f="v">
      <t c="3">
        <n x="125"/>
        <n x="272"/>
        <n x="193"/>
      </t>
    </mdx>
    <mdx n="0" f="v">
      <t c="3">
        <n x="85"/>
        <n x="445"/>
        <n x="193"/>
      </t>
    </mdx>
    <mdx n="0" f="v">
      <t c="3">
        <n x="85"/>
        <n x="443"/>
        <n x="193"/>
      </t>
    </mdx>
    <mdx n="0" f="v">
      <t c="3">
        <n x="85"/>
        <n x="433"/>
        <n x="193"/>
      </t>
    </mdx>
    <mdx n="0" f="v">
      <t c="3">
        <n x="85"/>
        <n x="272"/>
        <n x="193"/>
      </t>
    </mdx>
    <mdx n="0" f="v">
      <t c="3">
        <n x="46"/>
        <n x="445"/>
        <n x="193"/>
      </t>
    </mdx>
    <mdx n="0" f="v">
      <t c="3">
        <n x="46"/>
        <n x="443"/>
        <n x="193"/>
      </t>
    </mdx>
    <mdx n="0" f="v">
      <t c="3">
        <n x="46"/>
        <n x="433"/>
        <n x="193"/>
      </t>
    </mdx>
    <mdx n="0" f="v">
      <t c="3">
        <n x="46"/>
        <n x="272"/>
        <n x="193"/>
      </t>
    </mdx>
    <mdx n="0" f="v">
      <t c="3">
        <n x="7"/>
        <n x="445"/>
        <n x="193"/>
      </t>
    </mdx>
    <mdx n="0" f="v">
      <t c="3">
        <n x="7"/>
        <n x="443"/>
        <n x="193"/>
      </t>
    </mdx>
    <mdx n="0" f="v">
      <t c="3">
        <n x="7"/>
        <n x="433"/>
        <n x="193"/>
      </t>
    </mdx>
    <mdx n="0" f="v">
      <t c="3">
        <n x="7"/>
        <n x="272"/>
        <n x="193"/>
      </t>
    </mdx>
    <mdx n="0" f="v">
      <t c="3">
        <n x="194"/>
        <n x="445"/>
        <n x="193"/>
      </t>
    </mdx>
    <mdx n="0" f="v">
      <t c="3">
        <n x="194"/>
        <n x="443"/>
        <n x="193"/>
      </t>
    </mdx>
    <mdx n="0" f="v">
      <t c="3">
        <n x="194"/>
        <n x="433"/>
        <n x="193"/>
      </t>
    </mdx>
    <mdx n="0" f="v">
      <t c="3">
        <n x="194"/>
        <n x="272"/>
        <n x="193"/>
      </t>
    </mdx>
    <mdx n="0" f="v">
      <t c="3">
        <n x="238"/>
        <n x="445"/>
        <n x="193"/>
      </t>
    </mdx>
    <mdx n="0" f="v">
      <t c="3">
        <n x="238"/>
        <n x="443"/>
        <n x="193"/>
      </t>
    </mdx>
    <mdx n="0" f="v">
      <t c="3">
        <n x="238"/>
        <n x="433"/>
        <n x="193"/>
      </t>
    </mdx>
    <mdx n="0" f="v">
      <t c="3">
        <n x="238"/>
        <n x="272"/>
        <n x="193"/>
      </t>
    </mdx>
    <mdx n="0" f="v">
      <t c="3">
        <n x="202"/>
        <n x="445"/>
        <n x="193"/>
      </t>
    </mdx>
    <mdx n="0" f="v">
      <t c="3">
        <n x="202"/>
        <n x="443"/>
        <n x="193"/>
      </t>
    </mdx>
    <mdx n="0" f="v">
      <t c="3">
        <n x="202"/>
        <n x="433"/>
        <n x="193"/>
      </t>
    </mdx>
    <mdx n="0" f="v">
      <t c="3">
        <n x="202"/>
        <n x="272"/>
        <n x="193"/>
      </t>
    </mdx>
    <mdx n="0" f="v">
      <t c="3">
        <n x="164"/>
        <n x="445"/>
        <n x="193"/>
      </t>
    </mdx>
    <mdx n="0" f="v">
      <t c="3">
        <n x="164"/>
        <n x="443"/>
        <n x="193"/>
      </t>
    </mdx>
    <mdx n="0" f="v">
      <t c="3">
        <n x="164"/>
        <n x="433"/>
        <n x="193"/>
      </t>
    </mdx>
    <mdx n="0" f="v">
      <t c="3">
        <n x="164"/>
        <n x="272"/>
        <n x="193"/>
      </t>
    </mdx>
    <mdx n="0" f="v">
      <t c="3">
        <n x="124"/>
        <n x="445"/>
        <n x="193"/>
      </t>
    </mdx>
    <mdx n="0" f="v">
      <t c="3">
        <n x="124"/>
        <n x="443"/>
        <n x="193"/>
      </t>
    </mdx>
    <mdx n="0" f="v">
      <t c="3">
        <n x="124"/>
        <n x="433"/>
        <n x="193"/>
      </t>
    </mdx>
    <mdx n="0" f="v">
      <t c="3">
        <n x="124"/>
        <n x="272"/>
        <n x="193"/>
      </t>
    </mdx>
    <mdx n="0" f="v">
      <t c="3">
        <n x="84"/>
        <n x="445"/>
        <n x="193"/>
      </t>
    </mdx>
    <mdx n="0" f="v">
      <t c="3">
        <n x="84"/>
        <n x="443"/>
        <n x="193"/>
      </t>
    </mdx>
    <mdx n="0" f="v">
      <t c="3">
        <n x="84"/>
        <n x="433"/>
        <n x="193"/>
      </t>
    </mdx>
    <mdx n="0" f="v">
      <t c="3">
        <n x="84"/>
        <n x="272"/>
        <n x="193"/>
      </t>
    </mdx>
    <mdx n="0" f="v">
      <t c="3">
        <n x="45"/>
        <n x="445"/>
        <n x="193"/>
      </t>
    </mdx>
    <mdx n="0" f="v">
      <t c="3">
        <n x="45"/>
        <n x="443"/>
        <n x="193"/>
      </t>
    </mdx>
    <mdx n="0" f="v">
      <t c="3">
        <n x="45"/>
        <n x="433"/>
        <n x="193"/>
      </t>
    </mdx>
    <mdx n="0" f="v">
      <t c="3">
        <n x="45"/>
        <n x="272"/>
        <n x="193"/>
      </t>
    </mdx>
    <mdx n="0" f="v">
      <t c="3">
        <n x="6"/>
        <n x="445"/>
        <n x="193"/>
      </t>
    </mdx>
    <mdx n="0" f="v">
      <t c="3">
        <n x="6"/>
        <n x="443"/>
        <n x="193"/>
      </t>
    </mdx>
    <mdx n="0" f="v">
      <t c="3">
        <n x="6"/>
        <n x="433"/>
        <n x="193"/>
      </t>
    </mdx>
    <mdx n="0" f="v">
      <t c="3">
        <n x="6"/>
        <n x="272"/>
        <n x="193"/>
      </t>
    </mdx>
    <mdx n="0" f="v">
      <t c="3">
        <n x="232"/>
        <n x="445"/>
        <n x="193"/>
      </t>
    </mdx>
    <mdx n="0" f="v">
      <t c="3">
        <n x="232"/>
        <n x="443"/>
        <n x="193"/>
      </t>
    </mdx>
    <mdx n="0" f="v">
      <t c="3">
        <n x="232"/>
        <n x="433"/>
        <n x="193"/>
      </t>
    </mdx>
    <mdx n="0" f="v">
      <t c="3">
        <n x="232"/>
        <n x="272"/>
        <n x="193"/>
      </t>
    </mdx>
    <mdx n="0" f="v">
      <t c="3">
        <n x="237"/>
        <n x="445"/>
        <n x="193"/>
      </t>
    </mdx>
    <mdx n="0" f="v">
      <t c="3">
        <n x="237"/>
        <n x="443"/>
        <n x="193"/>
      </t>
    </mdx>
    <mdx n="0" f="v">
      <t c="3">
        <n x="237"/>
        <n x="433"/>
        <n x="193"/>
      </t>
    </mdx>
    <mdx n="0" f="v">
      <t c="3">
        <n x="237"/>
        <n x="272"/>
        <n x="193"/>
      </t>
    </mdx>
    <mdx n="0" f="v">
      <t c="3">
        <n x="201"/>
        <n x="445"/>
        <n x="193"/>
      </t>
    </mdx>
    <mdx n="0" f="v">
      <t c="3">
        <n x="201"/>
        <n x="443"/>
        <n x="193"/>
      </t>
    </mdx>
    <mdx n="0" f="v">
      <t c="3">
        <n x="201"/>
        <n x="433"/>
        <n x="193"/>
      </t>
    </mdx>
    <mdx n="0" f="v">
      <t c="3">
        <n x="201"/>
        <n x="272"/>
        <n x="193"/>
      </t>
    </mdx>
    <mdx n="0" f="v">
      <t c="3">
        <n x="163"/>
        <n x="445"/>
        <n x="193"/>
      </t>
    </mdx>
    <mdx n="0" f="v">
      <t c="3">
        <n x="163"/>
        <n x="443"/>
        <n x="193"/>
      </t>
    </mdx>
    <mdx n="0" f="v">
      <t c="3">
        <n x="163"/>
        <n x="433"/>
        <n x="193"/>
      </t>
    </mdx>
    <mdx n="0" f="v">
      <t c="3">
        <n x="163"/>
        <n x="272"/>
        <n x="193"/>
      </t>
    </mdx>
    <mdx n="0" f="v">
      <t c="3">
        <n x="123"/>
        <n x="445"/>
        <n x="193"/>
      </t>
    </mdx>
    <mdx n="0" f="v">
      <t c="3">
        <n x="123"/>
        <n x="443"/>
        <n x="193"/>
      </t>
    </mdx>
    <mdx n="0" f="v">
      <t c="3">
        <n x="123"/>
        <n x="433"/>
        <n x="193"/>
      </t>
    </mdx>
    <mdx n="0" f="v">
      <t c="3">
        <n x="123"/>
        <n x="272"/>
        <n x="193"/>
      </t>
    </mdx>
    <mdx n="0" f="v">
      <t c="3">
        <n x="83"/>
        <n x="445"/>
        <n x="193"/>
      </t>
    </mdx>
    <mdx n="0" f="v">
      <t c="3">
        <n x="83"/>
        <n x="443"/>
        <n x="193"/>
      </t>
    </mdx>
    <mdx n="0" f="v">
      <t c="3">
        <n x="83"/>
        <n x="433"/>
        <n x="193"/>
      </t>
    </mdx>
    <mdx n="0" f="v">
      <t c="3">
        <n x="83"/>
        <n x="272"/>
        <n x="193"/>
      </t>
    </mdx>
    <mdx n="0" f="v">
      <t c="3">
        <n x="44"/>
        <n x="445"/>
        <n x="193"/>
      </t>
    </mdx>
    <mdx n="0" f="v">
      <t c="3">
        <n x="44"/>
        <n x="443"/>
        <n x="193"/>
      </t>
    </mdx>
    <mdx n="0" f="v">
      <t c="3">
        <n x="44"/>
        <n x="433"/>
        <n x="193"/>
      </t>
    </mdx>
    <mdx n="0" f="v">
      <t c="3">
        <n x="44"/>
        <n x="272"/>
        <n x="193"/>
      </t>
    </mdx>
    <mdx n="0" f="v">
      <t c="3">
        <n x="5"/>
        <n x="445"/>
        <n x="193"/>
      </t>
    </mdx>
    <mdx n="0" f="v">
      <t c="3">
        <n x="5"/>
        <n x="443"/>
        <n x="193"/>
      </t>
    </mdx>
    <mdx n="0" f="v">
      <t c="3">
        <n x="5"/>
        <n x="433"/>
        <n x="193"/>
      </t>
    </mdx>
    <mdx n="0" f="v">
      <t c="3">
        <n x="5"/>
        <n x="272"/>
        <n x="193"/>
      </t>
    </mdx>
    <mdx n="0" f="v">
      <t c="3">
        <n x="75"/>
        <n x="445"/>
        <n x="193"/>
      </t>
    </mdx>
    <mdx n="0" f="v">
      <t c="3">
        <n x="75"/>
        <n x="443"/>
        <n x="193"/>
      </t>
    </mdx>
    <mdx n="0" f="v">
      <t c="3">
        <n x="75"/>
        <n x="433"/>
        <n x="193"/>
      </t>
    </mdx>
    <mdx n="0" f="v">
      <t c="3">
        <n x="75"/>
        <n x="272"/>
        <n x="193"/>
      </t>
    </mdx>
    <mdx n="0" f="v">
      <t c="3">
        <n x="236"/>
        <n x="445"/>
        <n x="193"/>
      </t>
    </mdx>
    <mdx n="0" f="v">
      <t c="3">
        <n x="236"/>
        <n x="443"/>
        <n x="193"/>
      </t>
    </mdx>
    <mdx n="0" f="v">
      <t c="3">
        <n x="236"/>
        <n x="433"/>
        <n x="193"/>
      </t>
    </mdx>
    <mdx n="0" f="v">
      <t c="3">
        <n x="236"/>
        <n x="272"/>
        <n x="193"/>
      </t>
    </mdx>
    <mdx n="0" f="v">
      <t c="3">
        <n x="200"/>
        <n x="445"/>
        <n x="193"/>
      </t>
    </mdx>
    <mdx n="0" f="v">
      <t c="3">
        <n x="200"/>
        <n x="443"/>
        <n x="193"/>
      </t>
    </mdx>
    <mdx n="0" f="v">
      <t c="3">
        <n x="200"/>
        <n x="433"/>
        <n x="193"/>
      </t>
    </mdx>
    <mdx n="0" f="v">
      <t c="3">
        <n x="200"/>
        <n x="272"/>
        <n x="193"/>
      </t>
    </mdx>
    <mdx n="0" f="v">
      <t c="3">
        <n x="162"/>
        <n x="445"/>
        <n x="193"/>
      </t>
    </mdx>
    <mdx n="0" f="v">
      <t c="3">
        <n x="162"/>
        <n x="443"/>
        <n x="193"/>
      </t>
    </mdx>
    <mdx n="0" f="v">
      <t c="3">
        <n x="162"/>
        <n x="433"/>
        <n x="193"/>
      </t>
    </mdx>
    <mdx n="0" f="v">
      <t c="3">
        <n x="162"/>
        <n x="272"/>
        <n x="193"/>
      </t>
    </mdx>
    <mdx n="0" f="v">
      <t c="3">
        <n x="122"/>
        <n x="445"/>
        <n x="193"/>
      </t>
    </mdx>
    <mdx n="0" f="v">
      <t c="3">
        <n x="122"/>
        <n x="443"/>
        <n x="193"/>
      </t>
    </mdx>
    <mdx n="0" f="v">
      <t c="3">
        <n x="122"/>
        <n x="433"/>
        <n x="193"/>
      </t>
    </mdx>
    <mdx n="0" f="v">
      <t c="3">
        <n x="122"/>
        <n x="272"/>
        <n x="193"/>
      </t>
    </mdx>
    <mdx n="0" f="v">
      <t c="3">
        <n x="82"/>
        <n x="445"/>
        <n x="193"/>
      </t>
    </mdx>
    <mdx n="0" f="v">
      <t c="3">
        <n x="82"/>
        <n x="443"/>
        <n x="193"/>
      </t>
    </mdx>
    <mdx n="0" f="v">
      <t c="3">
        <n x="82"/>
        <n x="433"/>
        <n x="193"/>
      </t>
    </mdx>
    <mdx n="0" f="v">
      <t c="3">
        <n x="82"/>
        <n x="272"/>
        <n x="193"/>
      </t>
    </mdx>
    <mdx n="0" f="v">
      <t c="3">
        <n x="43"/>
        <n x="445"/>
        <n x="193"/>
      </t>
    </mdx>
    <mdx n="0" f="v">
      <t c="3">
        <n x="43"/>
        <n x="443"/>
        <n x="193"/>
      </t>
    </mdx>
    <mdx n="0" f="v">
      <t c="3">
        <n x="43"/>
        <n x="433"/>
        <n x="193"/>
      </t>
    </mdx>
    <mdx n="0" f="v">
      <t c="3">
        <n x="43"/>
        <n x="272"/>
        <n x="193"/>
      </t>
    </mdx>
    <mdx n="0" f="v">
      <t c="3">
        <n x="4"/>
        <n x="445"/>
        <n x="193"/>
      </t>
    </mdx>
    <mdx n="0" f="v">
      <t c="3">
        <n x="4"/>
        <n x="443"/>
        <n x="193"/>
      </t>
    </mdx>
    <mdx n="0" f="v">
      <t c="3">
        <n x="4"/>
        <n x="433"/>
        <n x="193"/>
      </t>
    </mdx>
    <mdx n="0" f="v">
      <t c="3">
        <n x="4"/>
        <n x="272"/>
        <n x="193"/>
      </t>
    </mdx>
    <mdx n="0" f="v">
      <t c="3">
        <n x="36"/>
        <n x="445"/>
        <n x="193"/>
      </t>
    </mdx>
    <mdx n="0" f="v">
      <t c="3">
        <n x="36"/>
        <n x="443"/>
        <n x="193"/>
      </t>
    </mdx>
    <mdx n="0" f="v">
      <t c="3">
        <n x="36"/>
        <n x="433"/>
        <n x="193"/>
      </t>
    </mdx>
    <mdx n="0" f="v">
      <t c="3">
        <n x="36"/>
        <n x="272"/>
        <n x="193"/>
      </t>
    </mdx>
    <mdx n="0" f="v">
      <t c="3">
        <n x="235"/>
        <n x="445"/>
        <n x="193"/>
      </t>
    </mdx>
    <mdx n="0" f="v">
      <t c="3">
        <n x="235"/>
        <n x="443"/>
        <n x="193"/>
      </t>
    </mdx>
    <mdx n="0" f="v">
      <t c="3">
        <n x="235"/>
        <n x="433"/>
        <n x="193"/>
      </t>
    </mdx>
    <mdx n="0" f="v">
      <t c="3">
        <n x="235"/>
        <n x="272"/>
        <n x="193"/>
      </t>
    </mdx>
    <mdx n="0" f="v">
      <t c="3">
        <n x="199"/>
        <n x="445"/>
        <n x="193"/>
      </t>
    </mdx>
    <mdx n="0" f="v">
      <t c="3">
        <n x="199"/>
        <n x="443"/>
        <n x="193"/>
      </t>
    </mdx>
    <mdx n="0" f="v">
      <t c="3">
        <n x="199"/>
        <n x="433"/>
        <n x="193"/>
      </t>
    </mdx>
    <mdx n="0" f="v">
      <t c="3">
        <n x="199"/>
        <n x="272"/>
        <n x="193"/>
      </t>
    </mdx>
    <mdx n="0" f="v">
      <t c="3">
        <n x="161"/>
        <n x="445"/>
        <n x="193"/>
      </t>
    </mdx>
    <mdx n="0" f="v">
      <t c="3">
        <n x="161"/>
        <n x="443"/>
        <n x="193"/>
      </t>
    </mdx>
    <mdx n="0" f="v">
      <t c="3">
        <n x="161"/>
        <n x="433"/>
        <n x="193"/>
      </t>
    </mdx>
    <mdx n="0" f="v">
      <t c="3">
        <n x="161"/>
        <n x="272"/>
        <n x="193"/>
      </t>
    </mdx>
    <mdx n="0" f="v">
      <t c="3">
        <n x="121"/>
        <n x="445"/>
        <n x="193"/>
      </t>
    </mdx>
    <mdx n="0" f="v">
      <t c="3">
        <n x="121"/>
        <n x="443"/>
        <n x="193"/>
      </t>
    </mdx>
    <mdx n="0" f="v">
      <t c="3">
        <n x="121"/>
        <n x="433"/>
        <n x="193"/>
      </t>
    </mdx>
    <mdx n="0" f="v">
      <t c="3">
        <n x="121"/>
        <n x="272"/>
        <n x="193"/>
      </t>
    </mdx>
    <mdx n="0" f="v">
      <t c="3">
        <n x="81"/>
        <n x="445"/>
        <n x="193"/>
      </t>
    </mdx>
    <mdx n="0" f="v">
      <t c="3">
        <n x="81"/>
        <n x="443"/>
        <n x="193"/>
      </t>
    </mdx>
    <mdx n="0" f="v">
      <t c="3">
        <n x="81"/>
        <n x="433"/>
        <n x="193"/>
      </t>
    </mdx>
    <mdx n="0" f="v">
      <t c="3">
        <n x="81"/>
        <n x="272"/>
        <n x="193"/>
      </t>
    </mdx>
    <mdx n="0" f="v">
      <t c="3">
        <n x="42"/>
        <n x="445"/>
        <n x="193"/>
      </t>
    </mdx>
    <mdx n="0" f="v">
      <t c="3">
        <n x="42"/>
        <n x="443"/>
        <n x="193"/>
      </t>
    </mdx>
    <mdx n="0" f="v">
      <t c="3">
        <n x="42"/>
        <n x="433"/>
        <n x="193"/>
      </t>
    </mdx>
    <mdx n="0" f="v">
      <t c="3">
        <n x="42"/>
        <n x="272"/>
        <n x="193"/>
      </t>
    </mdx>
    <mdx n="0" f="v">
      <t c="3">
        <n x="3"/>
        <n x="445"/>
        <n x="193"/>
      </t>
    </mdx>
    <mdx n="0" f="v">
      <t c="3">
        <n x="3"/>
        <n x="443"/>
        <n x="193"/>
      </t>
    </mdx>
    <mdx n="0" f="v">
      <t c="3">
        <n x="3"/>
        <n x="433"/>
        <n x="193"/>
      </t>
    </mdx>
    <mdx n="0" f="v">
      <t c="3">
        <n x="3"/>
        <n x="272"/>
        <n x="193"/>
      </t>
    </mdx>
    <mdx n="0" f="v">
      <t c="3">
        <n x="267"/>
        <n x="445"/>
        <n x="193"/>
      </t>
    </mdx>
    <mdx n="0" f="v">
      <t c="3">
        <n x="267"/>
        <n x="443"/>
        <n x="193"/>
      </t>
    </mdx>
    <mdx n="0" f="v">
      <t c="3">
        <n x="267"/>
        <n x="433"/>
        <n x="193"/>
      </t>
    </mdx>
    <mdx n="0" f="v">
      <t c="3">
        <n x="267"/>
        <n x="272"/>
        <n x="193"/>
      </t>
    </mdx>
    <mdx n="0" f="v">
      <t c="3">
        <n x="234"/>
        <n x="445"/>
        <n x="193"/>
      </t>
    </mdx>
    <mdx n="0" f="v">
      <t c="3">
        <n x="234"/>
        <n x="443"/>
        <n x="193"/>
      </t>
    </mdx>
    <mdx n="0" f="v">
      <t c="3">
        <n x="234"/>
        <n x="433"/>
        <n x="193"/>
      </t>
    </mdx>
    <mdx n="0" f="v">
      <t c="3">
        <n x="234"/>
        <n x="272"/>
        <n x="193"/>
      </t>
    </mdx>
    <mdx n="0" f="v">
      <t c="3">
        <n x="198"/>
        <n x="445"/>
        <n x="193"/>
      </t>
    </mdx>
    <mdx n="0" f="v">
      <t c="3">
        <n x="198"/>
        <n x="443"/>
        <n x="193"/>
      </t>
    </mdx>
    <mdx n="0" f="v">
      <t c="3">
        <n x="198"/>
        <n x="433"/>
        <n x="193"/>
      </t>
    </mdx>
    <mdx n="0" f="v">
      <t c="3">
        <n x="198"/>
        <n x="272"/>
        <n x="193"/>
      </t>
    </mdx>
    <mdx n="0" f="v">
      <t c="3">
        <n x="160"/>
        <n x="445"/>
        <n x="193"/>
      </t>
    </mdx>
    <mdx n="0" f="v">
      <t c="3">
        <n x="160"/>
        <n x="443"/>
        <n x="193"/>
      </t>
    </mdx>
    <mdx n="0" f="v">
      <t c="3">
        <n x="160"/>
        <n x="433"/>
        <n x="193"/>
      </t>
    </mdx>
    <mdx n="0" f="v">
      <t c="3">
        <n x="160"/>
        <n x="272"/>
        <n x="193"/>
      </t>
    </mdx>
    <mdx n="0" f="v">
      <t c="3">
        <n x="120"/>
        <n x="445"/>
        <n x="193"/>
      </t>
    </mdx>
    <mdx n="0" f="v">
      <t c="3">
        <n x="120"/>
        <n x="443"/>
        <n x="193"/>
      </t>
    </mdx>
    <mdx n="0" f="v">
      <t c="3">
        <n x="120"/>
        <n x="433"/>
        <n x="193"/>
      </t>
    </mdx>
    <mdx n="0" f="v">
      <t c="3">
        <n x="120"/>
        <n x="272"/>
        <n x="193"/>
      </t>
    </mdx>
    <mdx n="0" f="v">
      <t c="3">
        <n x="80"/>
        <n x="445"/>
        <n x="193"/>
      </t>
    </mdx>
    <mdx n="0" f="v">
      <t c="3">
        <n x="80"/>
        <n x="443"/>
        <n x="193"/>
      </t>
    </mdx>
    <mdx n="0" f="v">
      <t c="3">
        <n x="80"/>
        <n x="433"/>
        <n x="193"/>
      </t>
    </mdx>
    <mdx n="0" f="v">
      <t c="3">
        <n x="80"/>
        <n x="272"/>
        <n x="193"/>
      </t>
    </mdx>
    <mdx n="0" f="v">
      <t c="3">
        <n x="41"/>
        <n x="445"/>
        <n x="193"/>
      </t>
    </mdx>
    <mdx n="0" f="v">
      <t c="3">
        <n x="41"/>
        <n x="443"/>
        <n x="193"/>
      </t>
    </mdx>
    <mdx n="0" f="v">
      <t c="3">
        <n x="41"/>
        <n x="433"/>
        <n x="193"/>
      </t>
    </mdx>
    <mdx n="0" f="v">
      <t c="3">
        <n x="41"/>
        <n x="272"/>
        <n x="193"/>
      </t>
    </mdx>
    <mdx n="0" f="v">
      <t c="3">
        <n x="423"/>
        <n x="445"/>
        <n x="193"/>
      </t>
    </mdx>
    <mdx n="0" f="v">
      <t c="3">
        <n x="423"/>
        <n x="443"/>
        <n x="193"/>
      </t>
    </mdx>
    <mdx n="0" f="v">
      <t c="3">
        <n x="423"/>
        <n x="433"/>
        <n x="193"/>
      </t>
    </mdx>
    <mdx n="0" f="v">
      <t c="3">
        <n x="423"/>
        <n x="272"/>
        <n x="193"/>
      </t>
    </mdx>
    <mdx n="0" f="v">
      <t c="3">
        <n x="361"/>
        <n x="445"/>
        <n x="193"/>
      </t>
    </mdx>
    <mdx n="0" f="v">
      <t c="3">
        <n x="361"/>
        <n x="443"/>
        <n x="193"/>
      </t>
    </mdx>
    <mdx n="0" f="v">
      <t c="3">
        <n x="361"/>
        <n x="433"/>
        <n x="193"/>
      </t>
    </mdx>
    <mdx n="0" f="v">
      <t c="3">
        <n x="361"/>
        <n x="272"/>
        <n x="193"/>
      </t>
    </mdx>
    <mdx n="0" f="v">
      <t c="3">
        <n x="338"/>
        <n x="445"/>
        <n x="193"/>
      </t>
    </mdx>
    <mdx n="0" f="v">
      <t c="3">
        <n x="338"/>
        <n x="443"/>
        <n x="193"/>
      </t>
    </mdx>
    <mdx n="0" f="v">
      <t c="3">
        <n x="338"/>
        <n x="433"/>
        <n x="193"/>
      </t>
    </mdx>
    <mdx n="0" f="v">
      <t c="3">
        <n x="338"/>
        <n x="272"/>
        <n x="193"/>
      </t>
    </mdx>
    <mdx n="0" f="v">
      <t c="3">
        <n x="316"/>
        <n x="445"/>
        <n x="193"/>
      </t>
    </mdx>
    <mdx n="0" f="v">
      <t c="3">
        <n x="316"/>
        <n x="443"/>
        <n x="193"/>
      </t>
    </mdx>
    <mdx n="0" f="v">
      <t c="3">
        <n x="316"/>
        <n x="433"/>
        <n x="193"/>
      </t>
    </mdx>
    <mdx n="0" f="v">
      <t c="3">
        <n x="316"/>
        <n x="272"/>
        <n x="193"/>
      </t>
    </mdx>
    <mdx n="0" f="v">
      <t c="3">
        <n x="411"/>
        <n x="445"/>
        <n x="193"/>
      </t>
    </mdx>
    <mdx n="0" f="v">
      <t c="3">
        <n x="411"/>
        <n x="443"/>
        <n x="193"/>
      </t>
    </mdx>
    <mdx n="0" f="v">
      <t c="3">
        <n x="411"/>
        <n x="433"/>
        <n x="193"/>
      </t>
    </mdx>
    <mdx n="0" f="v">
      <t c="3">
        <n x="411"/>
        <n x="272"/>
        <n x="193"/>
      </t>
    </mdx>
    <mdx n="0" f="v">
      <t c="3">
        <n x="294"/>
        <n x="445"/>
        <n x="193"/>
      </t>
    </mdx>
    <mdx n="0" f="v">
      <t c="3">
        <n x="294"/>
        <n x="443"/>
        <n x="193"/>
      </t>
    </mdx>
    <mdx n="0" f="v">
      <t c="3">
        <n x="294"/>
        <n x="433"/>
        <n x="193"/>
      </t>
    </mdx>
    <mdx n="0" f="v">
      <t c="3">
        <n x="294"/>
        <n x="272"/>
        <n x="193"/>
      </t>
    </mdx>
    <mdx n="0" f="v">
      <t c="3">
        <n x="401"/>
        <n x="445"/>
        <n x="193"/>
      </t>
    </mdx>
    <mdx n="0" f="v">
      <t c="3">
        <n x="401"/>
        <n x="443"/>
        <n x="193"/>
      </t>
    </mdx>
    <mdx n="0" f="v">
      <t c="3">
        <n x="401"/>
        <n x="433"/>
        <n x="193"/>
      </t>
    </mdx>
    <mdx n="0" f="v">
      <t c="3">
        <n x="401"/>
        <n x="272"/>
        <n x="193"/>
      </t>
    </mdx>
    <mdx n="0" f="v">
      <t c="3">
        <n x="383"/>
        <n x="445"/>
        <n x="193"/>
      </t>
    </mdx>
    <mdx n="0" f="v">
      <t c="3">
        <n x="383"/>
        <n x="443"/>
        <n x="193"/>
      </t>
    </mdx>
    <mdx n="0" f="v">
      <t c="3">
        <n x="383"/>
        <n x="433"/>
        <n x="193"/>
      </t>
    </mdx>
    <mdx n="0" f="v">
      <t c="3">
        <n x="383"/>
        <n x="272"/>
        <n x="193"/>
      </t>
    </mdx>
    <mdx n="0" f="v">
      <t c="3">
        <n x="391"/>
        <n x="445"/>
        <n x="193"/>
      </t>
    </mdx>
    <mdx n="0" f="v">
      <t c="3">
        <n x="391"/>
        <n x="443"/>
        <n x="193"/>
      </t>
    </mdx>
    <mdx n="0" f="v">
      <t c="3">
        <n x="391"/>
        <n x="433"/>
        <n x="193"/>
      </t>
    </mdx>
    <mdx n="0" f="v">
      <t c="3">
        <n x="391"/>
        <n x="272"/>
        <n x="193"/>
      </t>
    </mdx>
    <mdx n="0" f="v">
      <t c="3">
        <n x="360"/>
        <n x="445"/>
        <n x="193"/>
      </t>
    </mdx>
    <mdx n="0" f="v">
      <t c="3">
        <n x="360"/>
        <n x="443"/>
        <n x="193"/>
      </t>
    </mdx>
    <mdx n="0" f="v">
      <t c="3">
        <n x="360"/>
        <n x="433"/>
        <n x="193"/>
      </t>
    </mdx>
    <mdx n="0" f="v">
      <t c="3">
        <n x="360"/>
        <n x="272"/>
        <n x="193"/>
      </t>
    </mdx>
    <mdx n="0" f="v">
      <t c="3">
        <n x="337"/>
        <n x="445"/>
        <n x="193"/>
      </t>
    </mdx>
    <mdx n="0" f="v">
      <t c="3">
        <n x="337"/>
        <n x="443"/>
        <n x="193"/>
      </t>
    </mdx>
    <mdx n="0" f="v">
      <t c="3">
        <n x="337"/>
        <n x="433"/>
        <n x="193"/>
      </t>
    </mdx>
    <mdx n="0" f="v">
      <t c="3">
        <n x="337"/>
        <n x="272"/>
        <n x="193"/>
      </t>
    </mdx>
    <mdx n="0" f="v">
      <t c="3">
        <n x="315"/>
        <n x="445"/>
        <n x="193"/>
      </t>
    </mdx>
    <mdx n="0" f="v">
      <t c="3">
        <n x="315"/>
        <n x="443"/>
        <n x="193"/>
      </t>
    </mdx>
    <mdx n="0" f="v">
      <t c="3">
        <n x="315"/>
        <n x="433"/>
        <n x="193"/>
      </t>
    </mdx>
    <mdx n="0" f="v">
      <t c="3">
        <n x="315"/>
        <n x="272"/>
        <n x="193"/>
      </t>
    </mdx>
    <mdx n="0" f="v">
      <t c="3">
        <n x="453"/>
        <n x="445"/>
        <n x="193"/>
      </t>
    </mdx>
    <mdx n="0" f="v">
      <t c="3">
        <n x="453"/>
        <n x="443"/>
        <n x="193"/>
      </t>
    </mdx>
    <mdx n="0" f="v">
      <t c="3">
        <n x="453"/>
        <n x="433"/>
        <n x="193"/>
      </t>
    </mdx>
    <mdx n="0" f="v">
      <t c="3">
        <n x="453"/>
        <n x="272"/>
        <n x="193"/>
      </t>
    </mdx>
    <mdx n="0" f="v">
      <t c="3">
        <n x="293"/>
        <n x="445"/>
        <n x="193"/>
      </t>
    </mdx>
    <mdx n="0" f="v">
      <t c="3">
        <n x="293"/>
        <n x="443"/>
        <n x="193"/>
      </t>
    </mdx>
    <mdx n="0" f="v">
      <t c="3">
        <n x="293"/>
        <n x="433"/>
        <n x="193"/>
      </t>
    </mdx>
    <mdx n="0" f="v">
      <t c="3">
        <n x="293"/>
        <n x="272"/>
        <n x="193"/>
      </t>
    </mdx>
    <mdx n="0" f="v">
      <t c="3">
        <n x="414"/>
        <n x="445"/>
        <n x="193"/>
      </t>
    </mdx>
    <mdx n="0" f="v">
      <t c="3">
        <n x="414"/>
        <n x="443"/>
        <n x="193"/>
      </t>
    </mdx>
    <mdx n="0" f="v">
      <t c="3">
        <n x="414"/>
        <n x="433"/>
        <n x="193"/>
      </t>
    </mdx>
    <mdx n="0" f="v">
      <t c="3">
        <n x="414"/>
        <n x="272"/>
        <n x="193"/>
      </t>
    </mdx>
    <mdx n="0" f="v">
      <t c="3">
        <n x="382"/>
        <n x="445"/>
        <n x="193"/>
      </t>
    </mdx>
    <mdx n="0" f="v">
      <t c="3">
        <n x="382"/>
        <n x="443"/>
        <n x="193"/>
      </t>
    </mdx>
    <mdx n="0" f="v">
      <t c="3">
        <n x="382"/>
        <n x="433"/>
        <n x="193"/>
      </t>
    </mdx>
    <mdx n="0" f="v">
      <t c="3">
        <n x="382"/>
        <n x="272"/>
        <n x="193"/>
      </t>
    </mdx>
    <mdx n="0" f="v">
      <t c="3">
        <n x="442"/>
        <n x="445"/>
        <n x="193"/>
      </t>
    </mdx>
    <mdx n="0" f="v">
      <t c="3">
        <n x="442"/>
        <n x="443"/>
        <n x="193"/>
      </t>
    </mdx>
    <mdx n="0" f="v">
      <t c="3">
        <n x="442"/>
        <n x="433"/>
        <n x="193"/>
      </t>
    </mdx>
    <mdx n="0" f="v">
      <t c="3">
        <n x="442"/>
        <n x="272"/>
        <n x="193"/>
      </t>
    </mdx>
    <mdx n="0" f="v">
      <t c="3">
        <n x="359"/>
        <n x="445"/>
        <n x="193"/>
      </t>
    </mdx>
    <mdx n="0" f="v">
      <t c="3">
        <n x="359"/>
        <n x="443"/>
        <n x="193"/>
      </t>
    </mdx>
    <mdx n="0" f="v">
      <t c="3">
        <n x="359"/>
        <n x="433"/>
        <n x="193"/>
      </t>
    </mdx>
    <mdx n="0" f="v">
      <t c="3">
        <n x="359"/>
        <n x="272"/>
        <n x="193"/>
      </t>
    </mdx>
    <mdx n="0" f="v">
      <t c="3">
        <n x="336"/>
        <n x="445"/>
        <n x="193"/>
      </t>
    </mdx>
    <mdx n="0" f="v">
      <t c="3">
        <n x="336"/>
        <n x="443"/>
        <n x="193"/>
      </t>
    </mdx>
    <mdx n="0" f="v">
      <t c="3">
        <n x="336"/>
        <n x="433"/>
        <n x="193"/>
      </t>
    </mdx>
    <mdx n="0" f="v">
      <t c="3">
        <n x="336"/>
        <n x="272"/>
        <n x="193"/>
      </t>
    </mdx>
    <mdx n="0" f="v">
      <t c="3">
        <n x="314"/>
        <n x="445"/>
        <n x="193"/>
      </t>
    </mdx>
    <mdx n="0" f="v">
      <t c="3">
        <n x="314"/>
        <n x="443"/>
        <n x="193"/>
      </t>
    </mdx>
    <mdx n="0" f="v">
      <t c="3">
        <n x="314"/>
        <n x="433"/>
        <n x="193"/>
      </t>
    </mdx>
    <mdx n="0" f="v">
      <t c="3">
        <n x="314"/>
        <n x="272"/>
        <n x="193"/>
      </t>
    </mdx>
    <mdx n="0" f="v">
      <t c="3">
        <n x="432"/>
        <n x="445"/>
        <n x="193"/>
      </t>
    </mdx>
    <mdx n="0" f="v">
      <t c="3">
        <n x="432"/>
        <n x="443"/>
        <n x="193"/>
      </t>
    </mdx>
    <mdx n="0" f="v">
      <t c="3">
        <n x="432"/>
        <n x="433"/>
        <n x="193"/>
      </t>
    </mdx>
    <mdx n="0" f="v">
      <t c="3">
        <n x="432"/>
        <n x="272"/>
        <n x="193"/>
      </t>
    </mdx>
    <mdx n="0" f="v">
      <t c="3">
        <n x="292"/>
        <n x="445"/>
        <n x="193"/>
      </t>
    </mdx>
    <mdx n="0" f="v">
      <t c="3">
        <n x="292"/>
        <n x="443"/>
        <n x="193"/>
      </t>
    </mdx>
    <mdx n="0" f="v">
      <t c="3">
        <n x="292"/>
        <n x="433"/>
        <n x="193"/>
      </t>
    </mdx>
    <mdx n="0" f="v">
      <t c="3">
        <n x="292"/>
        <n x="272"/>
        <n x="193"/>
      </t>
    </mdx>
    <mdx n="0" f="v">
      <t c="3">
        <n x="422"/>
        <n x="445"/>
        <n x="193"/>
      </t>
    </mdx>
    <mdx n="0" f="v">
      <t c="3">
        <n x="422"/>
        <n x="443"/>
        <n x="193"/>
      </t>
    </mdx>
    <mdx n="0" f="v">
      <t c="3">
        <n x="422"/>
        <n x="433"/>
        <n x="193"/>
      </t>
    </mdx>
    <mdx n="0" f="v">
      <t c="3">
        <n x="422"/>
        <n x="272"/>
        <n x="193"/>
      </t>
    </mdx>
    <mdx n="0" f="v">
      <t c="3">
        <n x="381"/>
        <n x="445"/>
        <n x="193"/>
      </t>
    </mdx>
    <mdx n="0" f="v">
      <t c="3">
        <n x="381"/>
        <n x="443"/>
        <n x="193"/>
      </t>
    </mdx>
    <mdx n="0" f="v">
      <t c="3">
        <n x="381"/>
        <n x="433"/>
        <n x="193"/>
      </t>
    </mdx>
    <mdx n="0" f="v">
      <t c="3">
        <n x="381"/>
        <n x="272"/>
        <n x="193"/>
      </t>
    </mdx>
    <mdx n="0" f="v">
      <t c="3">
        <n x="410"/>
        <n x="445"/>
        <n x="193"/>
      </t>
    </mdx>
    <mdx n="0" f="v">
      <t c="3">
        <n x="410"/>
        <n x="443"/>
        <n x="193"/>
      </t>
    </mdx>
    <mdx n="0" f="v">
      <t c="3">
        <n x="410"/>
        <n x="433"/>
        <n x="193"/>
      </t>
    </mdx>
    <mdx n="0" f="v">
      <t c="3">
        <n x="410"/>
        <n x="272"/>
        <n x="193"/>
      </t>
    </mdx>
    <mdx n="0" f="v">
      <t c="3">
        <n x="358"/>
        <n x="445"/>
        <n x="193"/>
      </t>
    </mdx>
    <mdx n="0" f="v">
      <t c="3">
        <n x="358"/>
        <n x="443"/>
        <n x="193"/>
      </t>
    </mdx>
    <mdx n="0" f="v">
      <t c="3">
        <n x="358"/>
        <n x="433"/>
        <n x="193"/>
      </t>
    </mdx>
    <mdx n="0" f="v">
      <t c="3">
        <n x="358"/>
        <n x="272"/>
        <n x="193"/>
      </t>
    </mdx>
    <mdx n="0" f="v">
      <t c="3">
        <n x="335"/>
        <n x="445"/>
        <n x="193"/>
      </t>
    </mdx>
    <mdx n="0" f="v">
      <t c="3">
        <n x="335"/>
        <n x="443"/>
        <n x="193"/>
      </t>
    </mdx>
    <mdx n="0" f="v">
      <t c="3">
        <n x="335"/>
        <n x="433"/>
        <n x="193"/>
      </t>
    </mdx>
    <mdx n="0" f="v">
      <t c="3">
        <n x="335"/>
        <n x="272"/>
        <n x="193"/>
      </t>
    </mdx>
    <mdx n="0" f="v">
      <t c="3">
        <n x="313"/>
        <n x="445"/>
        <n x="193"/>
      </t>
    </mdx>
    <mdx n="0" f="v">
      <t c="3">
        <n x="313"/>
        <n x="443"/>
        <n x="193"/>
      </t>
    </mdx>
    <mdx n="0" f="v">
      <t c="3">
        <n x="313"/>
        <n x="433"/>
        <n x="193"/>
      </t>
    </mdx>
    <mdx n="0" f="v">
      <t c="3">
        <n x="313"/>
        <n x="272"/>
        <n x="193"/>
      </t>
    </mdx>
    <mdx n="0" f="v">
      <t c="3">
        <n x="400"/>
        <n x="445"/>
        <n x="193"/>
      </t>
    </mdx>
    <mdx n="0" f="v">
      <t c="3">
        <n x="400"/>
        <n x="443"/>
        <n x="193"/>
      </t>
    </mdx>
    <mdx n="0" f="v">
      <t c="3">
        <n x="400"/>
        <n x="433"/>
        <n x="193"/>
      </t>
    </mdx>
    <mdx n="0" f="v">
      <t c="3">
        <n x="400"/>
        <n x="272"/>
        <n x="193"/>
      </t>
    </mdx>
    <mdx n="0" f="v">
      <t c="3">
        <n x="291"/>
        <n x="445"/>
        <n x="193"/>
      </t>
    </mdx>
    <mdx n="0" f="v">
      <t c="3">
        <n x="291"/>
        <n x="443"/>
        <n x="193"/>
      </t>
    </mdx>
    <mdx n="0" f="v">
      <t c="3">
        <n x="291"/>
        <n x="433"/>
        <n x="193"/>
      </t>
    </mdx>
    <mdx n="0" f="v">
      <t c="3">
        <n x="291"/>
        <n x="272"/>
        <n x="193"/>
      </t>
    </mdx>
    <mdx n="0" f="v">
      <t c="3">
        <n x="390"/>
        <n x="445"/>
        <n x="193"/>
      </t>
    </mdx>
    <mdx n="0" f="v">
      <t c="3">
        <n x="390"/>
        <n x="443"/>
        <n x="193"/>
      </t>
    </mdx>
    <mdx n="0" f="v">
      <t c="3">
        <n x="390"/>
        <n x="433"/>
        <n x="193"/>
      </t>
    </mdx>
    <mdx n="0" f="v">
      <t c="3">
        <n x="390"/>
        <n x="272"/>
        <n x="193"/>
      </t>
    </mdx>
    <mdx n="0" f="v">
      <t c="3">
        <n x="380"/>
        <n x="445"/>
        <n x="193"/>
      </t>
    </mdx>
    <mdx n="0" f="v">
      <t c="3">
        <n x="380"/>
        <n x="443"/>
        <n x="193"/>
      </t>
    </mdx>
    <mdx n="0" f="v">
      <t c="3">
        <n x="380"/>
        <n x="433"/>
        <n x="193"/>
      </t>
    </mdx>
    <mdx n="0" f="v">
      <t c="3">
        <n x="380"/>
        <n x="272"/>
        <n x="193"/>
      </t>
    </mdx>
    <mdx n="0" f="v">
      <t c="3">
        <n x="452"/>
        <n x="445"/>
        <n x="193"/>
      </t>
    </mdx>
    <mdx n="0" f="v">
      <t c="3">
        <n x="452"/>
        <n x="443"/>
        <n x="193"/>
      </t>
    </mdx>
    <mdx n="0" f="v">
      <t c="3">
        <n x="452"/>
        <n x="433"/>
        <n x="193"/>
      </t>
    </mdx>
    <mdx n="0" f="v">
      <t c="3">
        <n x="452"/>
        <n x="272"/>
        <n x="193"/>
      </t>
    </mdx>
    <mdx n="0" f="v">
      <t c="3">
        <n x="357"/>
        <n x="445"/>
        <n x="193"/>
      </t>
    </mdx>
    <mdx n="0" f="v">
      <t c="3">
        <n x="357"/>
        <n x="443"/>
        <n x="193"/>
      </t>
    </mdx>
    <mdx n="0" f="v">
      <t c="3">
        <n x="357"/>
        <n x="433"/>
        <n x="193"/>
      </t>
    </mdx>
    <mdx n="0" f="v">
      <t c="3">
        <n x="357"/>
        <n x="272"/>
        <n x="193"/>
      </t>
    </mdx>
    <mdx n="0" f="v">
      <t c="3">
        <n x="334"/>
        <n x="445"/>
        <n x="193"/>
      </t>
    </mdx>
    <mdx n="0" f="v">
      <t c="3">
        <n x="334"/>
        <n x="443"/>
        <n x="193"/>
      </t>
    </mdx>
    <mdx n="0" f="v">
      <t c="3">
        <n x="334"/>
        <n x="433"/>
        <n x="193"/>
      </t>
    </mdx>
    <mdx n="0" f="v">
      <t c="3">
        <n x="334"/>
        <n x="272"/>
        <n x="193"/>
      </t>
    </mdx>
    <mdx n="0" f="v">
      <t c="3">
        <n x="312"/>
        <n x="445"/>
        <n x="193"/>
      </t>
    </mdx>
    <mdx n="0" f="v">
      <t c="3">
        <n x="312"/>
        <n x="443"/>
        <n x="193"/>
      </t>
    </mdx>
    <mdx n="0" f="v">
      <t c="3">
        <n x="312"/>
        <n x="433"/>
        <n x="193"/>
      </t>
    </mdx>
    <mdx n="0" f="v">
      <t c="3">
        <n x="312"/>
        <n x="272"/>
        <n x="193"/>
      </t>
    </mdx>
    <mdx n="0" f="v">
      <t c="3">
        <n x="444"/>
        <n x="445"/>
        <n x="193"/>
      </t>
    </mdx>
    <mdx n="0" f="v">
      <t c="3">
        <n x="444"/>
        <n x="443"/>
        <n x="193"/>
      </t>
    </mdx>
    <mdx n="0" f="v">
      <t c="3">
        <n x="444"/>
        <n x="433"/>
        <n x="193"/>
      </t>
    </mdx>
    <mdx n="0" f="v">
      <t c="3">
        <n x="444"/>
        <n x="272"/>
        <n x="193"/>
      </t>
    </mdx>
    <mdx n="0" f="v">
      <t c="3">
        <n x="290"/>
        <n x="445"/>
        <n x="193"/>
      </t>
    </mdx>
    <mdx n="0" f="v">
      <t c="3">
        <n x="290"/>
        <n x="443"/>
        <n x="193"/>
      </t>
    </mdx>
    <mdx n="0" f="v">
      <t c="3">
        <n x="290"/>
        <n x="433"/>
        <n x="193"/>
      </t>
    </mdx>
    <mdx n="0" f="v">
      <t c="3">
        <n x="290"/>
        <n x="272"/>
        <n x="193"/>
      </t>
    </mdx>
    <mdx n="0" f="v">
      <t c="3">
        <n x="441"/>
        <n x="445"/>
        <n x="193"/>
      </t>
    </mdx>
    <mdx n="0" f="v">
      <t c="3">
        <n x="441"/>
        <n x="443"/>
        <n x="193"/>
      </t>
    </mdx>
    <mdx n="0" f="v">
      <t c="3">
        <n x="441"/>
        <n x="433"/>
        <n x="193"/>
      </t>
    </mdx>
    <mdx n="0" f="v">
      <t c="3">
        <n x="441"/>
        <n x="272"/>
        <n x="193"/>
      </t>
    </mdx>
    <mdx n="0" f="v">
      <t c="3">
        <n x="379"/>
        <n x="445"/>
        <n x="193"/>
      </t>
    </mdx>
    <mdx n="0" f="v">
      <t c="3">
        <n x="379"/>
        <n x="443"/>
        <n x="193"/>
      </t>
    </mdx>
    <mdx n="0" f="v">
      <t c="3">
        <n x="379"/>
        <n x="433"/>
        <n x="193"/>
      </t>
    </mdx>
    <mdx n="0" f="v">
      <t c="3">
        <n x="379"/>
        <n x="272"/>
        <n x="193"/>
      </t>
    </mdx>
    <mdx n="0" f="v">
      <t c="3">
        <n x="431"/>
        <n x="445"/>
        <n x="193"/>
      </t>
    </mdx>
    <mdx n="0" f="v">
      <t c="3">
        <n x="431"/>
        <n x="443"/>
        <n x="193"/>
      </t>
    </mdx>
    <mdx n="0" f="v">
      <t c="3">
        <n x="431"/>
        <n x="433"/>
        <n x="193"/>
      </t>
    </mdx>
    <mdx n="0" f="v">
      <t c="3">
        <n x="431"/>
        <n x="272"/>
        <n x="193"/>
      </t>
    </mdx>
    <mdx n="0" f="v">
      <t c="3">
        <n x="356"/>
        <n x="445"/>
        <n x="193"/>
      </t>
    </mdx>
    <mdx n="0" f="v">
      <t c="3">
        <n x="356"/>
        <n x="443"/>
        <n x="193"/>
      </t>
    </mdx>
    <mdx n="0" f="v">
      <t c="3">
        <n x="356"/>
        <n x="433"/>
        <n x="193"/>
      </t>
    </mdx>
    <mdx n="0" f="v">
      <t c="3">
        <n x="356"/>
        <n x="272"/>
        <n x="193"/>
      </t>
    </mdx>
    <mdx n="0" f="v">
      <t c="3">
        <n x="333"/>
        <n x="445"/>
        <n x="193"/>
      </t>
    </mdx>
    <mdx n="0" f="v">
      <t c="3">
        <n x="333"/>
        <n x="443"/>
        <n x="193"/>
      </t>
    </mdx>
    <mdx n="0" f="v">
      <t c="3">
        <n x="333"/>
        <n x="433"/>
        <n x="193"/>
      </t>
    </mdx>
    <mdx n="0" f="v">
      <t c="3">
        <n x="333"/>
        <n x="272"/>
        <n x="193"/>
      </t>
    </mdx>
    <mdx n="0" f="v">
      <t c="3">
        <n x="311"/>
        <n x="445"/>
        <n x="193"/>
      </t>
    </mdx>
    <mdx n="0" f="v">
      <t c="3">
        <n x="311"/>
        <n x="443"/>
        <n x="193"/>
      </t>
    </mdx>
    <mdx n="0" f="v">
      <t c="3">
        <n x="311"/>
        <n x="433"/>
        <n x="193"/>
      </t>
    </mdx>
    <mdx n="0" f="v">
      <t c="3">
        <n x="311"/>
        <n x="272"/>
        <n x="193"/>
      </t>
    </mdx>
    <mdx n="0" f="v">
      <t c="3">
        <n x="421"/>
        <n x="445"/>
        <n x="193"/>
      </t>
    </mdx>
    <mdx n="0" f="v">
      <t c="3">
        <n x="421"/>
        <n x="443"/>
        <n x="193"/>
      </t>
    </mdx>
    <mdx n="0" f="v">
      <t c="3">
        <n x="421"/>
        <n x="433"/>
        <n x="193"/>
      </t>
    </mdx>
    <mdx n="0" f="v">
      <t c="3">
        <n x="421"/>
        <n x="272"/>
        <n x="193"/>
      </t>
    </mdx>
    <mdx n="0" f="v">
      <t c="3">
        <n x="289"/>
        <n x="445"/>
        <n x="193"/>
      </t>
    </mdx>
    <mdx n="0" f="v">
      <t c="3">
        <n x="289"/>
        <n x="443"/>
        <n x="193"/>
      </t>
    </mdx>
    <mdx n="0" f="v">
      <t c="3">
        <n x="289"/>
        <n x="433"/>
        <n x="193"/>
      </t>
    </mdx>
    <mdx n="0" f="v">
      <t c="3">
        <n x="289"/>
        <n x="272"/>
        <n x="193"/>
      </t>
    </mdx>
    <mdx n="0" f="v">
      <t c="3">
        <n x="409"/>
        <n x="445"/>
        <n x="193"/>
      </t>
    </mdx>
    <mdx n="0" f="v">
      <t c="3">
        <n x="409"/>
        <n x="443"/>
        <n x="193"/>
      </t>
    </mdx>
    <mdx n="0" f="v">
      <t c="3">
        <n x="409"/>
        <n x="433"/>
        <n x="193"/>
      </t>
    </mdx>
    <mdx n="0" f="v">
      <t c="3">
        <n x="409"/>
        <n x="272"/>
        <n x="193"/>
      </t>
    </mdx>
    <mdx n="0" f="v">
      <t c="3">
        <n x="378"/>
        <n x="445"/>
        <n x="193"/>
      </t>
    </mdx>
    <mdx n="0" f="v">
      <t c="3">
        <n x="378"/>
        <n x="443"/>
        <n x="193"/>
      </t>
    </mdx>
    <mdx n="0" f="v">
      <t c="3">
        <n x="378"/>
        <n x="433"/>
        <n x="193"/>
      </t>
    </mdx>
    <mdx n="0" f="v">
      <t c="3">
        <n x="378"/>
        <n x="272"/>
        <n x="193"/>
      </t>
    </mdx>
    <mdx n="0" f="v">
      <t c="3">
        <n x="399"/>
        <n x="445"/>
        <n x="193"/>
      </t>
    </mdx>
    <mdx n="0" f="v">
      <t c="3">
        <n x="399"/>
        <n x="443"/>
        <n x="193"/>
      </t>
    </mdx>
    <mdx n="0" f="v">
      <t c="3">
        <n x="399"/>
        <n x="433"/>
        <n x="193"/>
      </t>
    </mdx>
    <mdx n="0" f="v">
      <t c="3">
        <n x="399"/>
        <n x="272"/>
        <n x="193"/>
      </t>
    </mdx>
    <mdx n="0" f="v">
      <t c="3">
        <n x="355"/>
        <n x="445"/>
        <n x="193"/>
      </t>
    </mdx>
    <mdx n="0" f="v">
      <t c="3">
        <n x="355"/>
        <n x="443"/>
        <n x="193"/>
      </t>
    </mdx>
    <mdx n="0" f="v">
      <t c="3">
        <n x="355"/>
        <n x="433"/>
        <n x="193"/>
      </t>
    </mdx>
    <mdx n="0" f="v">
      <t c="3">
        <n x="355"/>
        <n x="272"/>
        <n x="193"/>
      </t>
    </mdx>
    <mdx n="0" f="v">
      <t c="3">
        <n x="332"/>
        <n x="445"/>
        <n x="193"/>
      </t>
    </mdx>
    <mdx n="0" f="v">
      <t c="3">
        <n x="332"/>
        <n x="443"/>
        <n x="193"/>
      </t>
    </mdx>
    <mdx n="0" f="v">
      <t c="3">
        <n x="332"/>
        <n x="433"/>
        <n x="193"/>
      </t>
    </mdx>
    <mdx n="0" f="v">
      <t c="3">
        <n x="332"/>
        <n x="272"/>
        <n x="193"/>
      </t>
    </mdx>
    <mdx n="0" f="v">
      <t c="3">
        <n x="310"/>
        <n x="445"/>
        <n x="193"/>
      </t>
    </mdx>
    <mdx n="0" f="v">
      <t c="3">
        <n x="310"/>
        <n x="443"/>
        <n x="193"/>
      </t>
    </mdx>
    <mdx n="0" f="v">
      <t c="3">
        <n x="310"/>
        <n x="433"/>
        <n x="193"/>
      </t>
    </mdx>
    <mdx n="0" f="v">
      <t c="3">
        <n x="310"/>
        <n x="272"/>
        <n x="193"/>
      </t>
    </mdx>
    <mdx n="0" f="v">
      <t c="3">
        <n x="389"/>
        <n x="445"/>
        <n x="193"/>
      </t>
    </mdx>
    <mdx n="0" f="v">
      <t c="3">
        <n x="389"/>
        <n x="443"/>
        <n x="193"/>
      </t>
    </mdx>
    <mdx n="0" f="v">
      <t c="3">
        <n x="389"/>
        <n x="433"/>
        <n x="193"/>
      </t>
    </mdx>
    <mdx n="0" f="v">
      <t c="3">
        <n x="389"/>
        <n x="272"/>
        <n x="193"/>
      </t>
    </mdx>
    <mdx n="0" f="v">
      <t c="3">
        <n x="288"/>
        <n x="445"/>
        <n x="193"/>
      </t>
    </mdx>
    <mdx n="0" f="v">
      <t c="3">
        <n x="288"/>
        <n x="443"/>
        <n x="193"/>
      </t>
    </mdx>
    <mdx n="0" f="v">
      <t c="3">
        <n x="288"/>
        <n x="433"/>
        <n x="193"/>
      </t>
    </mdx>
    <mdx n="0" f="v">
      <t c="3">
        <n x="288"/>
        <n x="272"/>
        <n x="193"/>
      </t>
    </mdx>
    <mdx n="0" f="v">
      <t c="3">
        <n x="451"/>
        <n x="445"/>
        <n x="193"/>
      </t>
    </mdx>
    <mdx n="0" f="v">
      <t c="3">
        <n x="451"/>
        <n x="443"/>
        <n x="193"/>
      </t>
    </mdx>
    <mdx n="0" f="v">
      <t c="3">
        <n x="451"/>
        <n x="433"/>
        <n x="193"/>
      </t>
    </mdx>
    <mdx n="0" f="v">
      <t c="3">
        <n x="451"/>
        <n x="272"/>
        <n x="193"/>
      </t>
    </mdx>
    <mdx n="0" f="v">
      <t c="3">
        <n x="377"/>
        <n x="445"/>
        <n x="193"/>
      </t>
    </mdx>
    <mdx n="0" f="v">
      <t c="3">
        <n x="377"/>
        <n x="443"/>
        <n x="193"/>
      </t>
    </mdx>
    <mdx n="0" f="v">
      <t c="3">
        <n x="377"/>
        <n x="433"/>
        <n x="193"/>
      </t>
    </mdx>
    <mdx n="0" f="v">
      <t c="3">
        <n x="377"/>
        <n x="272"/>
        <n x="193"/>
      </t>
    </mdx>
    <mdx n="0" f="v">
      <t c="3">
        <n x="434"/>
        <n x="445"/>
        <n x="193"/>
      </t>
    </mdx>
    <mdx n="0" f="v">
      <t c="3">
        <n x="434"/>
        <n x="443"/>
        <n x="193"/>
      </t>
    </mdx>
    <mdx n="0" f="v">
      <t c="3">
        <n x="434"/>
        <n x="433"/>
        <n x="193"/>
      </t>
    </mdx>
    <mdx n="0" f="v">
      <t c="3">
        <n x="434"/>
        <n x="272"/>
        <n x="193"/>
      </t>
    </mdx>
    <mdx n="0" f="v">
      <t c="3">
        <n x="354"/>
        <n x="445"/>
        <n x="193"/>
      </t>
    </mdx>
    <mdx n="0" f="v">
      <t c="3">
        <n x="354"/>
        <n x="443"/>
        <n x="193"/>
      </t>
    </mdx>
    <mdx n="0" f="v">
      <t c="3">
        <n x="354"/>
        <n x="433"/>
        <n x="193"/>
      </t>
    </mdx>
    <mdx n="0" f="v">
      <t c="3">
        <n x="354"/>
        <n x="272"/>
        <n x="193"/>
      </t>
    </mdx>
    <mdx n="0" f="v">
      <t c="3">
        <n x="331"/>
        <n x="445"/>
        <n x="193"/>
      </t>
    </mdx>
    <mdx n="0" f="v">
      <t c="3">
        <n x="331"/>
        <n x="443"/>
        <n x="193"/>
      </t>
    </mdx>
    <mdx n="0" f="v">
      <t c="3">
        <n x="331"/>
        <n x="433"/>
        <n x="193"/>
      </t>
    </mdx>
    <mdx n="0" f="v">
      <t c="3">
        <n x="331"/>
        <n x="272"/>
        <n x="193"/>
      </t>
    </mdx>
    <mdx n="0" f="v">
      <t c="3">
        <n x="309"/>
        <n x="445"/>
        <n x="193"/>
      </t>
    </mdx>
    <mdx n="0" f="v">
      <t c="3">
        <n x="309"/>
        <n x="443"/>
        <n x="193"/>
      </t>
    </mdx>
    <mdx n="0" f="v">
      <t c="3">
        <n x="309"/>
        <n x="433"/>
        <n x="193"/>
      </t>
    </mdx>
    <mdx n="0" f="v">
      <t c="3">
        <n x="309"/>
        <n x="272"/>
        <n x="193"/>
      </t>
    </mdx>
    <mdx n="0" f="v">
      <t c="3">
        <n x="440"/>
        <n x="445"/>
        <n x="193"/>
      </t>
    </mdx>
    <mdx n="0" f="v">
      <t c="3">
        <n x="440"/>
        <n x="443"/>
        <n x="193"/>
      </t>
    </mdx>
    <mdx n="0" f="v">
      <t c="3">
        <n x="440"/>
        <n x="433"/>
        <n x="193"/>
      </t>
    </mdx>
    <mdx n="0" f="v">
      <t c="3">
        <n x="440"/>
        <n x="272"/>
        <n x="193"/>
      </t>
    </mdx>
    <mdx n="0" f="v">
      <t c="3">
        <n x="287"/>
        <n x="445"/>
        <n x="193"/>
      </t>
    </mdx>
    <mdx n="0" f="v">
      <t c="3">
        <n x="287"/>
        <n x="443"/>
        <n x="193"/>
      </t>
    </mdx>
    <mdx n="0" f="v">
      <t c="3">
        <n x="287"/>
        <n x="433"/>
        <n x="193"/>
      </t>
    </mdx>
    <mdx n="0" f="v">
      <t c="3">
        <n x="287"/>
        <n x="272"/>
        <n x="193"/>
      </t>
    </mdx>
    <mdx n="0" f="v">
      <t c="3">
        <n x="430"/>
        <n x="445"/>
        <n x="193"/>
      </t>
    </mdx>
    <mdx n="0" f="v">
      <t c="3">
        <n x="430"/>
        <n x="443"/>
        <n x="193"/>
      </t>
    </mdx>
    <mdx n="0" f="v">
      <t c="3">
        <n x="430"/>
        <n x="433"/>
        <n x="193"/>
      </t>
    </mdx>
    <mdx n="0" f="v">
      <t c="3">
        <n x="430"/>
        <n x="272"/>
        <n x="193"/>
      </t>
    </mdx>
    <mdx n="0" f="v">
      <t c="3">
        <n x="376"/>
        <n x="445"/>
        <n x="193"/>
      </t>
    </mdx>
    <mdx n="0" f="v">
      <t c="3">
        <n x="376"/>
        <n x="443"/>
        <n x="193"/>
      </t>
    </mdx>
    <mdx n="0" f="v">
      <t c="3">
        <n x="376"/>
        <n x="433"/>
        <n x="193"/>
      </t>
    </mdx>
    <mdx n="0" f="v">
      <t c="3">
        <n x="376"/>
        <n x="272"/>
        <n x="193"/>
      </t>
    </mdx>
    <mdx n="0" f="v">
      <t c="3">
        <n x="420"/>
        <n x="445"/>
        <n x="193"/>
      </t>
    </mdx>
    <mdx n="0" f="v">
      <t c="3">
        <n x="420"/>
        <n x="443"/>
        <n x="193"/>
      </t>
    </mdx>
    <mdx n="0" f="v">
      <t c="3">
        <n x="420"/>
        <n x="433"/>
        <n x="193"/>
      </t>
    </mdx>
    <mdx n="0" f="v">
      <t c="3">
        <n x="420"/>
        <n x="272"/>
        <n x="193"/>
      </t>
    </mdx>
    <mdx n="0" f="v">
      <t c="3">
        <n x="353"/>
        <n x="445"/>
        <n x="193"/>
      </t>
    </mdx>
    <mdx n="0" f="v">
      <t c="3">
        <n x="353"/>
        <n x="443"/>
        <n x="193"/>
      </t>
    </mdx>
    <mdx n="0" f="v">
      <t c="3">
        <n x="353"/>
        <n x="433"/>
        <n x="193"/>
      </t>
    </mdx>
    <mdx n="0" f="v">
      <t c="3">
        <n x="353"/>
        <n x="272"/>
        <n x="193"/>
      </t>
    </mdx>
    <mdx n="0" f="v">
      <t c="3">
        <n x="330"/>
        <n x="445"/>
        <n x="193"/>
      </t>
    </mdx>
    <mdx n="0" f="v">
      <t c="3">
        <n x="330"/>
        <n x="443"/>
        <n x="193"/>
      </t>
    </mdx>
    <mdx n="0" f="v">
      <t c="3">
        <n x="330"/>
        <n x="433"/>
        <n x="193"/>
      </t>
    </mdx>
    <mdx n="0" f="v">
      <t c="3">
        <n x="330"/>
        <n x="272"/>
        <n x="193"/>
      </t>
    </mdx>
    <mdx n="0" f="v">
      <t c="3">
        <n x="308"/>
        <n x="445"/>
        <n x="193"/>
      </t>
    </mdx>
    <mdx n="0" f="v">
      <t c="3">
        <n x="308"/>
        <n x="443"/>
        <n x="193"/>
      </t>
    </mdx>
    <mdx n="0" f="v">
      <t c="3">
        <n x="308"/>
        <n x="433"/>
        <n x="193"/>
      </t>
    </mdx>
    <mdx n="0" f="v">
      <t c="3">
        <n x="308"/>
        <n x="272"/>
        <n x="193"/>
      </t>
    </mdx>
    <mdx n="0" f="v">
      <t c="3">
        <n x="408"/>
        <n x="445"/>
        <n x="193"/>
      </t>
    </mdx>
    <mdx n="0" f="v">
      <t c="3">
        <n x="408"/>
        <n x="443"/>
        <n x="193"/>
      </t>
    </mdx>
    <mdx n="0" f="v">
      <t c="3">
        <n x="408"/>
        <n x="433"/>
        <n x="193"/>
      </t>
    </mdx>
    <mdx n="0" f="v">
      <t c="3">
        <n x="408"/>
        <n x="272"/>
        <n x="193"/>
      </t>
    </mdx>
    <mdx n="0" f="v">
      <t c="3">
        <n x="286"/>
        <n x="445"/>
        <n x="193"/>
      </t>
    </mdx>
    <mdx n="0" f="v">
      <t c="3">
        <n x="286"/>
        <n x="443"/>
        <n x="193"/>
      </t>
    </mdx>
    <mdx n="0" f="v">
      <t c="3">
        <n x="286"/>
        <n x="433"/>
        <n x="193"/>
      </t>
    </mdx>
    <mdx n="0" f="v">
      <t c="3">
        <n x="286"/>
        <n x="272"/>
        <n x="193"/>
      </t>
    </mdx>
    <mdx n="0" f="v">
      <t c="3">
        <n x="398"/>
        <n x="445"/>
        <n x="193"/>
      </t>
    </mdx>
    <mdx n="0" f="v">
      <t c="3">
        <n x="398"/>
        <n x="443"/>
        <n x="193"/>
      </t>
    </mdx>
    <mdx n="0" f="v">
      <t c="3">
        <n x="398"/>
        <n x="433"/>
        <n x="193"/>
      </t>
    </mdx>
    <mdx n="0" f="v">
      <t c="3">
        <n x="398"/>
        <n x="272"/>
        <n x="193"/>
      </t>
    </mdx>
    <mdx n="0" f="v">
      <t c="3">
        <n x="375"/>
        <n x="445"/>
        <n x="193"/>
      </t>
    </mdx>
    <mdx n="0" f="v">
      <t c="3">
        <n x="375"/>
        <n x="443"/>
        <n x="193"/>
      </t>
    </mdx>
    <mdx n="0" f="v">
      <t c="3">
        <n x="375"/>
        <n x="433"/>
        <n x="193"/>
      </t>
    </mdx>
    <mdx n="0" f="v">
      <t c="3">
        <n x="375"/>
        <n x="272"/>
        <n x="193"/>
      </t>
    </mdx>
    <mdx n="0" f="v">
      <t c="3">
        <n x="388"/>
        <n x="445"/>
        <n x="193"/>
      </t>
    </mdx>
    <mdx n="0" f="v">
      <t c="3">
        <n x="388"/>
        <n x="443"/>
        <n x="193"/>
      </t>
    </mdx>
    <mdx n="0" f="v">
      <t c="3">
        <n x="388"/>
        <n x="433"/>
        <n x="193"/>
      </t>
    </mdx>
    <mdx n="0" f="v">
      <t c="3">
        <n x="388"/>
        <n x="272"/>
        <n x="193"/>
      </t>
    </mdx>
    <mdx n="0" f="v">
      <t c="3">
        <n x="352"/>
        <n x="445"/>
        <n x="193"/>
      </t>
    </mdx>
    <mdx n="0" f="v">
      <t c="3">
        <n x="352"/>
        <n x="443"/>
        <n x="193"/>
      </t>
    </mdx>
    <mdx n="0" f="v">
      <t c="3">
        <n x="352"/>
        <n x="433"/>
        <n x="193"/>
      </t>
    </mdx>
    <mdx n="0" f="v">
      <t c="3">
        <n x="352"/>
        <n x="272"/>
        <n x="193"/>
      </t>
    </mdx>
    <mdx n="0" f="v">
      <t c="3">
        <n x="329"/>
        <n x="445"/>
        <n x="193"/>
      </t>
    </mdx>
    <mdx n="0" f="v">
      <t c="3">
        <n x="329"/>
        <n x="443"/>
        <n x="193"/>
      </t>
    </mdx>
    <mdx n="0" f="v">
      <t c="3">
        <n x="329"/>
        <n x="433"/>
        <n x="193"/>
      </t>
    </mdx>
    <mdx n="0" f="v">
      <t c="3">
        <n x="329"/>
        <n x="272"/>
        <n x="193"/>
      </t>
    </mdx>
    <mdx n="0" f="v">
      <t c="3">
        <n x="307"/>
        <n x="445"/>
        <n x="193"/>
      </t>
    </mdx>
    <mdx n="0" f="v">
      <t c="3">
        <n x="307"/>
        <n x="443"/>
        <n x="193"/>
      </t>
    </mdx>
    <mdx n="0" f="v">
      <t c="3">
        <n x="307"/>
        <n x="433"/>
        <n x="193"/>
      </t>
    </mdx>
    <mdx n="0" f="v">
      <t c="3">
        <n x="307"/>
        <n x="272"/>
        <n x="193"/>
      </t>
    </mdx>
    <mdx n="0" f="v">
      <t c="3">
        <n x="450"/>
        <n x="445"/>
        <n x="193"/>
      </t>
    </mdx>
    <mdx n="0" f="v">
      <t c="3">
        <n x="450"/>
        <n x="443"/>
        <n x="193"/>
      </t>
    </mdx>
    <mdx n="0" f="v">
      <t c="3">
        <n x="450"/>
        <n x="433"/>
        <n x="193"/>
      </t>
    </mdx>
    <mdx n="0" f="v">
      <t c="3">
        <n x="450"/>
        <n x="272"/>
        <n x="193"/>
      </t>
    </mdx>
    <mdx n="0" f="v">
      <t c="3">
        <n x="285"/>
        <n x="445"/>
        <n x="193"/>
      </t>
    </mdx>
    <mdx n="0" f="v">
      <t c="3">
        <n x="285"/>
        <n x="443"/>
        <n x="193"/>
      </t>
    </mdx>
    <mdx n="0" f="v">
      <t c="3">
        <n x="285"/>
        <n x="433"/>
        <n x="193"/>
      </t>
    </mdx>
    <mdx n="0" f="v">
      <t c="3">
        <n x="285"/>
        <n x="272"/>
        <n x="193"/>
      </t>
    </mdx>
    <mdx n="0" f="v">
      <t c="3">
        <n x="424"/>
        <n x="445"/>
        <n x="193"/>
      </t>
    </mdx>
    <mdx n="0" f="v">
      <t c="3">
        <n x="424"/>
        <n x="443"/>
        <n x="193"/>
      </t>
    </mdx>
    <mdx n="0" f="v">
      <t c="3">
        <n x="424"/>
        <n x="433"/>
        <n x="193"/>
      </t>
    </mdx>
    <mdx n="0" f="v">
      <t c="3">
        <n x="424"/>
        <n x="272"/>
        <n x="193"/>
      </t>
    </mdx>
    <mdx n="0" f="v">
      <t c="3">
        <n x="374"/>
        <n x="445"/>
        <n x="193"/>
      </t>
    </mdx>
    <mdx n="0" f="v">
      <t c="3">
        <n x="374"/>
        <n x="443"/>
        <n x="193"/>
      </t>
    </mdx>
    <mdx n="0" f="v">
      <t c="3">
        <n x="374"/>
        <n x="433"/>
        <n x="193"/>
      </t>
    </mdx>
    <mdx n="0" f="v">
      <t c="3">
        <n x="374"/>
        <n x="272"/>
        <n x="193"/>
      </t>
    </mdx>
    <mdx n="0" f="v">
      <t c="3">
        <n x="439"/>
        <n x="445"/>
        <n x="193"/>
      </t>
    </mdx>
    <mdx n="0" f="v">
      <t c="3">
        <n x="439"/>
        <n x="443"/>
        <n x="193"/>
      </t>
    </mdx>
    <mdx n="0" f="v">
      <t c="3">
        <n x="439"/>
        <n x="433"/>
        <n x="193"/>
      </t>
    </mdx>
    <mdx n="0" f="v">
      <t c="3">
        <n x="439"/>
        <n x="272"/>
        <n x="193"/>
      </t>
    </mdx>
    <mdx n="0" f="v">
      <t c="3">
        <n x="351"/>
        <n x="445"/>
        <n x="193"/>
      </t>
    </mdx>
    <mdx n="0" f="v">
      <t c="3">
        <n x="351"/>
        <n x="443"/>
        <n x="193"/>
      </t>
    </mdx>
    <mdx n="0" f="v">
      <t c="3">
        <n x="351"/>
        <n x="433"/>
        <n x="193"/>
      </t>
    </mdx>
    <mdx n="0" f="v">
      <t c="3">
        <n x="351"/>
        <n x="272"/>
        <n x="193"/>
      </t>
    </mdx>
    <mdx n="0" f="v">
      <t c="3">
        <n x="328"/>
        <n x="445"/>
        <n x="193"/>
      </t>
    </mdx>
    <mdx n="0" f="v">
      <t c="3">
        <n x="328"/>
        <n x="443"/>
        <n x="193"/>
      </t>
    </mdx>
    <mdx n="0" f="v">
      <t c="3">
        <n x="328"/>
        <n x="433"/>
        <n x="193"/>
      </t>
    </mdx>
    <mdx n="0" f="v">
      <t c="3">
        <n x="328"/>
        <n x="272"/>
        <n x="193"/>
      </t>
    </mdx>
    <mdx n="0" f="v">
      <t c="3">
        <n x="306"/>
        <n x="445"/>
        <n x="193"/>
      </t>
    </mdx>
    <mdx n="0" f="v">
      <t c="3">
        <n x="306"/>
        <n x="443"/>
        <n x="193"/>
      </t>
    </mdx>
    <mdx n="0" f="v">
      <t c="3">
        <n x="306"/>
        <n x="433"/>
        <n x="193"/>
      </t>
    </mdx>
    <mdx n="0" f="v">
      <t c="3">
        <n x="306"/>
        <n x="272"/>
        <n x="193"/>
      </t>
    </mdx>
    <mdx n="0" f="v">
      <t c="3">
        <n x="429"/>
        <n x="445"/>
        <n x="193"/>
      </t>
    </mdx>
    <mdx n="0" f="v">
      <t c="3">
        <n x="429"/>
        <n x="443"/>
        <n x="193"/>
      </t>
    </mdx>
    <mdx n="0" f="v">
      <t c="3">
        <n x="429"/>
        <n x="433"/>
        <n x="193"/>
      </t>
    </mdx>
    <mdx n="0" f="v">
      <t c="3">
        <n x="429"/>
        <n x="272"/>
        <n x="193"/>
      </t>
    </mdx>
    <mdx n="0" f="v">
      <t c="3">
        <n x="284"/>
        <n x="445"/>
        <n x="193"/>
      </t>
    </mdx>
    <mdx n="0" f="v">
      <t c="3">
        <n x="284"/>
        <n x="443"/>
        <n x="193"/>
      </t>
    </mdx>
    <mdx n="0" f="v">
      <t c="3">
        <n x="284"/>
        <n x="433"/>
        <n x="193"/>
      </t>
    </mdx>
    <mdx n="0" f="v">
      <t c="3">
        <n x="284"/>
        <n x="272"/>
        <n x="193"/>
      </t>
    </mdx>
    <mdx n="0" f="v">
      <t c="3">
        <n x="419"/>
        <n x="445"/>
        <n x="193"/>
      </t>
    </mdx>
    <mdx n="0" f="v">
      <t c="3">
        <n x="419"/>
        <n x="443"/>
        <n x="193"/>
      </t>
    </mdx>
    <mdx n="0" f="v">
      <t c="3">
        <n x="419"/>
        <n x="433"/>
        <n x="193"/>
      </t>
    </mdx>
    <mdx n="0" f="v">
      <t c="3">
        <n x="419"/>
        <n x="272"/>
        <n x="193"/>
      </t>
    </mdx>
    <mdx n="0" f="v">
      <t c="3">
        <n x="373"/>
        <n x="445"/>
        <n x="193"/>
      </t>
    </mdx>
    <mdx n="0" f="v">
      <t c="3">
        <n x="373"/>
        <n x="443"/>
        <n x="193"/>
      </t>
    </mdx>
    <mdx n="0" f="v">
      <t c="3">
        <n x="373"/>
        <n x="433"/>
        <n x="193"/>
      </t>
    </mdx>
    <mdx n="0" f="v">
      <t c="3">
        <n x="373"/>
        <n x="272"/>
        <n x="193"/>
      </t>
    </mdx>
    <mdx n="0" f="v">
      <t c="3">
        <n x="407"/>
        <n x="445"/>
        <n x="193"/>
      </t>
    </mdx>
    <mdx n="0" f="v">
      <t c="3">
        <n x="407"/>
        <n x="443"/>
        <n x="193"/>
      </t>
    </mdx>
    <mdx n="0" f="v">
      <t c="3">
        <n x="407"/>
        <n x="433"/>
        <n x="193"/>
      </t>
    </mdx>
    <mdx n="0" f="v">
      <t c="3">
        <n x="407"/>
        <n x="272"/>
        <n x="193"/>
      </t>
    </mdx>
    <mdx n="0" f="v">
      <t c="3">
        <n x="350"/>
        <n x="445"/>
        <n x="193"/>
      </t>
    </mdx>
    <mdx n="0" f="v">
      <t c="3">
        <n x="350"/>
        <n x="443"/>
        <n x="193"/>
      </t>
    </mdx>
    <mdx n="0" f="v">
      <t c="3">
        <n x="350"/>
        <n x="433"/>
        <n x="193"/>
      </t>
    </mdx>
    <mdx n="0" f="v">
      <t c="3">
        <n x="350"/>
        <n x="272"/>
        <n x="193"/>
      </t>
    </mdx>
    <mdx n="0" f="v">
      <t c="3">
        <n x="327"/>
        <n x="445"/>
        <n x="193"/>
      </t>
    </mdx>
    <mdx n="0" f="v">
      <t c="3">
        <n x="327"/>
        <n x="443"/>
        <n x="193"/>
      </t>
    </mdx>
    <mdx n="0" f="v">
      <t c="3">
        <n x="327"/>
        <n x="433"/>
        <n x="193"/>
      </t>
    </mdx>
    <mdx n="0" f="v">
      <t c="3">
        <n x="327"/>
        <n x="272"/>
        <n x="193"/>
      </t>
    </mdx>
    <mdx n="0" f="v">
      <t c="3">
        <n x="305"/>
        <n x="445"/>
        <n x="193"/>
      </t>
    </mdx>
    <mdx n="0" f="v">
      <t c="3">
        <n x="305"/>
        <n x="443"/>
        <n x="193"/>
      </t>
    </mdx>
    <mdx n="0" f="v">
      <t c="3">
        <n x="305"/>
        <n x="433"/>
        <n x="193"/>
      </t>
    </mdx>
    <mdx n="0" f="v">
      <t c="3">
        <n x="305"/>
        <n x="272"/>
        <n x="193"/>
      </t>
    </mdx>
    <mdx n="0" f="v">
      <t c="3">
        <n x="397"/>
        <n x="445"/>
        <n x="193"/>
      </t>
    </mdx>
    <mdx n="0" f="v">
      <t c="3">
        <n x="397"/>
        <n x="443"/>
        <n x="193"/>
      </t>
    </mdx>
    <mdx n="0" f="v">
      <t c="3">
        <n x="397"/>
        <n x="433"/>
        <n x="193"/>
      </t>
    </mdx>
    <mdx n="0" f="v">
      <t c="3">
        <n x="397"/>
        <n x="272"/>
        <n x="193"/>
      </t>
    </mdx>
    <mdx n="0" f="v">
      <t c="3">
        <n x="283"/>
        <n x="445"/>
        <n x="193"/>
      </t>
    </mdx>
    <mdx n="0" f="v">
      <t c="3">
        <n x="283"/>
        <n x="443"/>
        <n x="193"/>
      </t>
    </mdx>
    <mdx n="0" f="v">
      <t c="3">
        <n x="283"/>
        <n x="433"/>
        <n x="193"/>
      </t>
    </mdx>
    <mdx n="0" f="v">
      <t c="3">
        <n x="283"/>
        <n x="272"/>
        <n x="193"/>
      </t>
    </mdx>
    <mdx n="0" f="v">
      <t c="3">
        <n x="387"/>
        <n x="445"/>
        <n x="193"/>
      </t>
    </mdx>
    <mdx n="0" f="v">
      <t c="3">
        <n x="387"/>
        <n x="443"/>
        <n x="193"/>
      </t>
    </mdx>
    <mdx n="0" f="v">
      <t c="3">
        <n x="387"/>
        <n x="433"/>
        <n x="193"/>
      </t>
    </mdx>
    <mdx n="0" f="v">
      <t c="3">
        <n x="387"/>
        <n x="272"/>
        <n x="193"/>
      </t>
    </mdx>
    <mdx n="0" f="v">
      <t c="3">
        <n x="372"/>
        <n x="445"/>
        <n x="193"/>
      </t>
    </mdx>
    <mdx n="0" f="v">
      <t c="3">
        <n x="372"/>
        <n x="443"/>
        <n x="193"/>
      </t>
    </mdx>
    <mdx n="0" f="v">
      <t c="3">
        <n x="372"/>
        <n x="433"/>
        <n x="193"/>
      </t>
    </mdx>
    <mdx n="0" f="v">
      <t c="3">
        <n x="372"/>
        <n x="272"/>
        <n x="193"/>
      </t>
    </mdx>
    <mdx n="0" f="v">
      <t c="3">
        <n x="449"/>
        <n x="445"/>
        <n x="193"/>
      </t>
    </mdx>
    <mdx n="0" f="v">
      <t c="3">
        <n x="449"/>
        <n x="443"/>
        <n x="193"/>
      </t>
    </mdx>
    <mdx n="0" f="v">
      <t c="3">
        <n x="449"/>
        <n x="433"/>
        <n x="193"/>
      </t>
    </mdx>
    <mdx n="0" f="v">
      <t c="3">
        <n x="449"/>
        <n x="272"/>
        <n x="193"/>
      </t>
    </mdx>
    <mdx n="0" f="v">
      <t c="3">
        <n x="349"/>
        <n x="445"/>
        <n x="193"/>
      </t>
    </mdx>
    <mdx n="0" f="v">
      <t c="3">
        <n x="349"/>
        <n x="443"/>
        <n x="193"/>
      </t>
    </mdx>
    <mdx n="0" f="v">
      <t c="3">
        <n x="349"/>
        <n x="433"/>
        <n x="193"/>
      </t>
    </mdx>
    <mdx n="0" f="v">
      <t c="3">
        <n x="349"/>
        <n x="272"/>
        <n x="193"/>
      </t>
    </mdx>
    <mdx n="0" f="v">
      <t c="3">
        <n x="326"/>
        <n x="445"/>
        <n x="193"/>
      </t>
    </mdx>
    <mdx n="0" f="v">
      <t c="3">
        <n x="326"/>
        <n x="443"/>
        <n x="193"/>
      </t>
    </mdx>
    <mdx n="0" f="v">
      <t c="3">
        <n x="326"/>
        <n x="433"/>
        <n x="193"/>
      </t>
    </mdx>
    <mdx n="0" f="v">
      <t c="3">
        <n x="326"/>
        <n x="272"/>
        <n x="193"/>
      </t>
    </mdx>
    <mdx n="0" f="v">
      <t c="3">
        <n x="304"/>
        <n x="445"/>
        <n x="193"/>
      </t>
    </mdx>
    <mdx n="0" f="v">
      <t c="3">
        <n x="304"/>
        <n x="443"/>
        <n x="193"/>
      </t>
    </mdx>
    <mdx n="0" f="v">
      <t c="3">
        <n x="304"/>
        <n x="433"/>
        <n x="193"/>
      </t>
    </mdx>
    <mdx n="0" f="v">
      <t c="3">
        <n x="304"/>
        <n x="272"/>
        <n x="193"/>
      </t>
    </mdx>
    <mdx n="0" f="v">
      <t c="3">
        <n x="413"/>
        <n x="445"/>
        <n x="193"/>
      </t>
    </mdx>
    <mdx n="0" f="v">
      <t c="3">
        <n x="413"/>
        <n x="443"/>
        <n x="193"/>
      </t>
    </mdx>
    <mdx n="0" f="v">
      <t c="3">
        <n x="413"/>
        <n x="433"/>
        <n x="193"/>
      </t>
    </mdx>
    <mdx n="0" f="v">
      <t c="3">
        <n x="413"/>
        <n x="272"/>
        <n x="193"/>
      </t>
    </mdx>
    <mdx n="0" f="v">
      <t c="3">
        <n x="282"/>
        <n x="445"/>
        <n x="193"/>
      </t>
    </mdx>
    <mdx n="0" f="v">
      <t c="3">
        <n x="282"/>
        <n x="443"/>
        <n x="193"/>
      </t>
    </mdx>
    <mdx n="0" f="v">
      <t c="3">
        <n x="282"/>
        <n x="433"/>
        <n x="193"/>
      </t>
    </mdx>
    <mdx n="0" f="v">
      <t c="3">
        <n x="282"/>
        <n x="272"/>
        <n x="193"/>
      </t>
    </mdx>
    <mdx n="0" f="v">
      <t c="3">
        <n x="438"/>
        <n x="445"/>
        <n x="193"/>
      </t>
    </mdx>
    <mdx n="0" f="v">
      <t c="3">
        <n x="438"/>
        <n x="443"/>
        <n x="193"/>
      </t>
    </mdx>
    <mdx n="0" f="v">
      <t c="3">
        <n x="438"/>
        <n x="433"/>
        <n x="193"/>
      </t>
    </mdx>
    <mdx n="0" f="v">
      <t c="3">
        <n x="438"/>
        <n x="272"/>
        <n x="193"/>
      </t>
    </mdx>
    <mdx n="0" f="v">
      <t c="3">
        <n x="371"/>
        <n x="445"/>
        <n x="193"/>
      </t>
    </mdx>
    <mdx n="0" f="v">
      <t c="3">
        <n x="371"/>
        <n x="443"/>
        <n x="193"/>
      </t>
    </mdx>
    <mdx n="0" f="v">
      <t c="3">
        <n x="371"/>
        <n x="433"/>
        <n x="193"/>
      </t>
    </mdx>
    <mdx n="0" f="v">
      <t c="3">
        <n x="371"/>
        <n x="272"/>
        <n x="193"/>
      </t>
    </mdx>
    <mdx n="0" f="v">
      <t c="3">
        <n x="428"/>
        <n x="445"/>
        <n x="193"/>
      </t>
    </mdx>
    <mdx n="0" f="v">
      <t c="3">
        <n x="428"/>
        <n x="443"/>
        <n x="193"/>
      </t>
    </mdx>
    <mdx n="0" f="v">
      <t c="3">
        <n x="428"/>
        <n x="433"/>
        <n x="193"/>
      </t>
    </mdx>
    <mdx n="0" f="v">
      <t c="3">
        <n x="428"/>
        <n x="272"/>
        <n x="193"/>
      </t>
    </mdx>
    <mdx n="0" f="v">
      <t c="3">
        <n x="348"/>
        <n x="445"/>
        <n x="193"/>
      </t>
    </mdx>
    <mdx n="0" f="v">
      <t c="3">
        <n x="348"/>
        <n x="443"/>
        <n x="193"/>
      </t>
    </mdx>
    <mdx n="0" f="v">
      <t c="3">
        <n x="348"/>
        <n x="433"/>
        <n x="193"/>
      </t>
    </mdx>
    <mdx n="0" f="v">
      <t c="3">
        <n x="348"/>
        <n x="272"/>
        <n x="193"/>
      </t>
    </mdx>
    <mdx n="0" f="v">
      <t c="3">
        <n x="325"/>
        <n x="445"/>
        <n x="193"/>
      </t>
    </mdx>
    <mdx n="0" f="v">
      <t c="3">
        <n x="325"/>
        <n x="443"/>
        <n x="193"/>
      </t>
    </mdx>
    <mdx n="0" f="v">
      <t c="3">
        <n x="325"/>
        <n x="433"/>
        <n x="193"/>
      </t>
    </mdx>
    <mdx n="0" f="v">
      <t c="3">
        <n x="325"/>
        <n x="272"/>
        <n x="193"/>
      </t>
    </mdx>
    <mdx n="0" f="v">
      <t c="3">
        <n x="303"/>
        <n x="445"/>
        <n x="193"/>
      </t>
    </mdx>
    <mdx n="0" f="v">
      <t c="3">
        <n x="303"/>
        <n x="443"/>
        <n x="193"/>
      </t>
    </mdx>
    <mdx n="0" f="v">
      <t c="3">
        <n x="303"/>
        <n x="433"/>
        <n x="193"/>
      </t>
    </mdx>
    <mdx n="0" f="v">
      <t c="3">
        <n x="303"/>
        <n x="272"/>
        <n x="193"/>
      </t>
    </mdx>
    <mdx n="0" f="v">
      <t c="3">
        <n x="418"/>
        <n x="445"/>
        <n x="193"/>
      </t>
    </mdx>
    <mdx n="0" f="v">
      <t c="3">
        <n x="418"/>
        <n x="443"/>
        <n x="193"/>
      </t>
    </mdx>
    <mdx n="0" f="v">
      <t c="3">
        <n x="418"/>
        <n x="433"/>
        <n x="193"/>
      </t>
    </mdx>
    <mdx n="0" f="v">
      <t c="3">
        <n x="418"/>
        <n x="272"/>
        <n x="193"/>
      </t>
    </mdx>
    <mdx n="0" f="v">
      <t c="3">
        <n x="281"/>
        <n x="445"/>
        <n x="193"/>
      </t>
    </mdx>
    <mdx n="0" f="v">
      <t c="3">
        <n x="281"/>
        <n x="443"/>
        <n x="193"/>
      </t>
    </mdx>
    <mdx n="0" f="v">
      <t c="3">
        <n x="281"/>
        <n x="433"/>
        <n x="193"/>
      </t>
    </mdx>
    <mdx n="0" f="v">
      <t c="3">
        <n x="281"/>
        <n x="272"/>
        <n x="193"/>
      </t>
    </mdx>
    <mdx n="0" f="v">
      <t c="3">
        <n x="406"/>
        <n x="445"/>
        <n x="193"/>
      </t>
    </mdx>
    <mdx n="0" f="v">
      <t c="3">
        <n x="406"/>
        <n x="443"/>
        <n x="193"/>
      </t>
    </mdx>
    <mdx n="0" f="v">
      <t c="3">
        <n x="406"/>
        <n x="433"/>
        <n x="193"/>
      </t>
    </mdx>
    <mdx n="0" f="v">
      <t c="3">
        <n x="406"/>
        <n x="272"/>
        <n x="193"/>
      </t>
    </mdx>
    <mdx n="0" f="v">
      <t c="3">
        <n x="370"/>
        <n x="445"/>
        <n x="193"/>
      </t>
    </mdx>
    <mdx n="0" f="v">
      <t c="3">
        <n x="370"/>
        <n x="443"/>
        <n x="193"/>
      </t>
    </mdx>
    <mdx n="0" f="v">
      <t c="3">
        <n x="370"/>
        <n x="433"/>
        <n x="193"/>
      </t>
    </mdx>
    <mdx n="0" f="v">
      <t c="3">
        <n x="370"/>
        <n x="272"/>
        <n x="193"/>
      </t>
    </mdx>
    <mdx n="0" f="v">
      <t c="3">
        <n x="396"/>
        <n x="445"/>
        <n x="193"/>
      </t>
    </mdx>
    <mdx n="0" f="v">
      <t c="3">
        <n x="396"/>
        <n x="443"/>
        <n x="193"/>
      </t>
    </mdx>
    <mdx n="0" f="v">
      <t c="3">
        <n x="396"/>
        <n x="433"/>
        <n x="193"/>
      </t>
    </mdx>
    <mdx n="0" f="v">
      <t c="3">
        <n x="396"/>
        <n x="272"/>
        <n x="193"/>
      </t>
    </mdx>
    <mdx n="0" f="v">
      <t c="3">
        <n x="347"/>
        <n x="445"/>
        <n x="193"/>
      </t>
    </mdx>
    <mdx n="0" f="v">
      <t c="3">
        <n x="347"/>
        <n x="443"/>
        <n x="193"/>
      </t>
    </mdx>
    <mdx n="0" f="v">
      <t c="3">
        <n x="347"/>
        <n x="433"/>
        <n x="193"/>
      </t>
    </mdx>
    <mdx n="0" f="v">
      <t c="3">
        <n x="347"/>
        <n x="272"/>
        <n x="193"/>
      </t>
    </mdx>
    <mdx n="0" f="v">
      <t c="3">
        <n x="324"/>
        <n x="445"/>
        <n x="193"/>
      </t>
    </mdx>
    <mdx n="0" f="v">
      <t c="3">
        <n x="324"/>
        <n x="443"/>
        <n x="193"/>
      </t>
    </mdx>
    <mdx n="0" f="v">
      <t c="3">
        <n x="324"/>
        <n x="433"/>
        <n x="193"/>
      </t>
    </mdx>
    <mdx n="0" f="v">
      <t c="3">
        <n x="324"/>
        <n x="272"/>
        <n x="193"/>
      </t>
    </mdx>
    <mdx n="0" f="v">
      <t c="3">
        <n x="302"/>
        <n x="445"/>
        <n x="193"/>
      </t>
    </mdx>
    <mdx n="0" f="v">
      <t c="3">
        <n x="302"/>
        <n x="443"/>
        <n x="193"/>
      </t>
    </mdx>
    <mdx n="0" f="v">
      <t c="3">
        <n x="302"/>
        <n x="433"/>
        <n x="193"/>
      </t>
    </mdx>
    <mdx n="0" f="v">
      <t c="3">
        <n x="302"/>
        <n x="272"/>
        <n x="193"/>
      </t>
    </mdx>
    <mdx n="0" f="v">
      <t c="3">
        <n x="386"/>
        <n x="445"/>
        <n x="193"/>
      </t>
    </mdx>
    <mdx n="0" f="v">
      <t c="3">
        <n x="386"/>
        <n x="443"/>
        <n x="193"/>
      </t>
    </mdx>
    <mdx n="0" f="v">
      <t c="3">
        <n x="386"/>
        <n x="433"/>
        <n x="193"/>
      </t>
    </mdx>
    <mdx n="0" f="v">
      <t c="3">
        <n x="386"/>
        <n x="272"/>
        <n x="193"/>
      </t>
    </mdx>
    <mdx n="0" f="v">
      <t c="3">
        <n x="280"/>
        <n x="445"/>
        <n x="193"/>
      </t>
    </mdx>
    <mdx n="0" f="v">
      <t c="3">
        <n x="280"/>
        <n x="443"/>
        <n x="193"/>
      </t>
    </mdx>
    <mdx n="0" f="v">
      <t c="3">
        <n x="280"/>
        <n x="433"/>
        <n x="193"/>
      </t>
    </mdx>
    <mdx n="0" f="v">
      <t c="3">
        <n x="280"/>
        <n x="272"/>
        <n x="193"/>
      </t>
    </mdx>
    <mdx n="0" f="v">
      <t c="3">
        <n x="448"/>
        <n x="445"/>
        <n x="193"/>
      </t>
    </mdx>
    <mdx n="0" f="v">
      <t c="3">
        <n x="448"/>
        <n x="443"/>
        <n x="193"/>
      </t>
    </mdx>
    <mdx n="0" f="v">
      <t c="3">
        <n x="448"/>
        <n x="433"/>
        <n x="193"/>
      </t>
    </mdx>
    <mdx n="0" f="v">
      <t c="3">
        <n x="448"/>
        <n x="272"/>
        <n x="193"/>
      </t>
    </mdx>
    <mdx n="0" f="v">
      <t c="3">
        <n x="369"/>
        <n x="445"/>
        <n x="193"/>
      </t>
    </mdx>
    <mdx n="0" f="v">
      <t c="3">
        <n x="369"/>
        <n x="443"/>
        <n x="193"/>
      </t>
    </mdx>
    <mdx n="0" f="v">
      <t c="3">
        <n x="369"/>
        <n x="433"/>
        <n x="193"/>
      </t>
    </mdx>
    <mdx n="0" f="v">
      <t c="3">
        <n x="369"/>
        <n x="272"/>
        <n x="193"/>
      </t>
    </mdx>
    <mdx n="0" f="v">
      <t c="3">
        <n x="392"/>
        <n x="445"/>
        <n x="193"/>
      </t>
    </mdx>
    <mdx n="0" f="v">
      <t c="3">
        <n x="392"/>
        <n x="443"/>
        <n x="193"/>
      </t>
    </mdx>
    <mdx n="0" f="v">
      <t c="3">
        <n x="392"/>
        <n x="433"/>
        <n x="193"/>
      </t>
    </mdx>
    <mdx n="0" f="v">
      <t c="3">
        <n x="392"/>
        <n x="272"/>
        <n x="193"/>
      </t>
    </mdx>
    <mdx n="0" f="v">
      <t c="3">
        <n x="346"/>
        <n x="445"/>
        <n x="193"/>
      </t>
    </mdx>
    <mdx n="0" f="v">
      <t c="3">
        <n x="346"/>
        <n x="443"/>
        <n x="193"/>
      </t>
    </mdx>
    <mdx n="0" f="v">
      <t c="3">
        <n x="346"/>
        <n x="433"/>
        <n x="193"/>
      </t>
    </mdx>
    <mdx n="0" f="v">
      <t c="3">
        <n x="346"/>
        <n x="272"/>
        <n x="193"/>
      </t>
    </mdx>
    <mdx n="0" f="v">
      <t c="3">
        <n x="323"/>
        <n x="445"/>
        <n x="193"/>
      </t>
    </mdx>
    <mdx n="0" f="v">
      <t c="3">
        <n x="323"/>
        <n x="443"/>
        <n x="193"/>
      </t>
    </mdx>
    <mdx n="0" f="v">
      <t c="3">
        <n x="323"/>
        <n x="433"/>
        <n x="193"/>
      </t>
    </mdx>
    <mdx n="0" f="v">
      <t c="3">
        <n x="323"/>
        <n x="272"/>
        <n x="193"/>
      </t>
    </mdx>
    <mdx n="0" f="v">
      <t c="3">
        <n x="301"/>
        <n x="445"/>
        <n x="193"/>
      </t>
    </mdx>
    <mdx n="0" f="v">
      <t c="3">
        <n x="301"/>
        <n x="443"/>
        <n x="193"/>
      </t>
    </mdx>
    <mdx n="0" f="v">
      <t c="3">
        <n x="301"/>
        <n x="433"/>
        <n x="193"/>
      </t>
    </mdx>
    <mdx n="0" f="v">
      <t c="3">
        <n x="301"/>
        <n x="272"/>
        <n x="193"/>
      </t>
    </mdx>
    <mdx n="0" f="v">
      <t c="3">
        <n x="437"/>
        <n x="445"/>
        <n x="193"/>
      </t>
    </mdx>
    <mdx n="0" f="v">
      <t c="3">
        <n x="437"/>
        <n x="443"/>
        <n x="193"/>
      </t>
    </mdx>
    <mdx n="0" f="v">
      <t c="3">
        <n x="437"/>
        <n x="433"/>
        <n x="193"/>
      </t>
    </mdx>
    <mdx n="0" f="v">
      <t c="3">
        <n x="437"/>
        <n x="272"/>
        <n x="193"/>
      </t>
    </mdx>
    <mdx n="0" f="v">
      <t c="3">
        <n x="279"/>
        <n x="445"/>
        <n x="193"/>
      </t>
    </mdx>
    <mdx n="0" f="v">
      <t c="3">
        <n x="279"/>
        <n x="443"/>
        <n x="193"/>
      </t>
    </mdx>
    <mdx n="0" f="v">
      <t c="3">
        <n x="279"/>
        <n x="433"/>
        <n x="193"/>
      </t>
    </mdx>
    <mdx n="0" f="v">
      <t c="3">
        <n x="279"/>
        <n x="272"/>
        <n x="193"/>
      </t>
    </mdx>
    <mdx n="0" f="v">
      <t c="3">
        <n x="427"/>
        <n x="445"/>
        <n x="193"/>
      </t>
    </mdx>
    <mdx n="0" f="v">
      <t c="3">
        <n x="427"/>
        <n x="443"/>
        <n x="193"/>
      </t>
    </mdx>
    <mdx n="0" f="v">
      <t c="3">
        <n x="427"/>
        <n x="433"/>
        <n x="193"/>
      </t>
    </mdx>
    <mdx n="0" f="v">
      <t c="3">
        <n x="427"/>
        <n x="272"/>
        <n x="193"/>
      </t>
    </mdx>
    <mdx n="0" f="v">
      <t c="3">
        <n x="368"/>
        <n x="445"/>
        <n x="193"/>
      </t>
    </mdx>
    <mdx n="0" f="v">
      <t c="3">
        <n x="368"/>
        <n x="443"/>
        <n x="193"/>
      </t>
    </mdx>
    <mdx n="0" f="v">
      <t c="3">
        <n x="368"/>
        <n x="433"/>
        <n x="193"/>
      </t>
    </mdx>
    <mdx n="0" f="v">
      <t c="3">
        <n x="368"/>
        <n x="272"/>
        <n x="193"/>
      </t>
    </mdx>
    <mdx n="0" f="v">
      <t c="3">
        <n x="417"/>
        <n x="445"/>
        <n x="193"/>
      </t>
    </mdx>
    <mdx n="0" f="v">
      <t c="3">
        <n x="417"/>
        <n x="443"/>
        <n x="193"/>
      </t>
    </mdx>
    <mdx n="0" f="v">
      <t c="3">
        <n x="417"/>
        <n x="433"/>
        <n x="193"/>
      </t>
    </mdx>
    <mdx n="0" f="v">
      <t c="3">
        <n x="417"/>
        <n x="272"/>
        <n x="193"/>
      </t>
    </mdx>
    <mdx n="0" f="v">
      <t c="3">
        <n x="345"/>
        <n x="445"/>
        <n x="193"/>
      </t>
    </mdx>
    <mdx n="0" f="v">
      <t c="3">
        <n x="345"/>
        <n x="443"/>
        <n x="193"/>
      </t>
    </mdx>
    <mdx n="0" f="v">
      <t c="3">
        <n x="345"/>
        <n x="433"/>
        <n x="193"/>
      </t>
    </mdx>
    <mdx n="0" f="v">
      <t c="3">
        <n x="345"/>
        <n x="272"/>
        <n x="193"/>
      </t>
    </mdx>
    <mdx n="0" f="v">
      <t c="3">
        <n x="322"/>
        <n x="445"/>
        <n x="193"/>
      </t>
    </mdx>
    <mdx n="0" f="v">
      <t c="3">
        <n x="322"/>
        <n x="443"/>
        <n x="193"/>
      </t>
    </mdx>
    <mdx n="0" f="v">
      <t c="3">
        <n x="322"/>
        <n x="433"/>
        <n x="193"/>
      </t>
    </mdx>
    <mdx n="0" f="v">
      <t c="3">
        <n x="322"/>
        <n x="272"/>
        <n x="193"/>
      </t>
    </mdx>
    <mdx n="0" f="v">
      <t c="3">
        <n x="300"/>
        <n x="445"/>
        <n x="193"/>
      </t>
    </mdx>
    <mdx n="0" f="v">
      <t c="3">
        <n x="300"/>
        <n x="443"/>
        <n x="193"/>
      </t>
    </mdx>
    <mdx n="0" f="v">
      <t c="3">
        <n x="300"/>
        <n x="433"/>
        <n x="193"/>
      </t>
    </mdx>
    <mdx n="0" f="v">
      <t c="3">
        <n x="300"/>
        <n x="272"/>
        <n x="193"/>
      </t>
    </mdx>
    <mdx n="0" f="v">
      <t c="3">
        <n x="405"/>
        <n x="445"/>
        <n x="193"/>
      </t>
    </mdx>
    <mdx n="0" f="v">
      <t c="3">
        <n x="405"/>
        <n x="443"/>
        <n x="193"/>
      </t>
    </mdx>
    <mdx n="0" f="v">
      <t c="3">
        <n x="405"/>
        <n x="433"/>
        <n x="193"/>
      </t>
    </mdx>
    <mdx n="0" f="v">
      <t c="3">
        <n x="405"/>
        <n x="272"/>
        <n x="193"/>
      </t>
    </mdx>
    <mdx n="0" f="v">
      <t c="3">
        <n x="278"/>
        <n x="445"/>
        <n x="193"/>
      </t>
    </mdx>
    <mdx n="0" f="v">
      <t c="3">
        <n x="278"/>
        <n x="443"/>
        <n x="193"/>
      </t>
    </mdx>
    <mdx n="0" f="v">
      <t c="3">
        <n x="278"/>
        <n x="433"/>
        <n x="193"/>
      </t>
    </mdx>
    <mdx n="0" f="v">
      <t c="3">
        <n x="278"/>
        <n x="272"/>
        <n x="193"/>
      </t>
    </mdx>
    <mdx n="0" f="v">
      <t c="3">
        <n x="395"/>
        <n x="445"/>
        <n x="193"/>
      </t>
    </mdx>
    <mdx n="0" f="v">
      <t c="3">
        <n x="395"/>
        <n x="443"/>
        <n x="193"/>
      </t>
    </mdx>
    <mdx n="0" f="v">
      <t c="3">
        <n x="395"/>
        <n x="433"/>
        <n x="193"/>
      </t>
    </mdx>
    <mdx n="0" f="v">
      <t c="3">
        <n x="395"/>
        <n x="272"/>
        <n x="193"/>
      </t>
    </mdx>
    <mdx n="0" f="v">
      <t c="3">
        <n x="367"/>
        <n x="445"/>
        <n x="193"/>
      </t>
    </mdx>
    <mdx n="0" f="v">
      <t c="3">
        <n x="367"/>
        <n x="443"/>
        <n x="193"/>
      </t>
    </mdx>
    <mdx n="0" f="v">
      <t c="3">
        <n x="367"/>
        <n x="433"/>
        <n x="193"/>
      </t>
    </mdx>
    <mdx n="0" f="v">
      <t c="3">
        <n x="367"/>
        <n x="272"/>
        <n x="193"/>
      </t>
    </mdx>
    <mdx n="0" f="v">
      <t c="3">
        <n x="385"/>
        <n x="445"/>
        <n x="193"/>
      </t>
    </mdx>
    <mdx n="0" f="v">
      <t c="3">
        <n x="385"/>
        <n x="443"/>
        <n x="193"/>
      </t>
    </mdx>
    <mdx n="0" f="v">
      <t c="3">
        <n x="385"/>
        <n x="433"/>
        <n x="193"/>
      </t>
    </mdx>
    <mdx n="0" f="v">
      <t c="3">
        <n x="385"/>
        <n x="272"/>
        <n x="193"/>
      </t>
    </mdx>
    <mdx n="0" f="v">
      <t c="3">
        <n x="344"/>
        <n x="445"/>
        <n x="193"/>
      </t>
    </mdx>
    <mdx n="0" f="v">
      <t c="3">
        <n x="344"/>
        <n x="443"/>
        <n x="193"/>
      </t>
    </mdx>
    <mdx n="0" f="v">
      <t c="3">
        <n x="344"/>
        <n x="433"/>
        <n x="193"/>
      </t>
    </mdx>
    <mdx n="0" f="v">
      <t c="3">
        <n x="344"/>
        <n x="272"/>
        <n x="193"/>
      </t>
    </mdx>
    <mdx n="0" f="v">
      <t c="3">
        <n x="321"/>
        <n x="445"/>
        <n x="193"/>
      </t>
    </mdx>
    <mdx n="0" f="v">
      <t c="3">
        <n x="321"/>
        <n x="443"/>
        <n x="193"/>
      </t>
    </mdx>
    <mdx n="0" f="v">
      <t c="3">
        <n x="321"/>
        <n x="433"/>
        <n x="193"/>
      </t>
    </mdx>
    <mdx n="0" f="v">
      <t c="3">
        <n x="321"/>
        <n x="272"/>
        <n x="193"/>
      </t>
    </mdx>
    <mdx n="0" f="v">
      <t c="3">
        <n x="299"/>
        <n x="445"/>
        <n x="193"/>
      </t>
    </mdx>
    <mdx n="0" f="v">
      <t c="3">
        <n x="299"/>
        <n x="443"/>
        <n x="193"/>
      </t>
    </mdx>
    <mdx n="0" f="v">
      <t c="3">
        <n x="299"/>
        <n x="433"/>
        <n x="193"/>
      </t>
    </mdx>
    <mdx n="0" f="v">
      <t c="3">
        <n x="299"/>
        <n x="272"/>
        <n x="193"/>
      </t>
    </mdx>
    <mdx n="0" f="v">
      <t c="3">
        <n x="447"/>
        <n x="445"/>
        <n x="193"/>
      </t>
    </mdx>
    <mdx n="0" f="v">
      <t c="3">
        <n x="447"/>
        <n x="443"/>
        <n x="193"/>
      </t>
    </mdx>
    <mdx n="0" f="v">
      <t c="3">
        <n x="447"/>
        <n x="433"/>
        <n x="193"/>
      </t>
    </mdx>
    <mdx n="0" f="v">
      <t c="3">
        <n x="447"/>
        <n x="272"/>
        <n x="193"/>
      </t>
    </mdx>
    <mdx n="0" f="v">
      <t c="3">
        <n x="277"/>
        <n x="445"/>
        <n x="193"/>
      </t>
    </mdx>
    <mdx n="0" f="v">
      <t c="3">
        <n x="277"/>
        <n x="443"/>
        <n x="193"/>
      </t>
    </mdx>
    <mdx n="0" f="v">
      <t c="3">
        <n x="277"/>
        <n x="433"/>
        <n x="193"/>
      </t>
    </mdx>
    <mdx n="0" f="v">
      <t c="3">
        <n x="277"/>
        <n x="272"/>
        <n x="193"/>
      </t>
    </mdx>
    <mdx n="0" f="v">
      <t c="3">
        <n x="402"/>
        <n x="445"/>
        <n x="193"/>
      </t>
    </mdx>
    <mdx n="0" f="v">
      <t c="3">
        <n x="402"/>
        <n x="443"/>
        <n x="193"/>
      </t>
    </mdx>
    <mdx n="0" f="v">
      <t c="3">
        <n x="402"/>
        <n x="433"/>
        <n x="193"/>
      </t>
    </mdx>
    <mdx n="0" f="v">
      <t c="3">
        <n x="402"/>
        <n x="272"/>
        <n x="193"/>
      </t>
    </mdx>
    <mdx n="0" f="v">
      <t c="3">
        <n x="366"/>
        <n x="445"/>
        <n x="193"/>
      </t>
    </mdx>
    <mdx n="0" f="v">
      <t c="3">
        <n x="366"/>
        <n x="443"/>
        <n x="193"/>
      </t>
    </mdx>
    <mdx n="0" f="v">
      <t c="3">
        <n x="366"/>
        <n x="433"/>
        <n x="193"/>
      </t>
    </mdx>
    <mdx n="0" f="v">
      <t c="3">
        <n x="366"/>
        <n x="272"/>
        <n x="193"/>
      </t>
    </mdx>
    <mdx n="0" f="v">
      <t c="3">
        <n x="436"/>
        <n x="445"/>
        <n x="193"/>
      </t>
    </mdx>
    <mdx n="0" f="v">
      <t c="3">
        <n x="436"/>
        <n x="443"/>
        <n x="193"/>
      </t>
    </mdx>
    <mdx n="0" f="v">
      <t c="3">
        <n x="436"/>
        <n x="433"/>
        <n x="193"/>
      </t>
    </mdx>
    <mdx n="0" f="v">
      <t c="3">
        <n x="436"/>
        <n x="272"/>
        <n x="193"/>
      </t>
    </mdx>
    <mdx n="0" f="v">
      <t c="3">
        <n x="343"/>
        <n x="445"/>
        <n x="193"/>
      </t>
    </mdx>
    <mdx n="0" f="v">
      <t c="3">
        <n x="343"/>
        <n x="443"/>
        <n x="193"/>
      </t>
    </mdx>
    <mdx n="0" f="v">
      <t c="3">
        <n x="343"/>
        <n x="433"/>
        <n x="193"/>
      </t>
    </mdx>
    <mdx n="0" f="v">
      <t c="3">
        <n x="343"/>
        <n x="272"/>
        <n x="193"/>
      </t>
    </mdx>
    <mdx n="0" f="v">
      <t c="3">
        <n x="320"/>
        <n x="445"/>
        <n x="193"/>
      </t>
    </mdx>
    <mdx n="0" f="v">
      <t c="3">
        <n x="320"/>
        <n x="443"/>
        <n x="193"/>
      </t>
    </mdx>
    <mdx n="0" f="v">
      <t c="3">
        <n x="320"/>
        <n x="433"/>
        <n x="193"/>
      </t>
    </mdx>
    <mdx n="0" f="v">
      <t c="3">
        <n x="320"/>
        <n x="272"/>
        <n x="193"/>
      </t>
    </mdx>
    <mdx n="0" f="v">
      <t c="3">
        <n x="298"/>
        <n x="445"/>
        <n x="193"/>
      </t>
    </mdx>
    <mdx n="0" f="v">
      <t c="3">
        <n x="298"/>
        <n x="443"/>
        <n x="193"/>
      </t>
    </mdx>
    <mdx n="0" f="v">
      <t c="3">
        <n x="298"/>
        <n x="433"/>
        <n x="193"/>
      </t>
    </mdx>
    <mdx n="0" f="v">
      <t c="3">
        <n x="298"/>
        <n x="272"/>
        <n x="193"/>
      </t>
    </mdx>
    <mdx n="0" f="v">
      <t c="3">
        <n x="426"/>
        <n x="445"/>
        <n x="193"/>
      </t>
    </mdx>
    <mdx n="0" f="v">
      <t c="3">
        <n x="426"/>
        <n x="443"/>
        <n x="193"/>
      </t>
    </mdx>
    <mdx n="0" f="v">
      <t c="3">
        <n x="426"/>
        <n x="433"/>
        <n x="193"/>
      </t>
    </mdx>
    <mdx n="0" f="v">
      <t c="3">
        <n x="426"/>
        <n x="272"/>
        <n x="193"/>
      </t>
    </mdx>
    <mdx n="0" f="v">
      <t c="3">
        <n x="276"/>
        <n x="445"/>
        <n x="193"/>
      </t>
    </mdx>
    <mdx n="0" f="v">
      <t c="3">
        <n x="276"/>
        <n x="443"/>
        <n x="193"/>
      </t>
    </mdx>
    <mdx n="0" f="v">
      <t c="3">
        <n x="276"/>
        <n x="433"/>
        <n x="193"/>
      </t>
    </mdx>
    <mdx n="0" f="v">
      <t c="3">
        <n x="276"/>
        <n x="272"/>
        <n x="193"/>
      </t>
    </mdx>
    <mdx n="0" f="v">
      <t c="3">
        <n x="416"/>
        <n x="445"/>
        <n x="193"/>
      </t>
    </mdx>
    <mdx n="0" f="v">
      <t c="3">
        <n x="416"/>
        <n x="443"/>
        <n x="193"/>
      </t>
    </mdx>
    <mdx n="0" f="v">
      <t c="3">
        <n x="416"/>
        <n x="433"/>
        <n x="193"/>
      </t>
    </mdx>
    <mdx n="0" f="v">
      <t c="3">
        <n x="416"/>
        <n x="272"/>
        <n x="193"/>
      </t>
    </mdx>
    <mdx n="0" f="v">
      <t c="3">
        <n x="365"/>
        <n x="445"/>
        <n x="193"/>
      </t>
    </mdx>
    <mdx n="0" f="v">
      <t c="3">
        <n x="365"/>
        <n x="443"/>
        <n x="193"/>
      </t>
    </mdx>
    <mdx n="0" f="v">
      <t c="3">
        <n x="365"/>
        <n x="433"/>
        <n x="193"/>
      </t>
    </mdx>
    <mdx n="0" f="v">
      <t c="3">
        <n x="365"/>
        <n x="272"/>
        <n x="193"/>
      </t>
    </mdx>
    <mdx n="0" f="v">
      <t c="3">
        <n x="404"/>
        <n x="445"/>
        <n x="193"/>
      </t>
    </mdx>
    <mdx n="0" f="v">
      <t c="3">
        <n x="404"/>
        <n x="443"/>
        <n x="193"/>
      </t>
    </mdx>
    <mdx n="0" f="v">
      <t c="3">
        <n x="404"/>
        <n x="433"/>
        <n x="193"/>
      </t>
    </mdx>
    <mdx n="0" f="v">
      <t c="3">
        <n x="404"/>
        <n x="272"/>
        <n x="193"/>
      </t>
    </mdx>
    <mdx n="0" f="v">
      <t c="3">
        <n x="342"/>
        <n x="445"/>
        <n x="193"/>
      </t>
    </mdx>
    <mdx n="0" f="v">
      <t c="3">
        <n x="342"/>
        <n x="443"/>
        <n x="193"/>
      </t>
    </mdx>
    <mdx n="0" f="v">
      <t c="3">
        <n x="342"/>
        <n x="433"/>
        <n x="193"/>
      </t>
    </mdx>
    <mdx n="0" f="v">
      <t c="3">
        <n x="342"/>
        <n x="272"/>
        <n x="193"/>
      </t>
    </mdx>
    <mdx n="0" f="v">
      <t c="3">
        <n x="319"/>
        <n x="445"/>
        <n x="193"/>
      </t>
    </mdx>
    <mdx n="0" f="v">
      <t c="3">
        <n x="319"/>
        <n x="443"/>
        <n x="193"/>
      </t>
    </mdx>
    <mdx n="0" f="v">
      <t c="3">
        <n x="319"/>
        <n x="433"/>
        <n x="193"/>
      </t>
    </mdx>
    <mdx n="0" f="v">
      <t c="3">
        <n x="319"/>
        <n x="272"/>
        <n x="193"/>
      </t>
    </mdx>
    <mdx n="0" f="v">
      <t c="3">
        <n x="297"/>
        <n x="445"/>
        <n x="193"/>
      </t>
    </mdx>
    <mdx n="0" f="v">
      <t c="3">
        <n x="297"/>
        <n x="443"/>
        <n x="193"/>
      </t>
    </mdx>
    <mdx n="0" f="v">
      <t c="3">
        <n x="297"/>
        <n x="433"/>
        <n x="193"/>
      </t>
    </mdx>
    <mdx n="0" f="v">
      <t c="3">
        <n x="297"/>
        <n x="272"/>
        <n x="193"/>
      </t>
    </mdx>
    <mdx n="0" f="v">
      <t c="3">
        <n x="394"/>
        <n x="445"/>
        <n x="193"/>
      </t>
    </mdx>
    <mdx n="0" f="v">
      <t c="3">
        <n x="394"/>
        <n x="443"/>
        <n x="193"/>
      </t>
    </mdx>
    <mdx n="0" f="v">
      <t c="3">
        <n x="394"/>
        <n x="433"/>
        <n x="193"/>
      </t>
    </mdx>
    <mdx n="0" f="v">
      <t c="3">
        <n x="394"/>
        <n x="272"/>
        <n x="193"/>
      </t>
    </mdx>
    <mdx n="0" f="v">
      <t c="3">
        <n x="275"/>
        <n x="445"/>
        <n x="193"/>
      </t>
    </mdx>
    <mdx n="0" f="v">
      <t c="3">
        <n x="275"/>
        <n x="443"/>
        <n x="193"/>
      </t>
    </mdx>
    <mdx n="0" f="v">
      <t c="3">
        <n x="275"/>
        <n x="433"/>
        <n x="193"/>
      </t>
    </mdx>
    <mdx n="0" f="v">
      <t c="3">
        <n x="275"/>
        <n x="272"/>
        <n x="193"/>
      </t>
    </mdx>
    <mdx n="0" f="v">
      <t c="3">
        <n x="384"/>
        <n x="445"/>
        <n x="193"/>
      </t>
    </mdx>
    <mdx n="0" f="v">
      <t c="3">
        <n x="384"/>
        <n x="443"/>
        <n x="193"/>
      </t>
    </mdx>
    <mdx n="0" f="v">
      <t c="3">
        <n x="384"/>
        <n x="433"/>
        <n x="193"/>
      </t>
    </mdx>
    <mdx n="0" f="v">
      <t c="3">
        <n x="384"/>
        <n x="272"/>
        <n x="193"/>
      </t>
    </mdx>
    <mdx n="0" f="v">
      <t c="3">
        <n x="364"/>
        <n x="445"/>
        <n x="193"/>
      </t>
    </mdx>
    <mdx n="0" f="v">
      <t c="3">
        <n x="364"/>
        <n x="443"/>
        <n x="193"/>
      </t>
    </mdx>
    <mdx n="0" f="v">
      <t c="3">
        <n x="364"/>
        <n x="433"/>
        <n x="193"/>
      </t>
    </mdx>
    <mdx n="0" f="v">
      <t c="3">
        <n x="364"/>
        <n x="272"/>
        <n x="193"/>
      </t>
    </mdx>
    <mdx n="0" f="v">
      <t c="3">
        <n x="446"/>
        <n x="445"/>
        <n x="193"/>
      </t>
    </mdx>
    <mdx n="0" f="v">
      <t c="3">
        <n x="446"/>
        <n x="443"/>
        <n x="193"/>
      </t>
    </mdx>
    <mdx n="0" f="v">
      <t c="3">
        <n x="446"/>
        <n x="433"/>
        <n x="193"/>
      </t>
    </mdx>
    <mdx n="0" f="v">
      <t c="3">
        <n x="446"/>
        <n x="272"/>
        <n x="193"/>
      </t>
    </mdx>
    <mdx n="0" f="v">
      <t c="3">
        <n x="341"/>
        <n x="445"/>
        <n x="193"/>
      </t>
    </mdx>
    <mdx n="0" f="v">
      <t c="3">
        <n x="341"/>
        <n x="443"/>
        <n x="193"/>
      </t>
    </mdx>
    <mdx n="0" f="v">
      <t c="3">
        <n x="341"/>
        <n x="433"/>
        <n x="193"/>
      </t>
    </mdx>
    <mdx n="0" f="v">
      <t c="3">
        <n x="341"/>
        <n x="272"/>
        <n x="193"/>
      </t>
    </mdx>
    <mdx n="0" f="v">
      <t c="3">
        <n x="318"/>
        <n x="445"/>
        <n x="193"/>
      </t>
    </mdx>
    <mdx n="0" f="v">
      <t c="3">
        <n x="318"/>
        <n x="443"/>
        <n x="193"/>
      </t>
    </mdx>
    <mdx n="0" f="v">
      <t c="3">
        <n x="318"/>
        <n x="433"/>
        <n x="193"/>
      </t>
    </mdx>
    <mdx n="0" f="v">
      <t c="3">
        <n x="318"/>
        <n x="272"/>
        <n x="193"/>
      </t>
    </mdx>
    <mdx n="0" f="v">
      <t c="3">
        <n x="296"/>
        <n x="445"/>
        <n x="193"/>
      </t>
    </mdx>
    <mdx n="0" f="v">
      <t c="3">
        <n x="296"/>
        <n x="443"/>
        <n x="193"/>
      </t>
    </mdx>
    <mdx n="0" f="v">
      <t c="3">
        <n x="296"/>
        <n x="433"/>
        <n x="193"/>
      </t>
    </mdx>
    <mdx n="0" f="v">
      <t c="3">
        <n x="296"/>
        <n x="272"/>
        <n x="193"/>
      </t>
    </mdx>
    <mdx n="0" f="v">
      <t c="3">
        <n x="412"/>
        <n x="445"/>
        <n x="193"/>
      </t>
    </mdx>
    <mdx n="0" f="v">
      <t c="3">
        <n x="412"/>
        <n x="443"/>
        <n x="193"/>
      </t>
    </mdx>
    <mdx n="0" f="v">
      <t c="3">
        <n x="412"/>
        <n x="433"/>
        <n x="193"/>
      </t>
    </mdx>
    <mdx n="0" f="v">
      <t c="3">
        <n x="412"/>
        <n x="272"/>
        <n x="193"/>
      </t>
    </mdx>
    <mdx n="0" f="v">
      <t c="3">
        <n x="274"/>
        <n x="445"/>
        <n x="193"/>
      </t>
    </mdx>
    <mdx n="0" f="v">
      <t c="3">
        <n x="274"/>
        <n x="443"/>
        <n x="193"/>
      </t>
    </mdx>
    <mdx n="0" f="v">
      <t c="3">
        <n x="274"/>
        <n x="433"/>
        <n x="193"/>
      </t>
    </mdx>
    <mdx n="0" f="v">
      <t c="3">
        <n x="274"/>
        <n x="272"/>
        <n x="193"/>
      </t>
    </mdx>
    <mdx n="0" f="v">
      <t c="3">
        <n x="435"/>
        <n x="445"/>
        <n x="193"/>
      </t>
    </mdx>
    <mdx n="0" f="v">
      <t c="3">
        <n x="435"/>
        <n x="443"/>
        <n x="193"/>
      </t>
    </mdx>
    <mdx n="0" f="v">
      <t c="3">
        <n x="435"/>
        <n x="433"/>
        <n x="193"/>
      </t>
    </mdx>
    <mdx n="0" f="v">
      <t c="3">
        <n x="435"/>
        <n x="272"/>
        <n x="193"/>
      </t>
    </mdx>
    <mdx n="0" f="v">
      <t c="3">
        <n x="363"/>
        <n x="445"/>
        <n x="193"/>
      </t>
    </mdx>
    <mdx n="0" f="v">
      <t c="3">
        <n x="363"/>
        <n x="443"/>
        <n x="193"/>
      </t>
    </mdx>
    <mdx n="0" f="v">
      <t c="3">
        <n x="363"/>
        <n x="433"/>
        <n x="193"/>
      </t>
    </mdx>
    <mdx n="0" f="v">
      <t c="3">
        <n x="363"/>
        <n x="272"/>
        <n x="193"/>
      </t>
    </mdx>
    <mdx n="0" f="v">
      <t c="3">
        <n x="425"/>
        <n x="445"/>
        <n x="193"/>
      </t>
    </mdx>
    <mdx n="0" f="v">
      <t c="3">
        <n x="425"/>
        <n x="443"/>
        <n x="193"/>
      </t>
    </mdx>
    <mdx n="0" f="v">
      <t c="3">
        <n x="425"/>
        <n x="433"/>
        <n x="193"/>
      </t>
    </mdx>
    <mdx n="0" f="v">
      <t c="3">
        <n x="425"/>
        <n x="272"/>
        <n x="193"/>
      </t>
    </mdx>
    <mdx n="0" f="v">
      <t c="3">
        <n x="340"/>
        <n x="445"/>
        <n x="193"/>
      </t>
    </mdx>
    <mdx n="0" f="v">
      <t c="3">
        <n x="340"/>
        <n x="443"/>
        <n x="193"/>
      </t>
    </mdx>
    <mdx n="0" f="v">
      <t c="3">
        <n x="340"/>
        <n x="433"/>
        <n x="193"/>
      </t>
    </mdx>
    <mdx n="0" f="v">
      <t c="3">
        <n x="340"/>
        <n x="272"/>
        <n x="193"/>
      </t>
    </mdx>
    <mdx n="0" f="v">
      <t c="3">
        <n x="317"/>
        <n x="445"/>
        <n x="193"/>
      </t>
    </mdx>
    <mdx n="0" f="v">
      <t c="3">
        <n x="317"/>
        <n x="443"/>
        <n x="193"/>
      </t>
    </mdx>
    <mdx n="0" f="v">
      <t c="3">
        <n x="317"/>
        <n x="433"/>
        <n x="193"/>
      </t>
    </mdx>
    <mdx n="0" f="v">
      <t c="3">
        <n x="317"/>
        <n x="272"/>
        <n x="193"/>
      </t>
    </mdx>
    <mdx n="0" f="v">
      <t c="3">
        <n x="295"/>
        <n x="445"/>
        <n x="193"/>
      </t>
    </mdx>
    <mdx n="0" f="v">
      <t c="3">
        <n x="295"/>
        <n x="443"/>
        <n x="193"/>
      </t>
    </mdx>
    <mdx n="0" f="v">
      <t c="3">
        <n x="295"/>
        <n x="433"/>
        <n x="193"/>
      </t>
    </mdx>
    <mdx n="0" f="v">
      <t c="3">
        <n x="295"/>
        <n x="272"/>
        <n x="193"/>
      </t>
    </mdx>
    <mdx n="0" f="v">
      <t c="3">
        <n x="415"/>
        <n x="445"/>
        <n x="193"/>
      </t>
    </mdx>
    <mdx n="0" f="v">
      <t c="3">
        <n x="415"/>
        <n x="443"/>
        <n x="193"/>
      </t>
    </mdx>
    <mdx n="0" f="v">
      <t c="3">
        <n x="415"/>
        <n x="433"/>
        <n x="193"/>
      </t>
    </mdx>
    <mdx n="0" f="v">
      <t c="3">
        <n x="415"/>
        <n x="272"/>
        <n x="193"/>
      </t>
    </mdx>
    <mdx n="0" f="v">
      <t c="3">
        <n x="273"/>
        <n x="445"/>
        <n x="193"/>
      </t>
    </mdx>
    <mdx n="0" f="v">
      <t c="3">
        <n x="273"/>
        <n x="443"/>
        <n x="193"/>
      </t>
    </mdx>
    <mdx n="0" f="v">
      <t c="3">
        <n x="273"/>
        <n x="433"/>
        <n x="193"/>
      </t>
    </mdx>
    <mdx n="0" f="v">
      <t c="3">
        <n x="273"/>
        <n x="272"/>
        <n x="193"/>
      </t>
    </mdx>
    <mdx n="0" f="v">
      <t c="3">
        <n x="403"/>
        <n x="445"/>
        <n x="193"/>
      </t>
    </mdx>
    <mdx n="0" f="v">
      <t c="3">
        <n x="403"/>
        <n x="443"/>
        <n x="193"/>
      </t>
    </mdx>
    <mdx n="0" f="v">
      <t c="3">
        <n x="403"/>
        <n x="433"/>
        <n x="193"/>
      </t>
    </mdx>
    <mdx n="0" f="v">
      <t c="3">
        <n x="403"/>
        <n x="272"/>
        <n x="193"/>
      </t>
    </mdx>
    <mdx n="0" f="v">
      <t c="3">
        <n x="362"/>
        <n x="445"/>
        <n x="193"/>
      </t>
    </mdx>
    <mdx n="0" f="v">
      <t c="3">
        <n x="362"/>
        <n x="443"/>
        <n x="193"/>
      </t>
    </mdx>
    <mdx n="0" f="v">
      <t c="3">
        <n x="362"/>
        <n x="433"/>
        <n x="193"/>
      </t>
    </mdx>
    <mdx n="0" f="v">
      <t c="3">
        <n x="362"/>
        <n x="272"/>
        <n x="193"/>
      </t>
    </mdx>
    <mdx n="0" f="v">
      <t c="3">
        <n x="393"/>
        <n x="445"/>
        <n x="193"/>
      </t>
    </mdx>
    <mdx n="0" f="v">
      <t c="3">
        <n x="393"/>
        <n x="443"/>
        <n x="193"/>
      </t>
    </mdx>
    <mdx n="0" f="v">
      <t c="3">
        <n x="393"/>
        <n x="433"/>
        <n x="193"/>
      </t>
    </mdx>
    <mdx n="0" f="v">
      <t c="3">
        <n x="393"/>
        <n x="272"/>
        <n x="193"/>
      </t>
    </mdx>
    <mdx n="0" f="v">
      <t c="3">
        <n x="339"/>
        <n x="445"/>
        <n x="193"/>
      </t>
    </mdx>
    <mdx n="0" f="v">
      <t c="3">
        <n x="339"/>
        <n x="443"/>
        <n x="193"/>
      </t>
    </mdx>
    <mdx n="0" f="v">
      <t c="3">
        <n x="339"/>
        <n x="433"/>
        <n x="193"/>
      </t>
    </mdx>
    <mdx n="0" f="v">
      <t c="3">
        <n x="339"/>
        <n x="272"/>
        <n x="193"/>
      </t>
    </mdx>
    <mdx n="0" f="v">
      <t c="3">
        <n x="2"/>
        <n x="445"/>
        <n x="193"/>
      </t>
    </mdx>
    <mdx n="0" f="v">
      <t c="3">
        <n x="2"/>
        <n x="443"/>
        <n x="193"/>
      </t>
    </mdx>
    <mdx n="0" f="v">
      <t c="3">
        <n x="2"/>
        <n x="433"/>
        <n x="193"/>
      </t>
    </mdx>
    <mdx n="0" f="v">
      <t c="3">
        <n x="2"/>
        <n x="272"/>
        <n x="193"/>
      </t>
    </mdx>
    <mdx n="0" f="v">
      <t c="3">
        <n x="19"/>
        <n x="443"/>
        <n x="231"/>
      </t>
    </mdx>
    <mdx n="0" f="v">
      <t c="3">
        <n x="23"/>
        <n x="443"/>
        <n x="231"/>
      </t>
    </mdx>
    <mdx n="0" f="v">
      <t c="3">
        <n x="22"/>
        <n x="443"/>
        <n x="231"/>
      </t>
    </mdx>
    <mdx n="0" f="v">
      <t c="3">
        <n x="100"/>
        <n x="443"/>
        <n x="231"/>
      </t>
    </mdx>
    <mdx n="0" f="v">
      <t c="3">
        <n x="26"/>
        <n x="443"/>
        <n x="231"/>
      </t>
    </mdx>
    <mdx n="0" f="v">
      <t c="3">
        <n x="22"/>
        <n x="445"/>
        <n x="231"/>
      </t>
    </mdx>
    <mdx n="0" f="v">
      <t c="3">
        <n x="27"/>
        <n x="443"/>
        <n x="231"/>
      </t>
    </mdx>
    <mdx n="0" f="v">
      <t c="3">
        <n x="145"/>
        <n x="445"/>
        <n x="231"/>
      </t>
    </mdx>
    <mdx n="0" f="v">
      <t c="3">
        <n x="28"/>
        <n x="443"/>
        <n x="231"/>
      </t>
    </mdx>
    <mdx n="0" f="v">
      <t c="3">
        <n x="146"/>
        <n x="445"/>
        <n x="231"/>
      </t>
    </mdx>
    <mdx n="0" f="v">
      <t c="3">
        <n x="29"/>
        <n x="443"/>
        <n x="231"/>
      </t>
    </mdx>
    <mdx n="0" f="v">
      <t c="3">
        <n x="147"/>
        <n x="445"/>
        <n x="231"/>
      </t>
    </mdx>
    <mdx n="0" f="v">
      <t c="3">
        <n x="30"/>
        <n x="443"/>
        <n x="231"/>
      </t>
    </mdx>
    <mdx n="0" f="v">
      <t c="3">
        <n x="148"/>
        <n x="445"/>
        <n x="231"/>
      </t>
    </mdx>
    <mdx n="0" f="v">
      <t c="3">
        <n x="31"/>
        <n x="443"/>
        <n x="231"/>
      </t>
    </mdx>
    <mdx n="0" f="v">
      <t c="3">
        <n x="149"/>
        <n x="445"/>
        <n x="231"/>
      </t>
    </mdx>
    <mdx n="0" f="v">
      <t c="3">
        <n x="32"/>
        <n x="443"/>
        <n x="231"/>
      </t>
    </mdx>
    <mdx n="0" f="v">
      <t c="3">
        <n x="150"/>
        <n x="445"/>
        <n x="231"/>
      </t>
    </mdx>
    <mdx n="0" f="v">
      <t c="3">
        <n x="33"/>
        <n x="443"/>
        <n x="231"/>
      </t>
    </mdx>
    <mdx n="0" f="v">
      <t c="3">
        <n x="151"/>
        <n x="445"/>
        <n x="231"/>
      </t>
    </mdx>
    <mdx n="0" f="v">
      <t c="3">
        <n x="34"/>
        <n x="443"/>
        <n x="231"/>
      </t>
    </mdx>
    <mdx n="0" f="v">
      <t c="3">
        <n x="152"/>
        <n x="445"/>
        <n x="231"/>
      </t>
    </mdx>
    <mdx n="0" f="v">
      <t c="3">
        <n x="35"/>
        <n x="443"/>
        <n x="231"/>
      </t>
    </mdx>
    <mdx n="0" f="v">
      <t c="3">
        <n x="153"/>
        <n x="445"/>
        <n x="231"/>
      </t>
    </mdx>
    <mdx n="0" f="v">
      <t c="3">
        <n x="125"/>
        <n x="445"/>
        <n x="231"/>
      </t>
    </mdx>
    <mdx n="0" f="v">
      <t c="3">
        <n x="96"/>
        <n x="443"/>
        <n x="231"/>
      </t>
    </mdx>
    <mdx n="0" f="v">
      <t c="3">
        <n x="137"/>
        <n x="445"/>
        <n x="231"/>
      </t>
    </mdx>
    <mdx n="0" f="v">
      <t c="3">
        <n x="21"/>
        <n x="443"/>
        <n x="231"/>
      </t>
    </mdx>
    <mdx n="0" f="v">
      <t c="3">
        <n x="99"/>
        <n x="443"/>
        <n x="231"/>
      </t>
    </mdx>
    <mdx n="0" f="v">
      <t c="3">
        <n x="141"/>
        <n x="445"/>
        <n x="231"/>
      </t>
    </mdx>
    <mdx n="0" f="v">
      <t c="3">
        <n x="25"/>
        <n x="443"/>
        <n x="231"/>
      </t>
    </mdx>
    <mdx n="0" f="v">
      <t c="3">
        <n x="26"/>
        <n x="445"/>
        <n x="231"/>
      </t>
    </mdx>
    <mdx n="0" f="v">
      <t c="3">
        <n x="104"/>
        <n x="443"/>
        <n x="231"/>
      </t>
    </mdx>
    <mdx n="0" f="v">
      <t c="3">
        <n x="28"/>
        <n x="445"/>
        <n x="231"/>
      </t>
    </mdx>
    <mdx n="0" f="v">
      <t c="3">
        <n x="30"/>
        <n x="445"/>
        <n x="231"/>
      </t>
    </mdx>
    <mdx n="0" f="v">
      <t c="3">
        <n x="98"/>
        <n x="443"/>
        <n x="231"/>
      </t>
    </mdx>
    <mdx n="0" f="v">
      <t c="3">
        <n x="140"/>
        <n x="445"/>
        <n x="231"/>
      </t>
    </mdx>
    <mdx n="0" f="v">
      <t c="3">
        <n x="182"/>
        <n x="445"/>
        <n x="231"/>
      </t>
    </mdx>
    <mdx n="0" f="v">
      <t c="3">
        <n x="32"/>
        <n x="445"/>
        <n x="231"/>
      </t>
    </mdx>
    <mdx n="0" f="v">
      <t c="3">
        <n x="259"/>
        <n x="433"/>
        <n x="231"/>
      </t>
    </mdx>
    <mdx n="0" f="v">
      <t c="3">
        <n x="262"/>
        <n x="433"/>
        <n x="231"/>
      </t>
    </mdx>
    <mdx n="0" f="v">
      <t c="3">
        <n x="38"/>
        <n x="433"/>
        <n x="231"/>
      </t>
    </mdx>
    <mdx n="0" f="v">
      <t c="3">
        <n x="136"/>
        <n x="433"/>
        <n x="231"/>
      </t>
    </mdx>
    <mdx n="0" f="v">
      <t c="3">
        <n x="217"/>
        <n x="433"/>
        <n x="231"/>
      </t>
    </mdx>
    <mdx n="0" f="v">
      <t c="3">
        <n x="184"/>
        <n x="443"/>
        <n x="231"/>
      </t>
    </mdx>
    <mdx n="0" f="v">
      <t c="3">
        <n x="31"/>
        <n x="445"/>
        <n x="231"/>
      </t>
    </mdx>
    <mdx n="0" f="v">
      <t c="3">
        <n x="228"/>
        <n x="443"/>
        <n x="231"/>
      </t>
    </mdx>
    <mdx n="0" f="v">
      <t c="3">
        <n x="112"/>
        <n x="433"/>
        <n x="231"/>
      </t>
    </mdx>
    <mdx n="0" f="v">
      <t c="3">
        <n x="35"/>
        <n x="445"/>
        <n x="231"/>
      </t>
    </mdx>
    <mdx n="0" f="v">
      <t c="3">
        <n x="16"/>
        <n x="445"/>
        <n x="231"/>
      </t>
    </mdx>
    <mdx n="0" f="v">
      <t c="3">
        <n x="214"/>
        <n x="443"/>
        <n x="231"/>
      </t>
    </mdx>
    <mdx n="0" f="v">
      <t c="3">
        <n x="78"/>
        <n x="445"/>
        <n x="231"/>
      </t>
    </mdx>
    <mdx n="0" f="v">
      <t c="3">
        <n x="25"/>
        <n x="445"/>
        <n x="231"/>
      </t>
    </mdx>
    <mdx n="0" f="v">
      <t c="3">
        <n x="157"/>
        <n x="433"/>
        <n x="231"/>
      </t>
    </mdx>
    <mdx n="0" f="v">
      <t c="3">
        <n x="222"/>
        <n x="443"/>
        <n x="231"/>
      </t>
    </mdx>
    <mdx n="0" f="v">
      <t c="3">
        <n x="27"/>
        <n x="445"/>
        <n x="231"/>
      </t>
    </mdx>
    <mdx n="0" f="v">
      <t c="3">
        <n x="106"/>
        <n x="433"/>
        <n x="231"/>
      </t>
    </mdx>
    <mdx n="0" f="v">
      <t c="3">
        <n x="29"/>
        <n x="445"/>
        <n x="231"/>
      </t>
    </mdx>
    <mdx n="0" f="v">
      <t c="3">
        <n x="108"/>
        <n x="433"/>
        <n x="231"/>
      </t>
    </mdx>
    <mdx n="0" f="v">
      <t c="3">
        <n x="192"/>
        <n x="445"/>
        <n x="231"/>
      </t>
    </mdx>
    <mdx n="0" f="v">
      <t c="3">
        <n x="214"/>
        <n x="445"/>
        <n x="231"/>
      </t>
    </mdx>
    <mdx n="0" f="v">
      <t c="3">
        <n x="251"/>
        <n x="433"/>
        <n x="231"/>
      </t>
    </mdx>
    <mdx n="0" f="v">
      <t c="3">
        <n x="196"/>
        <n x="433"/>
        <n x="231"/>
      </t>
    </mdx>
    <mdx n="0" f="v">
      <t c="2">
        <n x="23"/>
        <n x="231"/>
      </t>
    </mdx>
    <mdx n="0" f="v">
      <t c="3">
        <n x="24"/>
        <n x="443"/>
        <n x="231"/>
      </t>
    </mdx>
    <mdx n="0" f="v">
      <t c="2">
        <n x="64"/>
        <n x="231"/>
      </t>
    </mdx>
    <mdx n="0" f="v">
      <t c="3">
        <n x="157"/>
        <n x="445"/>
        <n x="231"/>
      </t>
    </mdx>
    <mdx n="0" f="v">
      <t c="3">
        <n x="227"/>
        <n x="443"/>
        <n x="231"/>
      </t>
    </mdx>
    <mdx n="0" f="v">
      <t c="2">
        <n x="190"/>
        <n x="231"/>
      </t>
    </mdx>
    <mdx n="0" f="v">
      <t c="3">
        <n x="111"/>
        <n x="433"/>
        <n x="231"/>
      </t>
    </mdx>
    <mdx n="0" f="v">
      <t c="3">
        <n x="34"/>
        <n x="445"/>
        <n x="231"/>
      </t>
    </mdx>
    <mdx n="0" f="v">
      <t c="3">
        <n x="102"/>
        <n x="433"/>
        <n x="231"/>
      </t>
    </mdx>
    <mdx n="0" f="v">
      <t c="3">
        <n x="103"/>
        <n x="443"/>
        <n x="231"/>
      </t>
    </mdx>
    <mdx n="0" f="v">
      <t c="2">
        <n x="65"/>
        <n x="231"/>
      </t>
    </mdx>
    <mdx n="0" f="v">
      <t c="3">
        <n x="258"/>
        <n x="433"/>
        <n x="231"/>
      </t>
    </mdx>
    <mdx n="0" f="v">
      <t c="2">
        <n x="28"/>
        <n x="231"/>
      </t>
    </mdx>
    <mdx n="0" f="v">
      <t c="3">
        <n x="68"/>
        <n x="443"/>
        <n x="231"/>
      </t>
    </mdx>
    <mdx n="0" f="v">
      <t c="3">
        <n x="187"/>
        <n x="445"/>
        <n x="231"/>
      </t>
    </mdx>
    <mdx n="0" f="v">
      <t c="2">
        <n x="30"/>
        <n x="231"/>
      </t>
    </mdx>
    <mdx n="0" f="v">
      <t c="3">
        <n x="70"/>
        <n x="443"/>
        <n x="231"/>
      </t>
    </mdx>
    <mdx n="0" f="v">
      <t c="2">
        <n x="32"/>
        <n x="231"/>
      </t>
    </mdx>
    <mdx n="0" f="v">
      <t c="2">
        <n x="190"/>
        <n x="193"/>
      </t>
    </mdx>
    <mdx n="0" f="v">
      <t c="3">
        <n x="264"/>
        <n x="433"/>
        <n x="231"/>
      </t>
    </mdx>
    <mdx n="0" f="v">
      <t c="3">
        <n x="191"/>
        <n x="445"/>
        <n x="231"/>
      </t>
    </mdx>
    <mdx n="0" f="v">
      <t c="2">
        <n x="230"/>
        <n x="193"/>
      </t>
    </mdx>
    <mdx n="0" f="v">
      <t c="2">
        <n x="17"/>
        <n x="231"/>
      </t>
    </mdx>
    <mdx n="0" f="v">
      <t c="2">
        <n x="19"/>
        <n x="231"/>
      </t>
    </mdx>
    <mdx n="0" f="v">
      <t c="3">
        <n x="20"/>
        <n x="443"/>
        <n x="231"/>
      </t>
    </mdx>
    <mdx n="0" f="v">
      <t c="2">
        <n x="60"/>
        <n x="231"/>
      </t>
    </mdx>
    <mdx n="0" f="v">
      <t c="3">
        <n x="61"/>
        <n x="443"/>
        <n x="231"/>
      </t>
    </mdx>
    <mdx n="0" f="v">
      <t c="3">
        <n x="102"/>
        <n x="443"/>
        <n x="231"/>
      </t>
    </mdx>
    <mdx n="0" f="v">
      <t c="2">
        <n x="143"/>
        <n x="231"/>
      </t>
    </mdx>
    <mdx n="0" f="v">
      <t c="3">
        <n x="65"/>
        <n x="433"/>
        <n x="231"/>
      </t>
    </mdx>
    <mdx n="0" f="v">
      <t c="2">
        <n x="28"/>
        <n x="193"/>
      </t>
    </mdx>
    <mdx n="0" f="v">
      <t c="2">
        <n x="30"/>
        <n x="193"/>
      </t>
    </mdx>
    <mdx n="0" f="v">
      <t c="2">
        <n x="189"/>
        <n x="231"/>
      </t>
    </mdx>
    <mdx n="0" f="v">
      <t c="2">
        <n x="32"/>
        <n x="193"/>
      </t>
    </mdx>
    <mdx n="0" f="v">
      <t c="3">
        <n x="110"/>
        <n x="433"/>
        <n x="231"/>
      </t>
    </mdx>
    <mdx n="0" f="v">
      <t c="3">
        <n x="33"/>
        <n x="445"/>
        <n x="231"/>
      </t>
    </mdx>
    <mdx n="0" f="v">
      <t c="2">
        <n x="73"/>
        <n x="193"/>
      </t>
    </mdx>
    <mdx n="0" f="v">
      <t c="3">
        <n x="230"/>
        <n x="443"/>
        <n x="231"/>
      </t>
    </mdx>
    <mdx n="0" f="v">
      <t c="3">
        <n x="21"/>
        <n x="445"/>
        <n x="231"/>
      </t>
    </mdx>
    <mdx n="0" f="v">
      <t c="2">
        <n x="393"/>
        <n x="193"/>
      </t>
    </mdx>
    <mdx n="0" f="v">
      <t c="3">
        <n x="393"/>
        <n x="272"/>
        <n x="231"/>
      </t>
    </mdx>
    <mdx n="0" f="v">
      <t c="3">
        <n x="393"/>
        <n x="445"/>
        <n x="231"/>
      </t>
    </mdx>
    <mdx n="0" f="v">
      <t c="2">
        <n x="393"/>
        <n x="231"/>
      </t>
    </mdx>
    <mdx n="0" f="v">
      <t c="3">
        <n x="393"/>
        <n x="443"/>
        <n x="231"/>
      </t>
    </mdx>
    <mdx n="0" f="v">
      <t c="3">
        <n x="393"/>
        <n x="433"/>
        <n x="231"/>
      </t>
    </mdx>
    <mdx n="0" f="v">
      <t c="2">
        <n x="425"/>
        <n x="193"/>
      </t>
    </mdx>
    <mdx n="0" f="v">
      <t c="3">
        <n x="425"/>
        <n x="272"/>
        <n x="231"/>
      </t>
    </mdx>
    <mdx n="0" f="v">
      <t c="3">
        <n x="425"/>
        <n x="445"/>
        <n x="231"/>
      </t>
    </mdx>
    <mdx n="0" f="v">
      <t c="2">
        <n x="425"/>
        <n x="231"/>
      </t>
    </mdx>
    <mdx n="0" f="v">
      <t c="3">
        <n x="425"/>
        <n x="443"/>
        <n x="231"/>
      </t>
    </mdx>
    <mdx n="0" f="v">
      <t c="3">
        <n x="425"/>
        <n x="433"/>
        <n x="231"/>
      </t>
    </mdx>
    <mdx n="0" f="v">
      <t c="2">
        <n x="446"/>
        <n x="193"/>
      </t>
    </mdx>
    <mdx n="0" f="v">
      <t c="3">
        <n x="446"/>
        <n x="272"/>
        <n x="231"/>
      </t>
    </mdx>
    <mdx n="0" f="v">
      <t c="3">
        <n x="446"/>
        <n x="445"/>
        <n x="231"/>
      </t>
    </mdx>
    <mdx n="0" f="v">
      <t c="2">
        <n x="446"/>
        <n x="231"/>
      </t>
    </mdx>
    <mdx n="0" f="v">
      <t c="3">
        <n x="446"/>
        <n x="443"/>
        <n x="231"/>
      </t>
    </mdx>
    <mdx n="0" f="v">
      <t c="3">
        <n x="446"/>
        <n x="433"/>
        <n x="231"/>
      </t>
    </mdx>
    <mdx n="0" f="v">
      <t c="2">
        <n x="404"/>
        <n x="193"/>
      </t>
    </mdx>
    <mdx n="0" f="v">
      <t c="3">
        <n x="404"/>
        <n x="272"/>
        <n x="231"/>
      </t>
    </mdx>
    <mdx n="0" f="v">
      <t c="3">
        <n x="404"/>
        <n x="445"/>
        <n x="231"/>
      </t>
    </mdx>
    <mdx n="0" f="v">
      <t c="2">
        <n x="404"/>
        <n x="231"/>
      </t>
    </mdx>
    <mdx n="0" f="v">
      <t c="3">
        <n x="404"/>
        <n x="443"/>
        <n x="231"/>
      </t>
    </mdx>
    <mdx n="0" f="v">
      <t c="3">
        <n x="404"/>
        <n x="433"/>
        <n x="231"/>
      </t>
    </mdx>
    <mdx n="0" f="v">
      <t c="2">
        <n x="436"/>
        <n x="193"/>
      </t>
    </mdx>
    <mdx n="0" f="v">
      <t c="3">
        <n x="436"/>
        <n x="272"/>
        <n x="231"/>
      </t>
    </mdx>
    <mdx n="0" f="v">
      <t c="3">
        <n x="436"/>
        <n x="445"/>
        <n x="231"/>
      </t>
    </mdx>
    <mdx n="0" f="v">
      <t c="2">
        <n x="436"/>
        <n x="231"/>
      </t>
    </mdx>
    <mdx n="0" f="v">
      <t c="3">
        <n x="436"/>
        <n x="443"/>
        <n x="231"/>
      </t>
    </mdx>
    <mdx n="0" f="v">
      <t c="3">
        <n x="436"/>
        <n x="433"/>
        <n x="231"/>
      </t>
    </mdx>
    <mdx n="0" f="v">
      <t c="3">
        <n x="385"/>
        <n x="272"/>
        <n x="231"/>
      </t>
    </mdx>
    <mdx n="0" f="v">
      <t c="2">
        <n x="385"/>
        <n x="193"/>
      </t>
    </mdx>
    <mdx n="0" f="v">
      <t c="3">
        <n x="385"/>
        <n x="445"/>
        <n x="231"/>
      </t>
    </mdx>
    <mdx n="0" f="v">
      <t c="2">
        <n x="385"/>
        <n x="231"/>
      </t>
    </mdx>
    <mdx n="0" f="v">
      <t c="3">
        <n x="385"/>
        <n x="443"/>
        <n x="231"/>
      </t>
    </mdx>
    <mdx n="0" f="v">
      <t c="3">
        <n x="385"/>
        <n x="433"/>
        <n x="231"/>
      </t>
    </mdx>
    <mdx n="0" f="v">
      <t c="3">
        <n x="417"/>
        <n x="272"/>
        <n x="231"/>
      </t>
    </mdx>
    <mdx n="0" f="v">
      <t c="2">
        <n x="417"/>
        <n x="193"/>
      </t>
    </mdx>
    <mdx n="0" f="v">
      <t c="3">
        <n x="417"/>
        <n x="445"/>
        <n x="231"/>
      </t>
    </mdx>
    <mdx n="0" f="v">
      <t c="2">
        <n x="417"/>
        <n x="231"/>
      </t>
    </mdx>
    <mdx n="0" f="v">
      <t c="3">
        <n x="417"/>
        <n x="443"/>
        <n x="231"/>
      </t>
    </mdx>
    <mdx n="0" f="v">
      <t c="3">
        <n x="417"/>
        <n x="433"/>
        <n x="231"/>
      </t>
    </mdx>
    <mdx n="0" f="v">
      <t c="3">
        <n x="392"/>
        <n x="272"/>
        <n x="231"/>
      </t>
    </mdx>
    <mdx n="0" f="v">
      <t c="2">
        <n x="392"/>
        <n x="193"/>
      </t>
    </mdx>
    <mdx n="0" f="v">
      <t c="3">
        <n x="392"/>
        <n x="445"/>
        <n x="231"/>
      </t>
    </mdx>
    <mdx n="0" f="v">
      <t c="2">
        <n x="392"/>
        <n x="231"/>
      </t>
    </mdx>
    <mdx n="0" f="v">
      <t c="3">
        <n x="392"/>
        <n x="443"/>
        <n x="231"/>
      </t>
    </mdx>
    <mdx n="0" f="v">
      <t c="3">
        <n x="392"/>
        <n x="433"/>
        <n x="231"/>
      </t>
    </mdx>
    <mdx n="0" f="v">
      <t c="3">
        <n x="396"/>
        <n x="272"/>
        <n x="231"/>
      </t>
    </mdx>
    <mdx n="0" f="v">
      <t c="2">
        <n x="396"/>
        <n x="193"/>
      </t>
    </mdx>
    <mdx n="0" f="v">
      <t c="3">
        <n x="396"/>
        <n x="445"/>
        <n x="231"/>
      </t>
    </mdx>
    <mdx n="0" f="v">
      <t c="2">
        <n x="396"/>
        <n x="231"/>
      </t>
    </mdx>
    <mdx n="0" f="v">
      <t c="3">
        <n x="396"/>
        <n x="443"/>
        <n x="231"/>
      </t>
    </mdx>
    <mdx n="0" f="v">
      <t c="3">
        <n x="396"/>
        <n x="433"/>
        <n x="231"/>
      </t>
    </mdx>
    <mdx n="0" f="v">
      <t c="3">
        <n x="428"/>
        <n x="272"/>
        <n x="231"/>
      </t>
    </mdx>
    <mdx n="0" f="v">
      <t c="2">
        <n x="428"/>
        <n x="193"/>
      </t>
    </mdx>
    <mdx n="0" f="v">
      <t c="3">
        <n x="428"/>
        <n x="445"/>
        <n x="231"/>
      </t>
    </mdx>
    <mdx n="0" f="v">
      <t c="2">
        <n x="428"/>
        <n x="231"/>
      </t>
    </mdx>
    <mdx n="0" f="v">
      <t c="3">
        <n x="428"/>
        <n x="443"/>
        <n x="231"/>
      </t>
    </mdx>
    <mdx n="0" f="v">
      <t c="3">
        <n x="428"/>
        <n x="433"/>
        <n x="231"/>
      </t>
    </mdx>
    <mdx n="0" f="v">
      <t c="2">
        <n x="449"/>
        <n x="193"/>
      </t>
    </mdx>
    <mdx n="0" f="v">
      <t c="3">
        <n x="449"/>
        <n x="272"/>
        <n x="231"/>
      </t>
    </mdx>
    <mdx n="0" f="v">
      <t c="3">
        <n x="449"/>
        <n x="445"/>
        <n x="231"/>
      </t>
    </mdx>
    <mdx n="0" f="v">
      <t c="2">
        <n x="449"/>
        <n x="231"/>
      </t>
    </mdx>
    <mdx n="0" f="v">
      <t c="3">
        <n x="449"/>
        <n x="443"/>
        <n x="231"/>
      </t>
    </mdx>
    <mdx n="0" f="v">
      <t c="3">
        <n x="449"/>
        <n x="433"/>
        <n x="231"/>
      </t>
    </mdx>
    <mdx n="0" f="v">
      <t c="3">
        <n x="407"/>
        <n x="272"/>
        <n x="231"/>
      </t>
    </mdx>
    <mdx n="0" f="v">
      <t c="2">
        <n x="407"/>
        <n x="231"/>
      </t>
    </mdx>
    <mdx n="0" f="v">
      <t c="2">
        <n x="407"/>
        <n x="193"/>
      </t>
    </mdx>
    <mdx n="0" f="v">
      <t c="3">
        <n x="407"/>
        <n x="445"/>
        <n x="231"/>
      </t>
    </mdx>
    <mdx n="0" f="v">
      <t c="3">
        <n x="407"/>
        <n x="443"/>
        <n x="231"/>
      </t>
    </mdx>
    <mdx n="0" f="v">
      <t c="3">
        <n x="407"/>
        <n x="433"/>
        <n x="231"/>
      </t>
    </mdx>
    <mdx n="0" f="v">
      <t c="3">
        <n x="439"/>
        <n x="272"/>
        <n x="231"/>
      </t>
    </mdx>
    <mdx n="0" f="v">
      <t c="2">
        <n x="439"/>
        <n x="193"/>
      </t>
    </mdx>
    <mdx n="0" f="v">
      <t c="2">
        <n x="439"/>
        <n x="231"/>
      </t>
    </mdx>
    <mdx n="0" f="v">
      <t c="3">
        <n x="439"/>
        <n x="445"/>
        <n x="231"/>
      </t>
    </mdx>
    <mdx n="0" f="v">
      <t c="3">
        <n x="439"/>
        <n x="443"/>
        <n x="231"/>
      </t>
    </mdx>
    <mdx n="0" f="v">
      <t c="3">
        <n x="439"/>
        <n x="433"/>
        <n x="231"/>
      </t>
    </mdx>
    <mdx n="0" f="v">
      <t c="3">
        <n x="388"/>
        <n x="272"/>
        <n x="231"/>
      </t>
    </mdx>
    <mdx n="0" f="v">
      <t c="2">
        <n x="388"/>
        <n x="193"/>
      </t>
    </mdx>
    <mdx n="0" f="v">
      <t c="3">
        <n x="388"/>
        <n x="445"/>
        <n x="231"/>
      </t>
    </mdx>
    <mdx n="0" f="v">
      <t c="2">
        <n x="388"/>
        <n x="231"/>
      </t>
    </mdx>
    <mdx n="0" f="v">
      <t c="3">
        <n x="388"/>
        <n x="443"/>
        <n x="231"/>
      </t>
    </mdx>
    <mdx n="0" f="v">
      <t c="3">
        <n x="388"/>
        <n x="433"/>
        <n x="231"/>
      </t>
    </mdx>
    <mdx n="0" f="v">
      <t c="3">
        <n x="420"/>
        <n x="272"/>
        <n x="231"/>
      </t>
    </mdx>
    <mdx n="0" f="v">
      <t c="2">
        <n x="420"/>
        <n x="193"/>
      </t>
    </mdx>
    <mdx n="0" f="v">
      <t c="3">
        <n x="420"/>
        <n x="445"/>
        <n x="231"/>
      </t>
    </mdx>
    <mdx n="0" f="v">
      <t c="2">
        <n x="420"/>
        <n x="231"/>
      </t>
    </mdx>
    <mdx n="0" f="v">
      <t c="3">
        <n x="420"/>
        <n x="443"/>
        <n x="231"/>
      </t>
    </mdx>
    <mdx n="0" f="v">
      <t c="3">
        <n x="420"/>
        <n x="433"/>
        <n x="231"/>
      </t>
    </mdx>
    <mdx n="0" f="v">
      <t c="3">
        <n x="434"/>
        <n x="272"/>
        <n x="231"/>
      </t>
    </mdx>
    <mdx n="0" f="v">
      <t c="2">
        <n x="434"/>
        <n x="193"/>
      </t>
    </mdx>
    <mdx n="0" f="v">
      <t c="3">
        <n x="434"/>
        <n x="445"/>
        <n x="231"/>
      </t>
    </mdx>
    <mdx n="0" f="v">
      <t c="2">
        <n x="434"/>
        <n x="231"/>
      </t>
    </mdx>
    <mdx n="0" f="v">
      <t c="3">
        <n x="434"/>
        <n x="443"/>
        <n x="231"/>
      </t>
    </mdx>
    <mdx n="0" f="v">
      <t c="3">
        <n x="434"/>
        <n x="433"/>
        <n x="231"/>
      </t>
    </mdx>
    <mdx n="0" f="v">
      <t c="3">
        <n x="399"/>
        <n x="272"/>
        <n x="231"/>
      </t>
    </mdx>
    <mdx n="0" f="v">
      <t c="2">
        <n x="399"/>
        <n x="193"/>
      </t>
    </mdx>
    <mdx n="0" f="v">
      <t c="3">
        <n x="399"/>
        <n x="445"/>
        <n x="231"/>
      </t>
    </mdx>
    <mdx n="0" f="v">
      <t c="2">
        <n x="399"/>
        <n x="231"/>
      </t>
    </mdx>
    <mdx n="0" f="v">
      <t c="3">
        <n x="399"/>
        <n x="443"/>
        <n x="231"/>
      </t>
    </mdx>
    <mdx n="0" f="v">
      <t c="3">
        <n x="399"/>
        <n x="433"/>
        <n x="231"/>
      </t>
    </mdx>
    <mdx n="0" f="v">
      <t c="3">
        <n x="431"/>
        <n x="272"/>
        <n x="231"/>
      </t>
    </mdx>
    <mdx n="0" f="v">
      <t c="2">
        <n x="431"/>
        <n x="193"/>
      </t>
    </mdx>
    <mdx n="0" f="v">
      <t c="3">
        <n x="431"/>
        <n x="445"/>
        <n x="231"/>
      </t>
    </mdx>
    <mdx n="0" f="v">
      <t c="2">
        <n x="431"/>
        <n x="231"/>
      </t>
    </mdx>
    <mdx n="0" f="v">
      <t c="3">
        <n x="431"/>
        <n x="443"/>
        <n x="231"/>
      </t>
    </mdx>
    <mdx n="0" f="v">
      <t c="3">
        <n x="431"/>
        <n x="433"/>
        <n x="231"/>
      </t>
    </mdx>
    <mdx n="0" f="v">
      <t c="3">
        <n x="452"/>
        <n x="272"/>
        <n x="231"/>
      </t>
    </mdx>
    <mdx n="0" f="v">
      <t c="2">
        <n x="452"/>
        <n x="193"/>
      </t>
    </mdx>
    <mdx n="0" f="v">
      <t c="3">
        <n x="452"/>
        <n x="445"/>
        <n x="231"/>
      </t>
    </mdx>
    <mdx n="0" f="v">
      <t c="2">
        <n x="452"/>
        <n x="231"/>
      </t>
    </mdx>
    <mdx n="0" f="v">
      <t c="3">
        <n x="452"/>
        <n x="443"/>
        <n x="231"/>
      </t>
    </mdx>
    <mdx n="0" f="v">
      <t c="3">
        <n x="452"/>
        <n x="433"/>
        <n x="231"/>
      </t>
    </mdx>
    <mdx n="0" f="v">
      <t c="2">
        <n x="410"/>
        <n x="193"/>
      </t>
    </mdx>
    <mdx n="0" f="v">
      <t c="3">
        <n x="410"/>
        <n x="443"/>
        <n x="231"/>
      </t>
    </mdx>
    <mdx n="0" f="v">
      <t c="3">
        <n x="410"/>
        <n x="272"/>
        <n x="231"/>
      </t>
    </mdx>
    <mdx n="0" f="v">
      <t c="3">
        <n x="410"/>
        <n x="445"/>
        <n x="231"/>
      </t>
    </mdx>
    <mdx n="0" f="v">
      <t c="2">
        <n x="410"/>
        <n x="231"/>
      </t>
    </mdx>
    <mdx n="0" f="v">
      <t c="3">
        <n x="410"/>
        <n x="433"/>
        <n x="231"/>
      </t>
    </mdx>
    <mdx n="0" f="v">
      <t c="3">
        <n x="442"/>
        <n x="443"/>
        <n x="231"/>
      </t>
    </mdx>
    <mdx n="0" f="v">
      <t c="3">
        <n x="442"/>
        <n x="272"/>
        <n x="231"/>
      </t>
    </mdx>
    <mdx n="0" f="v">
      <t c="2">
        <n x="442"/>
        <n x="193"/>
      </t>
    </mdx>
    <mdx n="0" f="v">
      <t c="3">
        <n x="442"/>
        <n x="445"/>
        <n x="231"/>
      </t>
    </mdx>
    <mdx n="0" f="v">
      <t c="2">
        <n x="442"/>
        <n x="231"/>
      </t>
    </mdx>
    <mdx n="0" f="v">
      <t c="3">
        <n x="442"/>
        <n x="433"/>
        <n x="231"/>
      </t>
    </mdx>
    <mdx n="0" f="v">
      <t c="3">
        <n x="391"/>
        <n x="445"/>
        <n x="231"/>
      </t>
    </mdx>
    <mdx n="0" f="v">
      <t c="2">
        <n x="391"/>
        <n x="193"/>
      </t>
    </mdx>
    <mdx n="0" f="v">
      <t c="2">
        <n x="391"/>
        <n x="231"/>
      </t>
    </mdx>
    <mdx n="0" f="v">
      <t c="3">
        <n x="391"/>
        <n x="443"/>
        <n x="231"/>
      </t>
    </mdx>
    <mdx n="0" f="v">
      <t c="3">
        <n x="391"/>
        <n x="272"/>
        <n x="231"/>
      </t>
    </mdx>
    <mdx n="0" f="v">
      <t c="3">
        <n x="391"/>
        <n x="433"/>
        <n x="231"/>
      </t>
    </mdx>
    <mdx n="0" f="v">
      <t c="3">
        <n x="423"/>
        <n x="443"/>
        <n x="231"/>
      </t>
    </mdx>
    <mdx n="0" f="v">
      <t c="3">
        <n x="423"/>
        <n x="433"/>
        <n x="231"/>
      </t>
    </mdx>
    <mdx n="0" f="v">
      <t c="3">
        <n x="423"/>
        <n x="272"/>
        <n x="231"/>
      </t>
    </mdx>
    <mdx n="0" f="v">
      <t c="2">
        <n x="423"/>
        <n x="193"/>
      </t>
    </mdx>
    <mdx n="0" f="v">
      <t c="3">
        <n x="423"/>
        <n x="445"/>
        <n x="231"/>
      </t>
    </mdx>
    <mdx n="0" f="v">
      <t c="2">
        <n x="423"/>
        <n x="231"/>
      </t>
    </mdx>
    <mdx n="0" f="v">
      <t c="3">
        <n x="3"/>
        <n x="433"/>
        <n x="231"/>
      </t>
    </mdx>
    <mdx n="0" f="v">
      <t c="3">
        <n x="3"/>
        <n x="443"/>
        <n x="231"/>
      </t>
    </mdx>
    <mdx n="0" f="v">
      <t c="3">
        <n x="3"/>
        <n x="272"/>
        <n x="231"/>
      </t>
    </mdx>
    <mdx n="0" f="v">
      <t c="2">
        <n x="3"/>
        <n x="193"/>
      </t>
    </mdx>
    <mdx n="0" f="v">
      <t c="3">
        <n x="3"/>
        <n x="445"/>
        <n x="231"/>
      </t>
    </mdx>
    <mdx n="0" f="v">
      <t c="2">
        <n x="3"/>
        <n x="231"/>
      </t>
    </mdx>
    <mdx n="0" f="v">
      <t c="3">
        <n x="4"/>
        <n x="443"/>
        <n x="231"/>
      </t>
    </mdx>
    <mdx n="0" f="v">
      <t c="3">
        <n x="4"/>
        <n x="433"/>
        <n x="231"/>
      </t>
    </mdx>
    <mdx n="0" f="v">
      <t c="3">
        <n x="4"/>
        <n x="272"/>
        <n x="231"/>
      </t>
    </mdx>
    <mdx n="0" f="v">
      <t c="2">
        <n x="4"/>
        <n x="193"/>
      </t>
    </mdx>
    <mdx n="0" f="v">
      <t c="3">
        <n x="4"/>
        <n x="445"/>
        <n x="231"/>
      </t>
    </mdx>
    <mdx n="0" f="v">
      <t c="2">
        <n x="4"/>
        <n x="231"/>
      </t>
    </mdx>
    <mdx n="0" f="v">
      <t c="3">
        <n x="5"/>
        <n x="443"/>
        <n x="231"/>
      </t>
    </mdx>
    <mdx n="0" f="v">
      <t c="3">
        <n x="5"/>
        <n x="433"/>
        <n x="231"/>
      </t>
    </mdx>
    <mdx n="0" f="v">
      <t c="3">
        <n x="5"/>
        <n x="272"/>
        <n x="231"/>
      </t>
    </mdx>
    <mdx n="0" f="v">
      <t c="2">
        <n x="5"/>
        <n x="193"/>
      </t>
    </mdx>
    <mdx n="0" f="v">
      <t c="3">
        <n x="5"/>
        <n x="445"/>
        <n x="231"/>
      </t>
    </mdx>
    <mdx n="0" f="v">
      <t c="2">
        <n x="5"/>
        <n x="231"/>
      </t>
    </mdx>
    <mdx n="0" f="v">
      <t c="3">
        <n x="6"/>
        <n x="443"/>
        <n x="231"/>
      </t>
    </mdx>
    <mdx n="0" f="v">
      <t c="3">
        <n x="6"/>
        <n x="433"/>
        <n x="231"/>
      </t>
    </mdx>
    <mdx n="0" f="v">
      <t c="3">
        <n x="6"/>
        <n x="272"/>
        <n x="231"/>
      </t>
    </mdx>
    <mdx n="0" f="v">
      <t c="2">
        <n x="6"/>
        <n x="193"/>
      </t>
    </mdx>
    <mdx n="0" f="v">
      <t c="3">
        <n x="6"/>
        <n x="445"/>
        <n x="231"/>
      </t>
    </mdx>
    <mdx n="0" f="v">
      <t c="2">
        <n x="6"/>
        <n x="231"/>
      </t>
    </mdx>
    <mdx n="0" f="v">
      <t c="3">
        <n x="7"/>
        <n x="445"/>
        <n x="231"/>
      </t>
    </mdx>
    <mdx n="0" f="v">
      <t c="3">
        <n x="7"/>
        <n x="443"/>
        <n x="231"/>
      </t>
    </mdx>
    <mdx n="0" f="v">
      <t c="3">
        <n x="7"/>
        <n x="433"/>
        <n x="231"/>
      </t>
    </mdx>
    <mdx n="0" f="v">
      <t c="2">
        <n x="7"/>
        <n x="231"/>
      </t>
    </mdx>
    <mdx n="0" f="v">
      <t c="3">
        <n x="7"/>
        <n x="272"/>
        <n x="231"/>
      </t>
    </mdx>
    <mdx n="0" f="v">
      <t c="2">
        <n x="7"/>
        <n x="193"/>
      </t>
    </mdx>
    <mdx n="0" f="v">
      <t c="3">
        <n x="8"/>
        <n x="433"/>
        <n x="231"/>
      </t>
    </mdx>
    <mdx n="0" f="v">
      <t c="3">
        <n x="8"/>
        <n x="272"/>
        <n x="231"/>
      </t>
    </mdx>
    <mdx n="0" f="v">
      <t c="2">
        <n x="8"/>
        <n x="193"/>
      </t>
    </mdx>
    <mdx n="0" f="v">
      <t c="3">
        <n x="8"/>
        <n x="445"/>
        <n x="231"/>
      </t>
    </mdx>
    <mdx n="0" f="v">
      <t c="2">
        <n x="8"/>
        <n x="231"/>
      </t>
    </mdx>
    <mdx n="0" f="v">
      <t c="3">
        <n x="8"/>
        <n x="443"/>
        <n x="231"/>
      </t>
    </mdx>
    <mdx n="0" f="v">
      <t c="3">
        <n x="9"/>
        <n x="433"/>
        <n x="231"/>
      </t>
    </mdx>
    <mdx n="0" f="v">
      <t c="3">
        <n x="9"/>
        <n x="272"/>
        <n x="231"/>
      </t>
    </mdx>
    <mdx n="0" f="v">
      <t c="2">
        <n x="9"/>
        <n x="193"/>
      </t>
    </mdx>
    <mdx n="0" f="v">
      <t c="3">
        <n x="9"/>
        <n x="445"/>
        <n x="231"/>
      </t>
    </mdx>
    <mdx n="0" f="v">
      <t c="2">
        <n x="9"/>
        <n x="231"/>
      </t>
    </mdx>
    <mdx n="0" f="v">
      <t c="3">
        <n x="9"/>
        <n x="443"/>
        <n x="231"/>
      </t>
    </mdx>
    <mdx n="0" f="v">
      <t c="3">
        <n x="10"/>
        <n x="433"/>
        <n x="231"/>
      </t>
    </mdx>
    <mdx n="0" f="v">
      <t c="3">
        <n x="10"/>
        <n x="272"/>
        <n x="231"/>
      </t>
    </mdx>
    <mdx n="0" f="v">
      <t c="2">
        <n x="10"/>
        <n x="193"/>
      </t>
    </mdx>
    <mdx n="0" f="v">
      <t c="3">
        <n x="10"/>
        <n x="445"/>
        <n x="231"/>
      </t>
    </mdx>
    <mdx n="0" f="v">
      <t c="2">
        <n x="10"/>
        <n x="231"/>
      </t>
    </mdx>
    <mdx n="0" f="v">
      <t c="3">
        <n x="10"/>
        <n x="443"/>
        <n x="231"/>
      </t>
    </mdx>
    <mdx n="0" f="v">
      <t c="3">
        <n x="11"/>
        <n x="433"/>
        <n x="231"/>
      </t>
    </mdx>
    <mdx n="0" f="v">
      <t c="3">
        <n x="11"/>
        <n x="272"/>
        <n x="231"/>
      </t>
    </mdx>
    <mdx n="0" f="v">
      <t c="2">
        <n x="11"/>
        <n x="193"/>
      </t>
    </mdx>
    <mdx n="0" f="v">
      <t c="3">
        <n x="11"/>
        <n x="445"/>
        <n x="231"/>
      </t>
    </mdx>
    <mdx n="0" f="v">
      <t c="2">
        <n x="11"/>
        <n x="231"/>
      </t>
    </mdx>
    <mdx n="0" f="v">
      <t c="3">
        <n x="11"/>
        <n x="443"/>
        <n x="231"/>
      </t>
    </mdx>
    <mdx n="0" f="v">
      <t c="3">
        <n x="12"/>
        <n x="433"/>
        <n x="231"/>
      </t>
    </mdx>
    <mdx n="0" f="v">
      <t c="3">
        <n x="12"/>
        <n x="272"/>
        <n x="231"/>
      </t>
    </mdx>
    <mdx n="0" f="v">
      <t c="2">
        <n x="12"/>
        <n x="193"/>
      </t>
    </mdx>
    <mdx n="0" f="v">
      <t c="3">
        <n x="12"/>
        <n x="445"/>
        <n x="231"/>
      </t>
    </mdx>
    <mdx n="0" f="v">
      <t c="2">
        <n x="12"/>
        <n x="231"/>
      </t>
    </mdx>
    <mdx n="0" f="v">
      <t c="3">
        <n x="12"/>
        <n x="443"/>
        <n x="231"/>
      </t>
    </mdx>
    <mdx n="0" f="v">
      <t c="3">
        <n x="13"/>
        <n x="433"/>
        <n x="231"/>
      </t>
    </mdx>
    <mdx n="0" f="v">
      <t c="3">
        <n x="13"/>
        <n x="272"/>
        <n x="231"/>
      </t>
    </mdx>
    <mdx n="0" f="v">
      <t c="2">
        <n x="13"/>
        <n x="193"/>
      </t>
    </mdx>
    <mdx n="0" f="v">
      <t c="3">
        <n x="13"/>
        <n x="445"/>
        <n x="231"/>
      </t>
    </mdx>
    <mdx n="0" f="v">
      <t c="2">
        <n x="13"/>
        <n x="231"/>
      </t>
    </mdx>
    <mdx n="0" f="v">
      <t c="3">
        <n x="13"/>
        <n x="443"/>
        <n x="231"/>
      </t>
    </mdx>
    <mdx n="0" f="v">
      <t c="3">
        <n x="14"/>
        <n x="433"/>
        <n x="231"/>
      </t>
    </mdx>
    <mdx n="0" f="v">
      <t c="3">
        <n x="14"/>
        <n x="272"/>
        <n x="231"/>
      </t>
    </mdx>
    <mdx n="0" f="v">
      <t c="2">
        <n x="14"/>
        <n x="193"/>
      </t>
    </mdx>
    <mdx n="0" f="v">
      <t c="3">
        <n x="14"/>
        <n x="445"/>
        <n x="231"/>
      </t>
    </mdx>
    <mdx n="0" f="v">
      <t c="2">
        <n x="14"/>
        <n x="231"/>
      </t>
    </mdx>
    <mdx n="0" f="v">
      <t c="3">
        <n x="14"/>
        <n x="443"/>
        <n x="231"/>
      </t>
    </mdx>
    <mdx n="0" f="v">
      <t c="3">
        <n x="15"/>
        <n x="433"/>
        <n x="231"/>
      </t>
    </mdx>
    <mdx n="0" f="v">
      <t c="3">
        <n x="15"/>
        <n x="272"/>
        <n x="231"/>
      </t>
    </mdx>
    <mdx n="0" f="v">
      <t c="2">
        <n x="15"/>
        <n x="193"/>
      </t>
    </mdx>
    <mdx n="0" f="v">
      <t c="3">
        <n x="15"/>
        <n x="445"/>
        <n x="231"/>
      </t>
    </mdx>
    <mdx n="0" f="v">
      <t c="2">
        <n x="15"/>
        <n x="231"/>
      </t>
    </mdx>
    <mdx n="0" f="v">
      <t c="3">
        <n x="15"/>
        <n x="443"/>
        <n x="231"/>
      </t>
    </mdx>
    <mdx n="0" f="v">
      <t c="2">
        <n x="16"/>
        <n x="193"/>
      </t>
    </mdx>
    <mdx n="0" f="v">
      <t c="3">
        <n x="16"/>
        <n x="443"/>
        <n x="231"/>
      </t>
    </mdx>
    <mdx n="0" f="v">
      <t c="3">
        <n x="16"/>
        <n x="433"/>
        <n x="231"/>
      </t>
    </mdx>
    <mdx n="0" f="v">
      <t c="3">
        <n x="16"/>
        <n x="272"/>
        <n x="231"/>
      </t>
    </mdx>
    <mdx n="0" f="v">
      <t c="3">
        <n x="17"/>
        <n x="445"/>
        <n x="231"/>
      </t>
    </mdx>
    <mdx n="0" f="v">
      <t c="2">
        <n x="17"/>
        <n x="193"/>
      </t>
    </mdx>
    <mdx n="0" f="v">
      <t c="3">
        <n x="17"/>
        <n x="443"/>
        <n x="231"/>
      </t>
    </mdx>
    <mdx n="0" f="v">
      <t c="3">
        <n x="17"/>
        <n x="433"/>
        <n x="231"/>
      </t>
    </mdx>
    <mdx n="0" f="v">
      <t c="3">
        <n x="17"/>
        <n x="272"/>
        <n x="231"/>
      </t>
    </mdx>
    <mdx n="0" f="v">
      <t c="2">
        <n x="18"/>
        <n x="193"/>
      </t>
    </mdx>
    <mdx n="0" f="v">
      <t c="3">
        <n x="18"/>
        <n x="443"/>
        <n x="231"/>
      </t>
    </mdx>
    <mdx n="0" f="v">
      <t c="3">
        <n x="18"/>
        <n x="433"/>
        <n x="231"/>
      </t>
    </mdx>
    <mdx n="0" f="v">
      <t c="3">
        <n x="18"/>
        <n x="272"/>
        <n x="231"/>
      </t>
    </mdx>
    <mdx n="0" f="v">
      <t c="3">
        <n x="19"/>
        <n x="272"/>
        <n x="231"/>
      </t>
    </mdx>
    <mdx n="0" f="v">
      <t c="2">
        <n x="19"/>
        <n x="193"/>
      </t>
    </mdx>
    <mdx n="0" f="v">
      <t c="3">
        <n x="19"/>
        <n x="433"/>
        <n x="231"/>
      </t>
    </mdx>
    <mdx n="0" f="v">
      <t c="3">
        <n x="20"/>
        <n x="445"/>
        <n x="231"/>
      </t>
    </mdx>
    <mdx n="0" f="v">
      <t c="2">
        <n x="20"/>
        <n x="193"/>
      </t>
    </mdx>
    <mdx n="0" f="v">
      <t c="3">
        <n x="20"/>
        <n x="433"/>
        <n x="231"/>
      </t>
    </mdx>
    <mdx n="0" f="v">
      <t c="2">
        <n x="21"/>
        <n x="193"/>
      </t>
    </mdx>
    <mdx n="0" f="v">
      <t c="3">
        <n x="21"/>
        <n x="433"/>
        <n x="231"/>
      </t>
    </mdx>
    <mdx n="0" f="v">
      <t c="2">
        <n x="22"/>
        <n x="193"/>
      </t>
    </mdx>
    <mdx n="0" f="v">
      <t c="3">
        <n x="22"/>
        <n x="433"/>
        <n x="231"/>
      </t>
    </mdx>
    <mdx n="0" f="v">
      <t c="3">
        <n x="23"/>
        <n x="272"/>
        <n x="231"/>
      </t>
    </mdx>
    <mdx n="0" f="v">
      <t c="2">
        <n x="23"/>
        <n x="193"/>
      </t>
    </mdx>
    <mdx n="0" f="v">
      <t c="3">
        <n x="23"/>
        <n x="433"/>
        <n x="231"/>
      </t>
    </mdx>
    <mdx n="0" f="v">
      <t c="3">
        <n x="24"/>
        <n x="445"/>
        <n x="231"/>
      </t>
    </mdx>
    <mdx n="0" f="v">
      <t c="2">
        <n x="24"/>
        <n x="193"/>
      </t>
    </mdx>
    <mdx n="0" f="v">
      <t c="3">
        <n x="24"/>
        <n x="433"/>
        <n x="231"/>
      </t>
    </mdx>
    <mdx n="0" f="v">
      <t c="2">
        <n x="25"/>
        <n x="193"/>
      </t>
    </mdx>
    <mdx n="0" f="v">
      <t c="3">
        <n x="25"/>
        <n x="433"/>
        <n x="231"/>
      </t>
    </mdx>
    <mdx n="0" f="v">
      <t c="2">
        <n x="26"/>
        <n x="193"/>
      </t>
    </mdx>
    <mdx n="0" f="v">
      <t c="3">
        <n x="26"/>
        <n x="433"/>
        <n x="231"/>
      </t>
    </mdx>
    <mdx n="0" f="v">
      <t c="3">
        <n x="403"/>
        <n x="443"/>
        <n x="231"/>
      </t>
    </mdx>
    <mdx n="0" f="v">
      <t c="3">
        <n x="403"/>
        <n x="433"/>
        <n x="231"/>
      </t>
    </mdx>
    <mdx n="0" f="v">
      <t c="3">
        <n x="403"/>
        <n x="272"/>
        <n x="231"/>
      </t>
    </mdx>
    <mdx n="0" f="v">
      <t c="2">
        <n x="403"/>
        <n x="193"/>
      </t>
    </mdx>
    <mdx n="0" f="v">
      <t c="3">
        <n x="403"/>
        <n x="445"/>
        <n x="231"/>
      </t>
    </mdx>
    <mdx n="0" f="v">
      <t c="2">
        <n x="403"/>
        <n x="231"/>
      </t>
    </mdx>
    <mdx n="0" f="v">
      <t c="3">
        <n x="435"/>
        <n x="443"/>
        <n x="231"/>
      </t>
    </mdx>
    <mdx n="0" f="v">
      <t c="3">
        <n x="435"/>
        <n x="433"/>
        <n x="231"/>
      </t>
    </mdx>
    <mdx n="0" f="v">
      <t c="3">
        <n x="435"/>
        <n x="272"/>
        <n x="231"/>
      </t>
    </mdx>
    <mdx n="0" f="v">
      <t c="2">
        <n x="435"/>
        <n x="193"/>
      </t>
    </mdx>
    <mdx n="0" f="v">
      <t c="3">
        <n x="435"/>
        <n x="445"/>
        <n x="231"/>
      </t>
    </mdx>
    <mdx n="0" f="v">
      <t c="2">
        <n x="435"/>
        <n x="231"/>
      </t>
    </mdx>
    <mdx n="0" f="v">
      <t c="3">
        <n x="384"/>
        <n x="443"/>
        <n x="231"/>
      </t>
    </mdx>
    <mdx n="0" f="v">
      <t c="3">
        <n x="384"/>
        <n x="433"/>
        <n x="231"/>
      </t>
    </mdx>
    <mdx n="0" f="v">
      <t c="3">
        <n x="384"/>
        <n x="272"/>
        <n x="231"/>
      </t>
    </mdx>
    <mdx n="0" f="v">
      <t c="2">
        <n x="384"/>
        <n x="193"/>
      </t>
    </mdx>
    <mdx n="0" f="v">
      <t c="3">
        <n x="384"/>
        <n x="445"/>
        <n x="231"/>
      </t>
    </mdx>
    <mdx n="0" f="v">
      <t c="2">
        <n x="384"/>
        <n x="231"/>
      </t>
    </mdx>
    <mdx n="0" f="v">
      <t c="3">
        <n x="416"/>
        <n x="443"/>
        <n x="231"/>
      </t>
    </mdx>
    <mdx n="0" f="v">
      <t c="3">
        <n x="416"/>
        <n x="433"/>
        <n x="231"/>
      </t>
    </mdx>
    <mdx n="0" f="v">
      <t c="3">
        <n x="416"/>
        <n x="272"/>
        <n x="231"/>
      </t>
    </mdx>
    <mdx n="0" f="v">
      <t c="2">
        <n x="416"/>
        <n x="193"/>
      </t>
    </mdx>
    <mdx n="0" f="v">
      <t c="3">
        <n x="416"/>
        <n x="445"/>
        <n x="231"/>
      </t>
    </mdx>
    <mdx n="0" f="v">
      <t c="2">
        <n x="416"/>
        <n x="231"/>
      </t>
    </mdx>
    <mdx n="0" f="v">
      <t c="3">
        <n x="402"/>
        <n x="443"/>
        <n x="231"/>
      </t>
    </mdx>
    <mdx n="0" f="v">
      <t c="3">
        <n x="402"/>
        <n x="433"/>
        <n x="231"/>
      </t>
    </mdx>
    <mdx n="0" f="v">
      <t c="3">
        <n x="402"/>
        <n x="272"/>
        <n x="231"/>
      </t>
    </mdx>
    <mdx n="0" f="v">
      <t c="2">
        <n x="402"/>
        <n x="193"/>
      </t>
    </mdx>
    <mdx n="0" f="v">
      <t c="3">
        <n x="402"/>
        <n x="445"/>
        <n x="231"/>
      </t>
    </mdx>
    <mdx n="0" f="v">
      <t c="2">
        <n x="402"/>
        <n x="231"/>
      </t>
    </mdx>
    <mdx n="0" f="v">
      <t c="3">
        <n x="395"/>
        <n x="443"/>
        <n x="231"/>
      </t>
    </mdx>
    <mdx n="0" f="v">
      <t c="3">
        <n x="395"/>
        <n x="433"/>
        <n x="231"/>
      </t>
    </mdx>
    <mdx n="0" f="v">
      <t c="3">
        <n x="395"/>
        <n x="272"/>
        <n x="231"/>
      </t>
    </mdx>
    <mdx n="0" f="v">
      <t c="2">
        <n x="395"/>
        <n x="193"/>
      </t>
    </mdx>
    <mdx n="0" f="v">
      <t c="3">
        <n x="395"/>
        <n x="445"/>
        <n x="231"/>
      </t>
    </mdx>
    <mdx n="0" f="v">
      <t c="2">
        <n x="395"/>
        <n x="231"/>
      </t>
    </mdx>
    <mdx n="0" f="v">
      <t c="3">
        <n x="427"/>
        <n x="443"/>
        <n x="231"/>
      </t>
    </mdx>
    <mdx n="0" f="v">
      <t c="3">
        <n x="427"/>
        <n x="433"/>
        <n x="231"/>
      </t>
    </mdx>
    <mdx n="0" f="v">
      <t c="3">
        <n x="427"/>
        <n x="272"/>
        <n x="231"/>
      </t>
    </mdx>
    <mdx n="0" f="v">
      <t c="2">
        <n x="427"/>
        <n x="193"/>
      </t>
    </mdx>
    <mdx n="0" f="v">
      <t c="3">
        <n x="427"/>
        <n x="445"/>
        <n x="231"/>
      </t>
    </mdx>
    <mdx n="0" f="v">
      <t c="2">
        <n x="427"/>
        <n x="231"/>
      </t>
    </mdx>
    <mdx n="0" f="v">
      <t c="3">
        <n x="448"/>
        <n x="443"/>
        <n x="231"/>
      </t>
    </mdx>
    <mdx n="0" f="v">
      <t c="3">
        <n x="448"/>
        <n x="433"/>
        <n x="231"/>
      </t>
    </mdx>
    <mdx n="0" f="v">
      <t c="3">
        <n x="448"/>
        <n x="272"/>
        <n x="231"/>
      </t>
    </mdx>
    <mdx n="0" f="v">
      <t c="2">
        <n x="448"/>
        <n x="193"/>
      </t>
    </mdx>
    <mdx n="0" f="v">
      <t c="3">
        <n x="448"/>
        <n x="445"/>
        <n x="231"/>
      </t>
    </mdx>
    <mdx n="0" f="v">
      <t c="2">
        <n x="448"/>
        <n x="231"/>
      </t>
    </mdx>
    <mdx n="0" f="v">
      <t c="3">
        <n x="406"/>
        <n x="443"/>
        <n x="231"/>
      </t>
    </mdx>
    <mdx n="0" f="v">
      <t c="2">
        <n x="406"/>
        <n x="193"/>
      </t>
    </mdx>
    <mdx n="0" f="v">
      <t c="3">
        <n x="406"/>
        <n x="433"/>
        <n x="231"/>
      </t>
    </mdx>
    <mdx n="0" f="v">
      <t c="3">
        <n x="406"/>
        <n x="272"/>
        <n x="231"/>
      </t>
    </mdx>
    <mdx n="0" f="v">
      <t c="3">
        <n x="406"/>
        <n x="445"/>
        <n x="231"/>
      </t>
    </mdx>
    <mdx n="0" f="v">
      <t c="2">
        <n x="406"/>
        <n x="231"/>
      </t>
    </mdx>
    <mdx n="0" f="v">
      <t c="3">
        <n x="438"/>
        <n x="443"/>
        <n x="231"/>
      </t>
    </mdx>
    <mdx n="0" f="v">
      <t c="2">
        <n x="438"/>
        <n x="193"/>
      </t>
    </mdx>
    <mdx n="0" f="v">
      <t c="3">
        <n x="438"/>
        <n x="433"/>
        <n x="231"/>
      </t>
    </mdx>
    <mdx n="0" f="v">
      <t c="3">
        <n x="438"/>
        <n x="272"/>
        <n x="231"/>
      </t>
    </mdx>
    <mdx n="0" f="v">
      <t c="3">
        <n x="438"/>
        <n x="445"/>
        <n x="231"/>
      </t>
    </mdx>
    <mdx n="0" f="v">
      <t c="2">
        <n x="438"/>
        <n x="231"/>
      </t>
    </mdx>
    <mdx n="0" f="v">
      <t c="3">
        <n x="387"/>
        <n x="443"/>
        <n x="231"/>
      </t>
    </mdx>
    <mdx n="0" f="v">
      <t c="3">
        <n x="387"/>
        <n x="433"/>
        <n x="231"/>
      </t>
    </mdx>
    <mdx n="0" f="v">
      <t c="2">
        <n x="387"/>
        <n x="193"/>
      </t>
    </mdx>
    <mdx n="0" f="v">
      <t c="3">
        <n x="387"/>
        <n x="272"/>
        <n x="231"/>
      </t>
    </mdx>
    <mdx n="0" f="v">
      <t c="3">
        <n x="387"/>
        <n x="445"/>
        <n x="231"/>
      </t>
    </mdx>
    <mdx n="0" f="v">
      <t c="2">
        <n x="387"/>
        <n x="231"/>
      </t>
    </mdx>
    <mdx n="0" f="v">
      <t c="3">
        <n x="419"/>
        <n x="443"/>
        <n x="231"/>
      </t>
    </mdx>
    <mdx n="0" f="v">
      <t c="3">
        <n x="419"/>
        <n x="433"/>
        <n x="231"/>
      </t>
    </mdx>
    <mdx n="0" f="v">
      <t c="2">
        <n x="419"/>
        <n x="193"/>
      </t>
    </mdx>
    <mdx n="0" f="v">
      <t c="3">
        <n x="419"/>
        <n x="272"/>
        <n x="231"/>
      </t>
    </mdx>
    <mdx n="0" f="v">
      <t c="3">
        <n x="419"/>
        <n x="445"/>
        <n x="231"/>
      </t>
    </mdx>
    <mdx n="0" f="v">
      <t c="2">
        <n x="419"/>
        <n x="231"/>
      </t>
    </mdx>
    <mdx n="0" f="v">
      <t c="3">
        <n x="424"/>
        <n x="443"/>
        <n x="231"/>
      </t>
    </mdx>
    <mdx n="0" f="v">
      <t c="3">
        <n x="424"/>
        <n x="433"/>
        <n x="231"/>
      </t>
    </mdx>
    <mdx n="0" f="v">
      <t c="2">
        <n x="424"/>
        <n x="193"/>
      </t>
    </mdx>
    <mdx n="0" f="v">
      <t c="3">
        <n x="424"/>
        <n x="272"/>
        <n x="231"/>
      </t>
    </mdx>
    <mdx n="0" f="v">
      <t c="3">
        <n x="424"/>
        <n x="445"/>
        <n x="231"/>
      </t>
    </mdx>
    <mdx n="0" f="v">
      <t c="2">
        <n x="424"/>
        <n x="231"/>
      </t>
    </mdx>
    <mdx n="0" f="v">
      <t c="3">
        <n x="398"/>
        <n x="443"/>
        <n x="231"/>
      </t>
    </mdx>
    <mdx n="0" f="v">
      <t c="3">
        <n x="398"/>
        <n x="433"/>
        <n x="231"/>
      </t>
    </mdx>
    <mdx n="0" f="v">
      <t c="3">
        <n x="398"/>
        <n x="272"/>
        <n x="231"/>
      </t>
    </mdx>
    <mdx n="0" f="v">
      <t c="2">
        <n x="398"/>
        <n x="193"/>
      </t>
    </mdx>
    <mdx n="0" f="v">
      <t c="3">
        <n x="398"/>
        <n x="445"/>
        <n x="231"/>
      </t>
    </mdx>
    <mdx n="0" f="v">
      <t c="2">
        <n x="398"/>
        <n x="231"/>
      </t>
    </mdx>
    <mdx n="0" f="v">
      <t c="3">
        <n x="430"/>
        <n x="443"/>
        <n x="231"/>
      </t>
    </mdx>
    <mdx n="0" f="v">
      <t c="3">
        <n x="430"/>
        <n x="433"/>
        <n x="231"/>
      </t>
    </mdx>
    <mdx n="0" f="v">
      <t c="3">
        <n x="430"/>
        <n x="272"/>
        <n x="231"/>
      </t>
    </mdx>
    <mdx n="0" f="v">
      <t c="2">
        <n x="430"/>
        <n x="193"/>
      </t>
    </mdx>
    <mdx n="0" f="v">
      <t c="3">
        <n x="430"/>
        <n x="445"/>
        <n x="231"/>
      </t>
    </mdx>
    <mdx n="0" f="v">
      <t c="2">
        <n x="430"/>
        <n x="231"/>
      </t>
    </mdx>
    <mdx n="0" f="v">
      <t c="3">
        <n x="451"/>
        <n x="443"/>
        <n x="231"/>
      </t>
    </mdx>
    <mdx n="0" f="v">
      <t c="3">
        <n x="451"/>
        <n x="433"/>
        <n x="231"/>
      </t>
    </mdx>
    <mdx n="0" f="v">
      <t c="3">
        <n x="451"/>
        <n x="272"/>
        <n x="231"/>
      </t>
    </mdx>
    <mdx n="0" f="v">
      <t c="2">
        <n x="451"/>
        <n x="193"/>
      </t>
    </mdx>
    <mdx n="0" f="v">
      <t c="3">
        <n x="451"/>
        <n x="445"/>
        <n x="231"/>
      </t>
    </mdx>
    <mdx n="0" f="v">
      <t c="2">
        <n x="451"/>
        <n x="231"/>
      </t>
    </mdx>
    <mdx n="0" f="v">
      <t c="3">
        <n x="409"/>
        <n x="443"/>
        <n x="231"/>
      </t>
    </mdx>
    <mdx n="0" f="v">
      <t c="3">
        <n x="409"/>
        <n x="433"/>
        <n x="231"/>
      </t>
    </mdx>
    <mdx n="0" f="v">
      <t c="3">
        <n x="409"/>
        <n x="272"/>
        <n x="231"/>
      </t>
    </mdx>
    <mdx n="0" f="v">
      <t c="2">
        <n x="409"/>
        <n x="193"/>
      </t>
    </mdx>
    <mdx n="0" f="v">
      <t c="3">
        <n x="409"/>
        <n x="445"/>
        <n x="231"/>
      </t>
    </mdx>
    <mdx n="0" f="v">
      <t c="2">
        <n x="409"/>
        <n x="231"/>
      </t>
    </mdx>
    <mdx n="0" f="v">
      <t c="3">
        <n x="441"/>
        <n x="443"/>
        <n x="231"/>
      </t>
    </mdx>
    <mdx n="0" f="v">
      <t c="3">
        <n x="441"/>
        <n x="433"/>
        <n x="231"/>
      </t>
    </mdx>
    <mdx n="0" f="v">
      <t c="3">
        <n x="441"/>
        <n x="272"/>
        <n x="231"/>
      </t>
    </mdx>
    <mdx n="0" f="v">
      <t c="2">
        <n x="441"/>
        <n x="193"/>
      </t>
    </mdx>
    <mdx n="0" f="v">
      <t c="3">
        <n x="441"/>
        <n x="445"/>
        <n x="231"/>
      </t>
    </mdx>
    <mdx n="0" f="v">
      <t c="2">
        <n x="441"/>
        <n x="231"/>
      </t>
    </mdx>
    <mdx n="0" f="v">
      <t c="3">
        <n x="390"/>
        <n x="443"/>
        <n x="231"/>
      </t>
    </mdx>
    <mdx n="0" f="v">
      <t c="3">
        <n x="390"/>
        <n x="433"/>
        <n x="231"/>
      </t>
    </mdx>
    <mdx n="0" f="v">
      <t c="3">
        <n x="390"/>
        <n x="272"/>
        <n x="231"/>
      </t>
    </mdx>
    <mdx n="0" f="v">
      <t c="2">
        <n x="390"/>
        <n x="193"/>
      </t>
    </mdx>
    <mdx n="0" f="v">
      <t c="3">
        <n x="390"/>
        <n x="445"/>
        <n x="231"/>
      </t>
    </mdx>
    <mdx n="0" f="v">
      <t c="2">
        <n x="390"/>
        <n x="231"/>
      </t>
    </mdx>
    <mdx n="0" f="v">
      <t c="3">
        <n x="422"/>
        <n x="443"/>
        <n x="231"/>
      </t>
    </mdx>
    <mdx n="0" f="v">
      <t c="3">
        <n x="422"/>
        <n x="272"/>
        <n x="231"/>
      </t>
    </mdx>
    <mdx n="0" f="v">
      <t c="3">
        <n x="422"/>
        <n x="433"/>
        <n x="231"/>
      </t>
    </mdx>
    <mdx n="0" f="v">
      <t c="2">
        <n x="422"/>
        <n x="193"/>
      </t>
    </mdx>
    <mdx n="0" f="v">
      <t c="3">
        <n x="422"/>
        <n x="445"/>
        <n x="231"/>
      </t>
    </mdx>
    <mdx n="0" f="v">
      <t c="2">
        <n x="422"/>
        <n x="231"/>
      </t>
    </mdx>
    <mdx n="0" f="v">
      <t c="3">
        <n x="414"/>
        <n x="272"/>
        <n x="231"/>
      </t>
    </mdx>
    <mdx n="0" f="v">
      <t c="3">
        <n x="414"/>
        <n x="443"/>
        <n x="231"/>
      </t>
    </mdx>
    <mdx n="0" f="v">
      <t c="3">
        <n x="414"/>
        <n x="433"/>
        <n x="231"/>
      </t>
    </mdx>
    <mdx n="0" f="v">
      <t c="2">
        <n x="414"/>
        <n x="193"/>
      </t>
    </mdx>
    <mdx n="0" f="v">
      <t c="3">
        <n x="414"/>
        <n x="445"/>
        <n x="231"/>
      </t>
    </mdx>
    <mdx n="0" f="v">
      <t c="2">
        <n x="414"/>
        <n x="231"/>
      </t>
    </mdx>
    <mdx n="0" f="v">
      <t c="3">
        <n x="401"/>
        <n x="445"/>
        <n x="231"/>
      </t>
    </mdx>
    <mdx n="0" f="v">
      <t c="3">
        <n x="401"/>
        <n x="272"/>
        <n x="231"/>
      </t>
    </mdx>
    <mdx n="0" f="v">
      <t c="3">
        <n x="401"/>
        <n x="443"/>
        <n x="231"/>
      </t>
    </mdx>
    <mdx n="0" f="v">
      <t c="3">
        <n x="401"/>
        <n x="433"/>
        <n x="231"/>
      </t>
    </mdx>
    <mdx n="0" f="v">
      <t c="2">
        <n x="401"/>
        <n x="193"/>
      </t>
    </mdx>
    <mdx n="0" f="v">
      <t c="2">
        <n x="401"/>
        <n x="231"/>
      </t>
    </mdx>
    <mdx n="0" f="v">
      <t c="2">
        <n x="80"/>
        <n x="231"/>
      </t>
    </mdx>
    <mdx n="0" f="v">
      <t c="3">
        <n x="80"/>
        <n x="272"/>
        <n x="231"/>
      </t>
    </mdx>
    <mdx n="0" f="v">
      <t c="3">
        <n x="80"/>
        <n x="445"/>
        <n x="231"/>
      </t>
    </mdx>
    <mdx n="0" f="v">
      <t c="2">
        <n x="80"/>
        <n x="193"/>
      </t>
    </mdx>
    <mdx n="0" f="v">
      <t c="3">
        <n x="80"/>
        <n x="443"/>
        <n x="231"/>
      </t>
    </mdx>
    <mdx n="0" f="v">
      <t c="3">
        <n x="80"/>
        <n x="433"/>
        <n x="231"/>
      </t>
    </mdx>
    <mdx n="0" f="v">
      <t c="3">
        <n x="81"/>
        <n x="445"/>
        <n x="231"/>
      </t>
    </mdx>
    <mdx n="0" f="v">
      <t c="3">
        <n x="81"/>
        <n x="272"/>
        <n x="231"/>
      </t>
    </mdx>
    <mdx n="0" f="v">
      <t c="2">
        <n x="81"/>
        <n x="231"/>
      </t>
    </mdx>
    <mdx n="0" f="v">
      <t c="2">
        <n x="81"/>
        <n x="193"/>
      </t>
    </mdx>
    <mdx n="0" f="v">
      <t c="3">
        <n x="81"/>
        <n x="443"/>
        <n x="231"/>
      </t>
    </mdx>
    <mdx n="0" f="v">
      <t c="3">
        <n x="81"/>
        <n x="433"/>
        <n x="231"/>
      </t>
    </mdx>
    <mdx n="0" f="v">
      <t c="3">
        <n x="82"/>
        <n x="445"/>
        <n x="231"/>
      </t>
    </mdx>
    <mdx n="0" f="v">
      <t c="3">
        <n x="82"/>
        <n x="272"/>
        <n x="231"/>
      </t>
    </mdx>
    <mdx n="0" f="v">
      <t c="2">
        <n x="82"/>
        <n x="231"/>
      </t>
    </mdx>
    <mdx n="0" f="v">
      <t c="2">
        <n x="82"/>
        <n x="193"/>
      </t>
    </mdx>
    <mdx n="0" f="v">
      <t c="3">
        <n x="82"/>
        <n x="443"/>
        <n x="231"/>
      </t>
    </mdx>
    <mdx n="0" f="v">
      <t c="3">
        <n x="82"/>
        <n x="433"/>
        <n x="231"/>
      </t>
    </mdx>
    <mdx n="0" f="v">
      <t c="3">
        <n x="83"/>
        <n x="445"/>
        <n x="231"/>
      </t>
    </mdx>
    <mdx n="0" f="v">
      <t c="3">
        <n x="83"/>
        <n x="272"/>
        <n x="231"/>
      </t>
    </mdx>
    <mdx n="0" f="v">
      <t c="2">
        <n x="83"/>
        <n x="231"/>
      </t>
    </mdx>
    <mdx n="0" f="v">
      <t c="2">
        <n x="83"/>
        <n x="193"/>
      </t>
    </mdx>
    <mdx n="0" f="v">
      <t c="3">
        <n x="83"/>
        <n x="443"/>
        <n x="231"/>
      </t>
    </mdx>
    <mdx n="0" f="v">
      <t c="3">
        <n x="83"/>
        <n x="433"/>
        <n x="231"/>
      </t>
    </mdx>
    <mdx n="0" f="v">
      <t c="2">
        <n x="84"/>
        <n x="231"/>
      </t>
    </mdx>
    <mdx n="0" f="v">
      <t c="3">
        <n x="84"/>
        <n x="272"/>
        <n x="231"/>
      </t>
    </mdx>
    <mdx n="0" f="v">
      <t c="3">
        <n x="84"/>
        <n x="445"/>
        <n x="231"/>
      </t>
    </mdx>
    <mdx n="0" f="v">
      <t c="2">
        <n x="84"/>
        <n x="193"/>
      </t>
    </mdx>
    <mdx n="0" f="v">
      <t c="3">
        <n x="84"/>
        <n x="443"/>
        <n x="231"/>
      </t>
    </mdx>
    <mdx n="0" f="v">
      <t c="3">
        <n x="84"/>
        <n x="433"/>
        <n x="231"/>
      </t>
    </mdx>
    <mdx n="0" f="v">
      <t c="3">
        <n x="85"/>
        <n x="433"/>
        <n x="231"/>
      </t>
    </mdx>
    <mdx n="0" f="v">
      <t c="3">
        <n x="85"/>
        <n x="272"/>
        <n x="231"/>
      </t>
    </mdx>
    <mdx n="0" f="v">
      <t c="2">
        <n x="85"/>
        <n x="231"/>
      </t>
    </mdx>
    <mdx n="0" f="v">
      <t c="3">
        <n x="85"/>
        <n x="445"/>
        <n x="231"/>
      </t>
    </mdx>
    <mdx n="0" f="v">
      <t c="2">
        <n x="85"/>
        <n x="193"/>
      </t>
    </mdx>
    <mdx n="0" f="v">
      <t c="3">
        <n x="85"/>
        <n x="443"/>
        <n x="231"/>
      </t>
    </mdx>
    <mdx n="0" f="v">
      <t c="3">
        <n x="86"/>
        <n x="445"/>
        <n x="231"/>
      </t>
    </mdx>
    <mdx n="0" f="v">
      <t c="2">
        <n x="86"/>
        <n x="231"/>
      </t>
    </mdx>
    <mdx n="0" f="v">
      <t c="3">
        <n x="86"/>
        <n x="443"/>
        <n x="231"/>
      </t>
    </mdx>
    <mdx n="0" f="v">
      <t c="3">
        <n x="86"/>
        <n x="433"/>
        <n x="231"/>
      </t>
    </mdx>
    <mdx n="0" f="v">
      <t c="3">
        <n x="86"/>
        <n x="272"/>
        <n x="231"/>
      </t>
    </mdx>
    <mdx n="0" f="v">
      <t c="2">
        <n x="86"/>
        <n x="193"/>
      </t>
    </mdx>
    <mdx n="0" f="v">
      <t c="3">
        <n x="87"/>
        <n x="445"/>
        <n x="231"/>
      </t>
    </mdx>
    <mdx n="0" f="v">
      <t c="2">
        <n x="87"/>
        <n x="231"/>
      </t>
    </mdx>
    <mdx n="0" f="v">
      <t c="3">
        <n x="87"/>
        <n x="443"/>
        <n x="231"/>
      </t>
    </mdx>
    <mdx n="0" f="v">
      <t c="3">
        <n x="87"/>
        <n x="433"/>
        <n x="231"/>
      </t>
    </mdx>
    <mdx n="0" f="v">
      <t c="3">
        <n x="87"/>
        <n x="272"/>
        <n x="231"/>
      </t>
    </mdx>
    <mdx n="0" f="v">
      <t c="2">
        <n x="87"/>
        <n x="193"/>
      </t>
    </mdx>
    <mdx n="0" f="v">
      <t c="3">
        <n x="88"/>
        <n x="445"/>
        <n x="231"/>
      </t>
    </mdx>
    <mdx n="0" f="v">
      <t c="2">
        <n x="88"/>
        <n x="231"/>
      </t>
    </mdx>
    <mdx n="0" f="v">
      <t c="3">
        <n x="88"/>
        <n x="443"/>
        <n x="231"/>
      </t>
    </mdx>
    <mdx n="0" f="v">
      <t c="3">
        <n x="88"/>
        <n x="433"/>
        <n x="231"/>
      </t>
    </mdx>
    <mdx n="0" f="v">
      <t c="3">
        <n x="88"/>
        <n x="272"/>
        <n x="231"/>
      </t>
    </mdx>
    <mdx n="0" f="v">
      <t c="2">
        <n x="88"/>
        <n x="193"/>
      </t>
    </mdx>
    <mdx n="0" f="v">
      <t c="3">
        <n x="89"/>
        <n x="445"/>
        <n x="231"/>
      </t>
    </mdx>
    <mdx n="0" f="v">
      <t c="2">
        <n x="89"/>
        <n x="231"/>
      </t>
    </mdx>
    <mdx n="0" f="v">
      <t c="3">
        <n x="89"/>
        <n x="443"/>
        <n x="231"/>
      </t>
    </mdx>
    <mdx n="0" f="v">
      <t c="3">
        <n x="89"/>
        <n x="433"/>
        <n x="231"/>
      </t>
    </mdx>
    <mdx n="0" f="v">
      <t c="3">
        <n x="89"/>
        <n x="272"/>
        <n x="231"/>
      </t>
    </mdx>
    <mdx n="0" f="v">
      <t c="2">
        <n x="89"/>
        <n x="193"/>
      </t>
    </mdx>
    <mdx n="0" f="v">
      <t c="3">
        <n x="90"/>
        <n x="445"/>
        <n x="231"/>
      </t>
    </mdx>
    <mdx n="0" f="v">
      <t c="2">
        <n x="90"/>
        <n x="231"/>
      </t>
    </mdx>
    <mdx n="0" f="v">
      <t c="3">
        <n x="90"/>
        <n x="443"/>
        <n x="231"/>
      </t>
    </mdx>
    <mdx n="0" f="v">
      <t c="3">
        <n x="90"/>
        <n x="433"/>
        <n x="231"/>
      </t>
    </mdx>
    <mdx n="0" f="v">
      <t c="3">
        <n x="90"/>
        <n x="272"/>
        <n x="231"/>
      </t>
    </mdx>
    <mdx n="0" f="v">
      <t c="2">
        <n x="90"/>
        <n x="193"/>
      </t>
    </mdx>
    <mdx n="0" f="v">
      <t c="3">
        <n x="91"/>
        <n x="445"/>
        <n x="231"/>
      </t>
    </mdx>
    <mdx n="0" f="v">
      <t c="2">
        <n x="91"/>
        <n x="231"/>
      </t>
    </mdx>
    <mdx n="0" f="v">
      <t c="3">
        <n x="91"/>
        <n x="443"/>
        <n x="231"/>
      </t>
    </mdx>
    <mdx n="0" f="v">
      <t c="3">
        <n x="91"/>
        <n x="433"/>
        <n x="231"/>
      </t>
    </mdx>
    <mdx n="0" f="v">
      <t c="3">
        <n x="91"/>
        <n x="272"/>
        <n x="231"/>
      </t>
    </mdx>
    <mdx n="0" f="v">
      <t c="2">
        <n x="91"/>
        <n x="193"/>
      </t>
    </mdx>
    <mdx n="0" f="v">
      <t c="3">
        <n x="92"/>
        <n x="445"/>
        <n x="231"/>
      </t>
    </mdx>
    <mdx n="0" f="v">
      <t c="2">
        <n x="92"/>
        <n x="231"/>
      </t>
    </mdx>
    <mdx n="0" f="v">
      <t c="3">
        <n x="92"/>
        <n x="443"/>
        <n x="231"/>
      </t>
    </mdx>
    <mdx n="0" f="v">
      <t c="3">
        <n x="92"/>
        <n x="433"/>
        <n x="231"/>
      </t>
    </mdx>
    <mdx n="0" f="v">
      <t c="3">
        <n x="92"/>
        <n x="272"/>
        <n x="231"/>
      </t>
    </mdx>
    <mdx n="0" f="v">
      <t c="2">
        <n x="92"/>
        <n x="193"/>
      </t>
    </mdx>
    <mdx n="0" f="v">
      <t c="3">
        <n x="93"/>
        <n x="445"/>
        <n x="231"/>
      </t>
    </mdx>
    <mdx n="0" f="v">
      <t c="3">
        <n x="93"/>
        <n x="443"/>
        <n x="231"/>
      </t>
    </mdx>
    <mdx n="0" f="v">
      <t c="2">
        <n x="93"/>
        <n x="231"/>
      </t>
    </mdx>
    <mdx n="0" f="v">
      <t c="3">
        <n x="93"/>
        <n x="433"/>
        <n x="231"/>
      </t>
    </mdx>
    <mdx n="0" f="v">
      <t c="3">
        <n x="93"/>
        <n x="272"/>
        <n x="231"/>
      </t>
    </mdx>
    <mdx n="0" f="v">
      <t c="2">
        <n x="93"/>
        <n x="193"/>
      </t>
    </mdx>
    <mdx n="0" f="v">
      <t c="3">
        <n x="94"/>
        <n x="433"/>
        <n x="231"/>
      </t>
    </mdx>
    <mdx n="0" f="v">
      <t c="3">
        <n x="94"/>
        <n x="272"/>
        <n x="231"/>
      </t>
    </mdx>
    <mdx n="0" f="v">
      <t c="2">
        <n x="94"/>
        <n x="193"/>
      </t>
    </mdx>
    <mdx n="0" f="v">
      <t c="3">
        <n x="94"/>
        <n x="445"/>
        <n x="231"/>
      </t>
    </mdx>
    <mdx n="0" f="v">
      <t c="2">
        <n x="94"/>
        <n x="231"/>
      </t>
    </mdx>
    <mdx n="0" f="v">
      <t c="3">
        <n x="94"/>
        <n x="443"/>
        <n x="231"/>
      </t>
    </mdx>
    <mdx n="0" f="v">
      <t c="3">
        <n x="95"/>
        <n x="433"/>
        <n x="231"/>
      </t>
    </mdx>
    <mdx n="0" f="v">
      <t c="3">
        <n x="95"/>
        <n x="272"/>
        <n x="231"/>
      </t>
    </mdx>
    <mdx n="0" f="v">
      <t c="2">
        <n x="95"/>
        <n x="193"/>
      </t>
    </mdx>
    <mdx n="0" f="v">
      <t c="3">
        <n x="95"/>
        <n x="445"/>
        <n x="231"/>
      </t>
    </mdx>
    <mdx n="0" f="v">
      <t c="2">
        <n x="95"/>
        <n x="231"/>
      </t>
    </mdx>
    <mdx n="0" f="v">
      <t c="3">
        <n x="95"/>
        <n x="443"/>
        <n x="231"/>
      </t>
    </mdx>
    <mdx n="0" f="v">
      <t c="3">
        <n x="96"/>
        <n x="272"/>
        <n x="231"/>
      </t>
    </mdx>
    <mdx n="0" f="v">
      <t c="2">
        <n x="96"/>
        <n x="193"/>
      </t>
    </mdx>
    <mdx n="0" f="v">
      <t c="3">
        <n x="96"/>
        <n x="445"/>
        <n x="231"/>
      </t>
    </mdx>
    <mdx n="0" f="v">
      <t c="2">
        <n x="96"/>
        <n x="231"/>
      </t>
    </mdx>
    <mdx n="0" f="v">
      <t c="3">
        <n x="97"/>
        <n x="443"/>
        <n x="231"/>
      </t>
    </mdx>
    <mdx n="0" f="v">
      <t c="3">
        <n x="97"/>
        <n x="433"/>
        <n x="231"/>
      </t>
    </mdx>
    <mdx n="0" f="v">
      <t c="2">
        <n x="97"/>
        <n x="193"/>
      </t>
    </mdx>
    <mdx n="0" f="v">
      <t c="3">
        <n x="97"/>
        <n x="445"/>
        <n x="231"/>
      </t>
    </mdx>
    <mdx n="0" f="v">
      <t c="2">
        <n x="97"/>
        <n x="231"/>
      </t>
    </mdx>
    <mdx n="0" f="v">
      <t c="2">
        <n x="98"/>
        <n x="193"/>
      </t>
    </mdx>
    <mdx n="0" f="v">
      <t c="3">
        <n x="98"/>
        <n x="445"/>
        <n x="231"/>
      </t>
    </mdx>
    <mdx n="0" f="v">
      <t c="2">
        <n x="98"/>
        <n x="231"/>
      </t>
    </mdx>
    <mdx n="0" f="v">
      <t c="2">
        <n x="99"/>
        <n x="193"/>
      </t>
    </mdx>
    <mdx n="0" f="v">
      <t c="3">
        <n x="99"/>
        <n x="445"/>
        <n x="231"/>
      </t>
    </mdx>
    <mdx n="0" f="v">
      <t c="2">
        <n x="99"/>
        <n x="231"/>
      </t>
    </mdx>
    <mdx n="0" f="v">
      <t c="3">
        <n x="100"/>
        <n x="433"/>
        <n x="231"/>
      </t>
    </mdx>
    <mdx n="0" f="v">
      <t c="3">
        <n x="100"/>
        <n x="272"/>
        <n x="231"/>
      </t>
    </mdx>
    <mdx n="0" f="v">
      <t c="2">
        <n x="100"/>
        <n x="193"/>
      </t>
    </mdx>
    <mdx n="0" f="v">
      <t c="3">
        <n x="100"/>
        <n x="445"/>
        <n x="231"/>
      </t>
    </mdx>
    <mdx n="0" f="v">
      <t c="2">
        <n x="100"/>
        <n x="231"/>
      </t>
    </mdx>
    <mdx n="0" f="v">
      <t c="3">
        <n x="101"/>
        <n x="443"/>
        <n x="231"/>
      </t>
    </mdx>
    <mdx n="0" f="v">
      <t c="3">
        <n x="101"/>
        <n x="433"/>
        <n x="231"/>
      </t>
    </mdx>
    <mdx n="0" f="v">
      <t c="2">
        <n x="101"/>
        <n x="193"/>
      </t>
    </mdx>
    <mdx n="0" f="v">
      <t c="3">
        <n x="101"/>
        <n x="445"/>
        <n x="231"/>
      </t>
    </mdx>
    <mdx n="0" f="v">
      <t c="2">
        <n x="101"/>
        <n x="231"/>
      </t>
    </mdx>
    <mdx n="0" f="v">
      <t c="2">
        <n x="102"/>
        <n x="193"/>
      </t>
    </mdx>
    <mdx n="0" f="v">
      <t c="3">
        <n x="102"/>
        <n x="445"/>
        <n x="231"/>
      </t>
    </mdx>
    <mdx n="0" f="v">
      <t c="2">
        <n x="102"/>
        <n x="231"/>
      </t>
    </mdx>
    <mdx n="0" f="v">
      <t c="2">
        <n x="103"/>
        <n x="193"/>
      </t>
    </mdx>
    <mdx n="0" f="v">
      <t c="3">
        <n x="103"/>
        <n x="445"/>
        <n x="231"/>
      </t>
    </mdx>
    <mdx n="0" f="v">
      <t c="2">
        <n x="103"/>
        <n x="231"/>
      </t>
    </mdx>
    <mdx n="0" f="v">
      <t c="2">
        <n x="104"/>
        <n x="193"/>
      </t>
    </mdx>
    <mdx n="0" f="v">
      <t c="3">
        <n x="104"/>
        <n x="445"/>
        <n x="231"/>
      </t>
    </mdx>
    <mdx n="0" f="v">
      <t c="2">
        <n x="104"/>
        <n x="231"/>
      </t>
    </mdx>
    <mdx n="0" f="v">
      <t c="3">
        <n x="105"/>
        <n x="445"/>
        <n x="231"/>
      </t>
    </mdx>
    <mdx n="0" f="v">
      <t c="2">
        <n x="105"/>
        <n x="231"/>
      </t>
    </mdx>
    <mdx n="0" f="v">
      <t c="3">
        <n x="105"/>
        <n x="443"/>
        <n x="231"/>
      </t>
    </mdx>
    <mdx n="0" f="v">
      <t c="3">
        <n x="106"/>
        <n x="445"/>
        <n x="231"/>
      </t>
    </mdx>
    <mdx n="0" f="v">
      <t c="2">
        <n x="106"/>
        <n x="231"/>
      </t>
    </mdx>
    <mdx n="0" f="v">
      <t c="3">
        <n x="106"/>
        <n x="443"/>
        <n x="231"/>
      </t>
    </mdx>
    <mdx n="0" f="v">
      <t c="3">
        <n x="107"/>
        <n x="445"/>
        <n x="231"/>
      </t>
    </mdx>
    <mdx n="0" f="v">
      <t c="2">
        <n x="107"/>
        <n x="231"/>
      </t>
    </mdx>
    <mdx n="0" f="v">
      <t c="3">
        <n x="107"/>
        <n x="443"/>
        <n x="231"/>
      </t>
    </mdx>
    <mdx n="0" f="v">
      <t c="3">
        <n x="108"/>
        <n x="445"/>
        <n x="231"/>
      </t>
    </mdx>
    <mdx n="0" f="v">
      <t c="2">
        <n x="108"/>
        <n x="231"/>
      </t>
    </mdx>
    <mdx n="0" f="v">
      <t c="3">
        <n x="108"/>
        <n x="443"/>
        <n x="231"/>
      </t>
    </mdx>
    <mdx n="0" f="v">
      <t c="3">
        <n x="109"/>
        <n x="445"/>
        <n x="231"/>
      </t>
    </mdx>
    <mdx n="0" f="v">
      <t c="2">
        <n x="109"/>
        <n x="231"/>
      </t>
    </mdx>
    <mdx n="0" f="v">
      <t c="3">
        <n x="109"/>
        <n x="443"/>
        <n x="231"/>
      </t>
    </mdx>
    <mdx n="0" f="v">
      <t c="3">
        <n x="110"/>
        <n x="445"/>
        <n x="231"/>
      </t>
    </mdx>
    <mdx n="0" f="v">
      <t c="2">
        <n x="110"/>
        <n x="231"/>
      </t>
    </mdx>
    <mdx n="0" f="v">
      <t c="3">
        <n x="110"/>
        <n x="443"/>
        <n x="231"/>
      </t>
    </mdx>
    <mdx n="0" f="v">
      <t c="3">
        <n x="111"/>
        <n x="445"/>
        <n x="231"/>
      </t>
    </mdx>
    <mdx n="0" f="v">
      <t c="2">
        <n x="111"/>
        <n x="231"/>
      </t>
    </mdx>
    <mdx n="0" f="v">
      <t c="3">
        <n x="111"/>
        <n x="443"/>
        <n x="231"/>
      </t>
    </mdx>
    <mdx n="0" f="v">
      <t c="3">
        <n x="112"/>
        <n x="445"/>
        <n x="231"/>
      </t>
    </mdx>
    <mdx n="0" f="v">
      <t c="2">
        <n x="112"/>
        <n x="231"/>
      </t>
    </mdx>
    <mdx n="0" f="v">
      <t c="3">
        <n x="112"/>
        <n x="443"/>
        <n x="231"/>
      </t>
    </mdx>
    <mdx n="0" f="v">
      <t c="3">
        <n x="113"/>
        <n x="445"/>
        <n x="231"/>
      </t>
    </mdx>
    <mdx n="0" f="v">
      <t c="2">
        <n x="113"/>
        <n x="231"/>
      </t>
    </mdx>
    <mdx n="0" f="v">
      <t c="3">
        <n x="113"/>
        <n x="443"/>
        <n x="231"/>
      </t>
    </mdx>
    <mdx n="0" f="v">
      <t c="3">
        <n x="23"/>
        <n x="445"/>
        <n x="231"/>
      </t>
    </mdx>
    <mdx n="0" f="v">
      <t c="3">
        <n x="19"/>
        <n x="445"/>
        <n x="231"/>
      </t>
    </mdx>
    <mdx n="0" f="v">
      <t c="3">
        <n x="18"/>
        <n x="445"/>
        <n x="231"/>
      </t>
    </mdx>
    <mdx n="0" f="v">
      <t c="3">
        <n x="273"/>
        <n x="433"/>
        <n x="231"/>
      </t>
    </mdx>
    <mdx n="0" f="v">
      <t c="3">
        <n x="273"/>
        <n x="272"/>
        <n x="231"/>
      </t>
    </mdx>
    <mdx n="0" f="v">
      <t c="2">
        <n x="273"/>
        <n x="193"/>
      </t>
    </mdx>
    <mdx n="0" f="v">
      <t c="3">
        <n x="273"/>
        <n x="445"/>
        <n x="231"/>
      </t>
    </mdx>
    <mdx n="0" f="v">
      <t c="2">
        <n x="273"/>
        <n x="231"/>
      </t>
    </mdx>
    <mdx n="0" f="v">
      <t c="3">
        <n x="273"/>
        <n x="443"/>
        <n x="231"/>
      </t>
    </mdx>
    <mdx n="0" f="v">
      <t c="3">
        <n x="274"/>
        <n x="433"/>
        <n x="231"/>
      </t>
    </mdx>
    <mdx n="0" f="v">
      <t c="3">
        <n x="274"/>
        <n x="272"/>
        <n x="231"/>
      </t>
    </mdx>
    <mdx n="0" f="v">
      <t c="2">
        <n x="274"/>
        <n x="193"/>
      </t>
    </mdx>
    <mdx n="0" f="v">
      <t c="3">
        <n x="274"/>
        <n x="445"/>
        <n x="231"/>
      </t>
    </mdx>
    <mdx n="0" f="v">
      <t c="2">
        <n x="274"/>
        <n x="231"/>
      </t>
    </mdx>
    <mdx n="0" f="v">
      <t c="3">
        <n x="274"/>
        <n x="443"/>
        <n x="231"/>
      </t>
    </mdx>
    <mdx n="0" f="v">
      <t c="3">
        <n x="275"/>
        <n x="433"/>
        <n x="231"/>
      </t>
    </mdx>
    <mdx n="0" f="v">
      <t c="3">
        <n x="275"/>
        <n x="272"/>
        <n x="231"/>
      </t>
    </mdx>
    <mdx n="0" f="v">
      <t c="2">
        <n x="275"/>
        <n x="193"/>
      </t>
    </mdx>
    <mdx n="0" f="v">
      <t c="3">
        <n x="275"/>
        <n x="445"/>
        <n x="231"/>
      </t>
    </mdx>
    <mdx n="0" f="v">
      <t c="2">
        <n x="275"/>
        <n x="231"/>
      </t>
    </mdx>
    <mdx n="0" f="v">
      <t c="3">
        <n x="275"/>
        <n x="443"/>
        <n x="231"/>
      </t>
    </mdx>
    <mdx n="0" f="v">
      <t c="3">
        <n x="276"/>
        <n x="433"/>
        <n x="231"/>
      </t>
    </mdx>
    <mdx n="0" f="v">
      <t c="3">
        <n x="276"/>
        <n x="272"/>
        <n x="231"/>
      </t>
    </mdx>
    <mdx n="0" f="v">
      <t c="2">
        <n x="276"/>
        <n x="193"/>
      </t>
    </mdx>
    <mdx n="0" f="v">
      <t c="3">
        <n x="276"/>
        <n x="445"/>
        <n x="231"/>
      </t>
    </mdx>
    <mdx n="0" f="v">
      <t c="2">
        <n x="276"/>
        <n x="231"/>
      </t>
    </mdx>
    <mdx n="0" f="v">
      <t c="3">
        <n x="276"/>
        <n x="443"/>
        <n x="231"/>
      </t>
    </mdx>
    <mdx n="0" f="v">
      <t c="3">
        <n x="277"/>
        <n x="433"/>
        <n x="231"/>
      </t>
    </mdx>
    <mdx n="0" f="v">
      <t c="3">
        <n x="277"/>
        <n x="272"/>
        <n x="231"/>
      </t>
    </mdx>
    <mdx n="0" f="v">
      <t c="2">
        <n x="277"/>
        <n x="193"/>
      </t>
    </mdx>
    <mdx n="0" f="v">
      <t c="3">
        <n x="277"/>
        <n x="445"/>
        <n x="231"/>
      </t>
    </mdx>
    <mdx n="0" f="v">
      <t c="2">
        <n x="277"/>
        <n x="231"/>
      </t>
    </mdx>
    <mdx n="0" f="v">
      <t c="3">
        <n x="277"/>
        <n x="443"/>
        <n x="231"/>
      </t>
    </mdx>
    <mdx n="0" f="v">
      <t c="3">
        <n x="278"/>
        <n x="433"/>
        <n x="231"/>
      </t>
    </mdx>
    <mdx n="0" f="v">
      <t c="3">
        <n x="278"/>
        <n x="272"/>
        <n x="231"/>
      </t>
    </mdx>
    <mdx n="0" f="v">
      <t c="2">
        <n x="278"/>
        <n x="193"/>
      </t>
    </mdx>
    <mdx n="0" f="v">
      <t c="3">
        <n x="278"/>
        <n x="445"/>
        <n x="231"/>
      </t>
    </mdx>
    <mdx n="0" f="v">
      <t c="2">
        <n x="278"/>
        <n x="231"/>
      </t>
    </mdx>
    <mdx n="0" f="v">
      <t c="3">
        <n x="278"/>
        <n x="443"/>
        <n x="231"/>
      </t>
    </mdx>
    <mdx n="0" f="v">
      <t c="3">
        <n x="279"/>
        <n x="433"/>
        <n x="231"/>
      </t>
    </mdx>
    <mdx n="0" f="v">
      <t c="3">
        <n x="279"/>
        <n x="272"/>
        <n x="231"/>
      </t>
    </mdx>
    <mdx n="0" f="v">
      <t c="2">
        <n x="279"/>
        <n x="193"/>
      </t>
    </mdx>
    <mdx n="0" f="v">
      <t c="3">
        <n x="279"/>
        <n x="445"/>
        <n x="231"/>
      </t>
    </mdx>
    <mdx n="0" f="v">
      <t c="2">
        <n x="279"/>
        <n x="231"/>
      </t>
    </mdx>
    <mdx n="0" f="v">
      <t c="3">
        <n x="279"/>
        <n x="443"/>
        <n x="231"/>
      </t>
    </mdx>
    <mdx n="0" f="v">
      <t c="3">
        <n x="280"/>
        <n x="433"/>
        <n x="231"/>
      </t>
    </mdx>
    <mdx n="0" f="v">
      <t c="3">
        <n x="280"/>
        <n x="272"/>
        <n x="231"/>
      </t>
    </mdx>
    <mdx n="0" f="v">
      <t c="2">
        <n x="280"/>
        <n x="193"/>
      </t>
    </mdx>
    <mdx n="0" f="v">
      <t c="3">
        <n x="280"/>
        <n x="445"/>
        <n x="231"/>
      </t>
    </mdx>
    <mdx n="0" f="v">
      <t c="2">
        <n x="280"/>
        <n x="231"/>
      </t>
    </mdx>
    <mdx n="0" f="v">
      <t c="3">
        <n x="280"/>
        <n x="443"/>
        <n x="231"/>
      </t>
    </mdx>
    <mdx n="0" f="v">
      <t c="3">
        <n x="281"/>
        <n x="433"/>
        <n x="231"/>
      </t>
    </mdx>
    <mdx n="0" f="v">
      <t c="3">
        <n x="281"/>
        <n x="272"/>
        <n x="231"/>
      </t>
    </mdx>
    <mdx n="0" f="v">
      <t c="2">
        <n x="281"/>
        <n x="193"/>
      </t>
    </mdx>
    <mdx n="0" f="v">
      <t c="3">
        <n x="281"/>
        <n x="445"/>
        <n x="231"/>
      </t>
    </mdx>
    <mdx n="0" f="v">
      <t c="2">
        <n x="281"/>
        <n x="231"/>
      </t>
    </mdx>
    <mdx n="0" f="v">
      <t c="3">
        <n x="281"/>
        <n x="443"/>
        <n x="231"/>
      </t>
    </mdx>
    <mdx n="0" f="v">
      <t c="3">
        <n x="282"/>
        <n x="433"/>
        <n x="231"/>
      </t>
    </mdx>
    <mdx n="0" f="v">
      <t c="3">
        <n x="282"/>
        <n x="272"/>
        <n x="231"/>
      </t>
    </mdx>
    <mdx n="0" f="v">
      <t c="2">
        <n x="282"/>
        <n x="193"/>
      </t>
    </mdx>
    <mdx n="0" f="v">
      <t c="3">
        <n x="282"/>
        <n x="445"/>
        <n x="231"/>
      </t>
    </mdx>
    <mdx n="0" f="v">
      <t c="2">
        <n x="282"/>
        <n x="231"/>
      </t>
    </mdx>
    <mdx n="0" f="v">
      <t c="3">
        <n x="282"/>
        <n x="443"/>
        <n x="231"/>
      </t>
    </mdx>
    <mdx n="0" f="v">
      <t c="3">
        <n x="283"/>
        <n x="272"/>
        <n x="231"/>
      </t>
    </mdx>
    <mdx n="0" f="v">
      <t c="3">
        <n x="283"/>
        <n x="433"/>
        <n x="231"/>
      </t>
    </mdx>
    <mdx n="0" f="v">
      <t c="2">
        <n x="283"/>
        <n x="193"/>
      </t>
    </mdx>
    <mdx n="0" f="v">
      <t c="3">
        <n x="283"/>
        <n x="445"/>
        <n x="231"/>
      </t>
    </mdx>
    <mdx n="0" f="v">
      <t c="2">
        <n x="283"/>
        <n x="231"/>
      </t>
    </mdx>
    <mdx n="0" f="v">
      <t c="3">
        <n x="283"/>
        <n x="443"/>
        <n x="231"/>
      </t>
    </mdx>
    <mdx n="0" f="v">
      <t c="3">
        <n x="284"/>
        <n x="272"/>
        <n x="231"/>
      </t>
    </mdx>
    <mdx n="0" f="v">
      <t c="3">
        <n x="284"/>
        <n x="433"/>
        <n x="231"/>
      </t>
    </mdx>
    <mdx n="0" f="v">
      <t c="2">
        <n x="284"/>
        <n x="193"/>
      </t>
    </mdx>
    <mdx n="0" f="v">
      <t c="3">
        <n x="284"/>
        <n x="445"/>
        <n x="231"/>
      </t>
    </mdx>
    <mdx n="0" f="v">
      <t c="2">
        <n x="284"/>
        <n x="231"/>
      </t>
    </mdx>
    <mdx n="0" f="v">
      <t c="3">
        <n x="284"/>
        <n x="443"/>
        <n x="231"/>
      </t>
    </mdx>
    <mdx n="0" f="v">
      <t c="3">
        <n x="285"/>
        <n x="433"/>
        <n x="231"/>
      </t>
    </mdx>
    <mdx n="0" f="v">
      <t c="2">
        <n x="285"/>
        <n x="193"/>
      </t>
    </mdx>
    <mdx n="0" f="v">
      <t c="3">
        <n x="285"/>
        <n x="272"/>
        <n x="231"/>
      </t>
    </mdx>
    <mdx n="0" f="v">
      <t c="3">
        <n x="285"/>
        <n x="445"/>
        <n x="231"/>
      </t>
    </mdx>
    <mdx n="0" f="v">
      <t c="2">
        <n x="285"/>
        <n x="231"/>
      </t>
    </mdx>
    <mdx n="0" f="v">
      <t c="3">
        <n x="285"/>
        <n x="443"/>
        <n x="231"/>
      </t>
    </mdx>
    <mdx n="0" f="v">
      <t c="2">
        <n x="286"/>
        <n x="193"/>
      </t>
    </mdx>
    <mdx n="0" f="v">
      <t c="3">
        <n x="286"/>
        <n x="433"/>
        <n x="231"/>
      </t>
    </mdx>
    <mdx n="0" f="v">
      <t c="3">
        <n x="286"/>
        <n x="272"/>
        <n x="231"/>
      </t>
    </mdx>
    <mdx n="0" f="v">
      <t c="3">
        <n x="286"/>
        <n x="445"/>
        <n x="231"/>
      </t>
    </mdx>
    <mdx n="0" f="v">
      <t c="2">
        <n x="286"/>
        <n x="231"/>
      </t>
    </mdx>
    <mdx n="0" f="v">
      <t c="3">
        <n x="286"/>
        <n x="443"/>
        <n x="231"/>
      </t>
    </mdx>
    <mdx n="0" f="v">
      <t c="2">
        <n x="287"/>
        <n x="193"/>
      </t>
    </mdx>
    <mdx n="0" f="v">
      <t c="3">
        <n x="287"/>
        <n x="433"/>
        <n x="231"/>
      </t>
    </mdx>
    <mdx n="0" f="v">
      <t c="3">
        <n x="287"/>
        <n x="272"/>
        <n x="231"/>
      </t>
    </mdx>
    <mdx n="0" f="v">
      <t c="3">
        <n x="287"/>
        <n x="445"/>
        <n x="231"/>
      </t>
    </mdx>
    <mdx n="0" f="v">
      <t c="2">
        <n x="287"/>
        <n x="231"/>
      </t>
    </mdx>
    <mdx n="0" f="v">
      <t c="3">
        <n x="287"/>
        <n x="443"/>
        <n x="231"/>
      </t>
    </mdx>
    <mdx n="0" f="v">
      <t c="3">
        <n x="288"/>
        <n x="433"/>
        <n x="231"/>
      </t>
    </mdx>
    <mdx n="0" f="v">
      <t c="2">
        <n x="288"/>
        <n x="193"/>
      </t>
    </mdx>
    <mdx n="0" f="v">
      <t c="3">
        <n x="288"/>
        <n x="272"/>
        <n x="231"/>
      </t>
    </mdx>
    <mdx n="0" f="v">
      <t c="3">
        <n x="288"/>
        <n x="445"/>
        <n x="231"/>
      </t>
    </mdx>
    <mdx n="0" f="v">
      <t c="2">
        <n x="288"/>
        <n x="231"/>
      </t>
    </mdx>
    <mdx n="0" f="v">
      <t c="3">
        <n x="288"/>
        <n x="443"/>
        <n x="231"/>
      </t>
    </mdx>
    <mdx n="0" f="v">
      <t c="3">
        <n x="289"/>
        <n x="433"/>
        <n x="231"/>
      </t>
    </mdx>
    <mdx n="0" f="v">
      <t c="2">
        <n x="289"/>
        <n x="193"/>
      </t>
    </mdx>
    <mdx n="0" f="v">
      <t c="3">
        <n x="289"/>
        <n x="272"/>
        <n x="231"/>
      </t>
    </mdx>
    <mdx n="0" f="v">
      <t c="3">
        <n x="289"/>
        <n x="445"/>
        <n x="231"/>
      </t>
    </mdx>
    <mdx n="0" f="v">
      <t c="2">
        <n x="289"/>
        <n x="231"/>
      </t>
    </mdx>
    <mdx n="0" f="v">
      <t c="3">
        <n x="289"/>
        <n x="443"/>
        <n x="231"/>
      </t>
    </mdx>
    <mdx n="0" f="v">
      <t c="3">
        <n x="290"/>
        <n x="433"/>
        <n x="231"/>
      </t>
    </mdx>
    <mdx n="0" f="v">
      <t c="2">
        <n x="290"/>
        <n x="193"/>
      </t>
    </mdx>
    <mdx n="0" f="v">
      <t c="3">
        <n x="290"/>
        <n x="272"/>
        <n x="231"/>
      </t>
    </mdx>
    <mdx n="0" f="v">
      <t c="3">
        <n x="290"/>
        <n x="445"/>
        <n x="231"/>
      </t>
    </mdx>
    <mdx n="0" f="v">
      <t c="2">
        <n x="290"/>
        <n x="231"/>
      </t>
    </mdx>
    <mdx n="0" f="v">
      <t c="3">
        <n x="290"/>
        <n x="443"/>
        <n x="231"/>
      </t>
    </mdx>
    <mdx n="0" f="v">
      <t c="3">
        <n x="291"/>
        <n x="433"/>
        <n x="231"/>
      </t>
    </mdx>
    <mdx n="0" f="v">
      <t c="2">
        <n x="291"/>
        <n x="193"/>
      </t>
    </mdx>
    <mdx n="0" f="v">
      <t c="3">
        <n x="291"/>
        <n x="272"/>
        <n x="231"/>
      </t>
    </mdx>
    <mdx n="0" f="v">
      <t c="3">
        <n x="291"/>
        <n x="445"/>
        <n x="231"/>
      </t>
    </mdx>
    <mdx n="0" f="v">
      <t c="2">
        <n x="291"/>
        <n x="231"/>
      </t>
    </mdx>
    <mdx n="0" f="v">
      <t c="3">
        <n x="291"/>
        <n x="443"/>
        <n x="231"/>
      </t>
    </mdx>
    <mdx n="0" f="v">
      <t c="3">
        <n x="292"/>
        <n x="445"/>
        <n x="231"/>
      </t>
    </mdx>
    <mdx n="0" f="v">
      <t c="3">
        <n x="292"/>
        <n x="433"/>
        <n x="231"/>
      </t>
    </mdx>
    <mdx n="0" f="v">
      <t c="2">
        <n x="292"/>
        <n x="193"/>
      </t>
    </mdx>
    <mdx n="0" f="v">
      <t c="2">
        <n x="292"/>
        <n x="231"/>
      </t>
    </mdx>
    <mdx n="0" f="v">
      <t c="3">
        <n x="292"/>
        <n x="272"/>
        <n x="231"/>
      </t>
    </mdx>
    <mdx n="0" f="v">
      <t c="3">
        <n x="292"/>
        <n x="443"/>
        <n x="231"/>
      </t>
    </mdx>
    <mdx n="0" f="v">
      <t c="2">
        <n x="293"/>
        <n x="193"/>
      </t>
    </mdx>
    <mdx n="0" f="v">
      <t c="3">
        <n x="293"/>
        <n x="433"/>
        <n x="231"/>
      </t>
    </mdx>
    <mdx n="0" f="v">
      <t c="2">
        <n x="293"/>
        <n x="231"/>
      </t>
    </mdx>
    <mdx n="0" f="v">
      <t c="3">
        <n x="293"/>
        <n x="445"/>
        <n x="231"/>
      </t>
    </mdx>
    <mdx n="0" f="v">
      <t c="3">
        <n x="293"/>
        <n x="272"/>
        <n x="231"/>
      </t>
    </mdx>
    <mdx n="0" f="v">
      <t c="3">
        <n x="293"/>
        <n x="443"/>
        <n x="231"/>
      </t>
    </mdx>
    <mdx n="0" f="v">
      <t c="3">
        <n x="294"/>
        <n x="443"/>
        <n x="231"/>
      </t>
    </mdx>
    <mdx n="0" f="v">
      <t c="3">
        <n x="294"/>
        <n x="445"/>
        <n x="231"/>
      </t>
    </mdx>
    <mdx n="0" f="v">
      <t c="2">
        <n x="294"/>
        <n x="193"/>
      </t>
    </mdx>
    <mdx n="0" f="v">
      <t c="2">
        <n x="294"/>
        <n x="231"/>
      </t>
    </mdx>
    <mdx n="0" f="v">
      <t c="3">
        <n x="294"/>
        <n x="433"/>
        <n x="231"/>
      </t>
    </mdx>
    <mdx n="0" f="v">
      <t c="3">
        <n x="294"/>
        <n x="272"/>
        <n x="231"/>
      </t>
    </mdx>
    <mdx n="0" f="v">
      <t c="3">
        <n x="120"/>
        <n x="445"/>
        <n x="231"/>
      </t>
    </mdx>
    <mdx n="0" f="v">
      <t c="3">
        <n x="120"/>
        <n x="443"/>
        <n x="231"/>
      </t>
    </mdx>
    <mdx n="0" f="v">
      <t c="2">
        <n x="120"/>
        <n x="193"/>
      </t>
    </mdx>
    <mdx n="0" f="v">
      <t c="2">
        <n x="120"/>
        <n x="231"/>
      </t>
    </mdx>
    <mdx n="0" f="v">
      <t c="3">
        <n x="120"/>
        <n x="433"/>
        <n x="231"/>
      </t>
    </mdx>
    <mdx n="0" f="v">
      <t c="3">
        <n x="120"/>
        <n x="272"/>
        <n x="231"/>
      </t>
    </mdx>
    <mdx n="0" f="v">
      <t c="3">
        <n x="121"/>
        <n x="445"/>
        <n x="231"/>
      </t>
    </mdx>
    <mdx n="0" f="v">
      <t c="3">
        <n x="121"/>
        <n x="443"/>
        <n x="231"/>
      </t>
    </mdx>
    <mdx n="0" f="v">
      <t c="2">
        <n x="121"/>
        <n x="193"/>
      </t>
    </mdx>
    <mdx n="0" f="v">
      <t c="2">
        <n x="121"/>
        <n x="231"/>
      </t>
    </mdx>
    <mdx n="0" f="v">
      <t c="3">
        <n x="121"/>
        <n x="433"/>
        <n x="231"/>
      </t>
    </mdx>
    <mdx n="0" f="v">
      <t c="3">
        <n x="121"/>
        <n x="272"/>
        <n x="231"/>
      </t>
    </mdx>
    <mdx n="0" f="v">
      <t c="2">
        <n x="122"/>
        <n x="231"/>
      </t>
    </mdx>
    <mdx n="0" f="v">
      <t c="2">
        <n x="122"/>
        <n x="193"/>
      </t>
    </mdx>
    <mdx n="0" f="v">
      <t c="3">
        <n x="122"/>
        <n x="445"/>
        <n x="231"/>
      </t>
    </mdx>
    <mdx n="0" f="v">
      <t c="3">
        <n x="122"/>
        <n x="443"/>
        <n x="231"/>
      </t>
    </mdx>
    <mdx n="0" f="v">
      <t c="3">
        <n x="122"/>
        <n x="433"/>
        <n x="231"/>
      </t>
    </mdx>
    <mdx n="0" f="v">
      <t c="3">
        <n x="122"/>
        <n x="272"/>
        <n x="231"/>
      </t>
    </mdx>
    <mdx n="0" f="v">
      <t c="3">
        <n x="123"/>
        <n x="443"/>
        <n x="231"/>
      </t>
    </mdx>
    <mdx n="0" f="v">
      <t c="3">
        <n x="123"/>
        <n x="445"/>
        <n x="231"/>
      </t>
    </mdx>
    <mdx n="0" f="v">
      <t c="2">
        <n x="123"/>
        <n x="193"/>
      </t>
    </mdx>
    <mdx n="0" f="v">
      <t c="2">
        <n x="123"/>
        <n x="231"/>
      </t>
    </mdx>
    <mdx n="0" f="v">
      <t c="3">
        <n x="123"/>
        <n x="433"/>
        <n x="231"/>
      </t>
    </mdx>
    <mdx n="0" f="v">
      <t c="3">
        <n x="123"/>
        <n x="272"/>
        <n x="231"/>
      </t>
    </mdx>
    <mdx n="0" f="v">
      <t c="3">
        <n x="124"/>
        <n x="445"/>
        <n x="231"/>
      </t>
    </mdx>
    <mdx n="0" f="v">
      <t c="3">
        <n x="124"/>
        <n x="443"/>
        <n x="231"/>
      </t>
    </mdx>
    <mdx n="0" f="v">
      <t c="2">
        <n x="124"/>
        <n x="193"/>
      </t>
    </mdx>
    <mdx n="0" f="v">
      <t c="2">
        <n x="124"/>
        <n x="231"/>
      </t>
    </mdx>
    <mdx n="0" f="v">
      <t c="3">
        <n x="124"/>
        <n x="433"/>
        <n x="231"/>
      </t>
    </mdx>
    <mdx n="0" f="v">
      <t c="3">
        <n x="124"/>
        <n x="272"/>
        <n x="231"/>
      </t>
    </mdx>
    <mdx n="0" f="v">
      <t c="3">
        <n x="125"/>
        <n x="443"/>
        <n x="231"/>
      </t>
    </mdx>
    <mdx n="0" f="v">
      <t c="3">
        <n x="125"/>
        <n x="272"/>
        <n x="231"/>
      </t>
    </mdx>
    <mdx n="0" f="v">
      <t c="2">
        <n x="125"/>
        <n x="193"/>
      </t>
    </mdx>
    <mdx n="0" f="v">
      <t c="2">
        <n x="125"/>
        <n x="231"/>
      </t>
    </mdx>
    <mdx n="0" f="v">
      <t c="3">
        <n x="125"/>
        <n x="433"/>
        <n x="231"/>
      </t>
    </mdx>
    <mdx n="0" f="v">
      <t c="3">
        <n x="126"/>
        <n x="443"/>
        <n x="231"/>
      </t>
    </mdx>
    <mdx n="0" f="v">
      <t c="3">
        <n x="126"/>
        <n x="433"/>
        <n x="231"/>
      </t>
    </mdx>
    <mdx n="0" f="v">
      <t c="3">
        <n x="126"/>
        <n x="272"/>
        <n x="231"/>
      </t>
    </mdx>
    <mdx n="0" f="v">
      <t c="2">
        <n x="126"/>
        <n x="193"/>
      </t>
    </mdx>
    <mdx n="0" f="v">
      <t c="3">
        <n x="126"/>
        <n x="445"/>
        <n x="231"/>
      </t>
    </mdx>
    <mdx n="0" f="v">
      <t c="2">
        <n x="126"/>
        <n x="231"/>
      </t>
    </mdx>
    <mdx n="0" f="v">
      <t c="3">
        <n x="127"/>
        <n x="443"/>
        <n x="231"/>
      </t>
    </mdx>
    <mdx n="0" f="v">
      <t c="3">
        <n x="127"/>
        <n x="433"/>
        <n x="231"/>
      </t>
    </mdx>
    <mdx n="0" f="v">
      <t c="3">
        <n x="127"/>
        <n x="272"/>
        <n x="231"/>
      </t>
    </mdx>
    <mdx n="0" f="v">
      <t c="2">
        <n x="127"/>
        <n x="193"/>
      </t>
    </mdx>
    <mdx n="0" f="v">
      <t c="3">
        <n x="127"/>
        <n x="445"/>
        <n x="231"/>
      </t>
    </mdx>
    <mdx n="0" f="v">
      <t c="2">
        <n x="127"/>
        <n x="231"/>
      </t>
    </mdx>
    <mdx n="0" f="v">
      <t c="3">
        <n x="128"/>
        <n x="443"/>
        <n x="231"/>
      </t>
    </mdx>
    <mdx n="0" f="v">
      <t c="3">
        <n x="128"/>
        <n x="433"/>
        <n x="231"/>
      </t>
    </mdx>
    <mdx n="0" f="v">
      <t c="3">
        <n x="128"/>
        <n x="272"/>
        <n x="231"/>
      </t>
    </mdx>
    <mdx n="0" f="v">
      <t c="2">
        <n x="128"/>
        <n x="193"/>
      </t>
    </mdx>
    <mdx n="0" f="v">
      <t c="3">
        <n x="128"/>
        <n x="445"/>
        <n x="231"/>
      </t>
    </mdx>
    <mdx n="0" f="v">
      <t c="2">
        <n x="128"/>
        <n x="231"/>
      </t>
    </mdx>
    <mdx n="0" f="v">
      <t c="3">
        <n x="129"/>
        <n x="443"/>
        <n x="231"/>
      </t>
    </mdx>
    <mdx n="0" f="v">
      <t c="3">
        <n x="129"/>
        <n x="433"/>
        <n x="231"/>
      </t>
    </mdx>
    <mdx n="0" f="v">
      <t c="3">
        <n x="129"/>
        <n x="272"/>
        <n x="231"/>
      </t>
    </mdx>
    <mdx n="0" f="v">
      <t c="2">
        <n x="129"/>
        <n x="193"/>
      </t>
    </mdx>
    <mdx n="0" f="v">
      <t c="3">
        <n x="129"/>
        <n x="445"/>
        <n x="231"/>
      </t>
    </mdx>
    <mdx n="0" f="v">
      <t c="2">
        <n x="129"/>
        <n x="231"/>
      </t>
    </mdx>
    <mdx n="0" f="v">
      <t c="3">
        <n x="130"/>
        <n x="443"/>
        <n x="231"/>
      </t>
    </mdx>
    <mdx n="0" f="v">
      <t c="3">
        <n x="130"/>
        <n x="433"/>
        <n x="231"/>
      </t>
    </mdx>
    <mdx n="0" f="v">
      <t c="3">
        <n x="130"/>
        <n x="272"/>
        <n x="231"/>
      </t>
    </mdx>
    <mdx n="0" f="v">
      <t c="2">
        <n x="130"/>
        <n x="193"/>
      </t>
    </mdx>
    <mdx n="0" f="v">
      <t c="3">
        <n x="130"/>
        <n x="445"/>
        <n x="231"/>
      </t>
    </mdx>
    <mdx n="0" f="v">
      <t c="2">
        <n x="130"/>
        <n x="231"/>
      </t>
    </mdx>
    <mdx n="0" f="v">
      <t c="3">
        <n x="131"/>
        <n x="443"/>
        <n x="231"/>
      </t>
    </mdx>
    <mdx n="0" f="v">
      <t c="3">
        <n x="131"/>
        <n x="433"/>
        <n x="231"/>
      </t>
    </mdx>
    <mdx n="0" f="v">
      <t c="3">
        <n x="131"/>
        <n x="272"/>
        <n x="231"/>
      </t>
    </mdx>
    <mdx n="0" f="v">
      <t c="2">
        <n x="131"/>
        <n x="193"/>
      </t>
    </mdx>
    <mdx n="0" f="v">
      <t c="3">
        <n x="131"/>
        <n x="445"/>
        <n x="231"/>
      </t>
    </mdx>
    <mdx n="0" f="v">
      <t c="2">
        <n x="131"/>
        <n x="231"/>
      </t>
    </mdx>
    <mdx n="0" f="v">
      <t c="3">
        <n x="132"/>
        <n x="443"/>
        <n x="231"/>
      </t>
    </mdx>
    <mdx n="0" f="v">
      <t c="3">
        <n x="132"/>
        <n x="433"/>
        <n x="231"/>
      </t>
    </mdx>
    <mdx n="0" f="v">
      <t c="3">
        <n x="132"/>
        <n x="272"/>
        <n x="231"/>
      </t>
    </mdx>
    <mdx n="0" f="v">
      <t c="2">
        <n x="132"/>
        <n x="193"/>
      </t>
    </mdx>
    <mdx n="0" f="v">
      <t c="3">
        <n x="132"/>
        <n x="445"/>
        <n x="231"/>
      </t>
    </mdx>
    <mdx n="0" f="v">
      <t c="2">
        <n x="132"/>
        <n x="231"/>
      </t>
    </mdx>
    <mdx n="0" f="v">
      <t c="3">
        <n x="133"/>
        <n x="443"/>
        <n x="231"/>
      </t>
    </mdx>
    <mdx n="0" f="v">
      <t c="3">
        <n x="133"/>
        <n x="433"/>
        <n x="231"/>
      </t>
    </mdx>
    <mdx n="0" f="v">
      <t c="3">
        <n x="133"/>
        <n x="272"/>
        <n x="231"/>
      </t>
    </mdx>
    <mdx n="0" f="v">
      <t c="2">
        <n x="133"/>
        <n x="193"/>
      </t>
    </mdx>
    <mdx n="0" f="v">
      <t c="3">
        <n x="133"/>
        <n x="445"/>
        <n x="231"/>
      </t>
    </mdx>
    <mdx n="0" f="v">
      <t c="2">
        <n x="133"/>
        <n x="231"/>
      </t>
    </mdx>
    <mdx n="0" f="v">
      <t c="3">
        <n x="134"/>
        <n x="272"/>
        <n x="231"/>
      </t>
    </mdx>
    <mdx n="0" f="v">
      <t c="2">
        <n x="134"/>
        <n x="193"/>
      </t>
    </mdx>
    <mdx n="0" f="v">
      <t c="3">
        <n x="134"/>
        <n x="445"/>
        <n x="231"/>
      </t>
    </mdx>
    <mdx n="0" f="v">
      <t c="2">
        <n x="134"/>
        <n x="231"/>
      </t>
    </mdx>
    <mdx n="0" f="v">
      <t c="3">
        <n x="134"/>
        <n x="443"/>
        <n x="231"/>
      </t>
    </mdx>
    <mdx n="0" f="v">
      <t c="3">
        <n x="134"/>
        <n x="433"/>
        <n x="231"/>
      </t>
    </mdx>
    <mdx n="0" f="v">
      <t c="3">
        <n x="135"/>
        <n x="272"/>
        <n x="231"/>
      </t>
    </mdx>
    <mdx n="0" f="v">
      <t c="2">
        <n x="135"/>
        <n x="193"/>
      </t>
    </mdx>
    <mdx n="0" f="v">
      <t c="3">
        <n x="135"/>
        <n x="445"/>
        <n x="231"/>
      </t>
    </mdx>
    <mdx n="0" f="v">
      <t c="2">
        <n x="135"/>
        <n x="231"/>
      </t>
    </mdx>
    <mdx n="0" f="v">
      <t c="3">
        <n x="135"/>
        <n x="443"/>
        <n x="231"/>
      </t>
    </mdx>
    <mdx n="0" f="v">
      <t c="3">
        <n x="135"/>
        <n x="433"/>
        <n x="231"/>
      </t>
    </mdx>
    <mdx n="0" f="v">
      <t c="2">
        <n x="136"/>
        <n x="193"/>
      </t>
    </mdx>
    <mdx n="0" f="v">
      <t c="3">
        <n x="136"/>
        <n x="445"/>
        <n x="231"/>
      </t>
    </mdx>
    <mdx n="0" f="v">
      <t c="2">
        <n x="136"/>
        <n x="231"/>
      </t>
    </mdx>
    <mdx n="0" f="v">
      <t c="3">
        <n x="136"/>
        <n x="443"/>
        <n x="231"/>
      </t>
    </mdx>
    <mdx n="0" f="v">
      <t c="3">
        <n x="137"/>
        <n x="272"/>
        <n x="231"/>
      </t>
    </mdx>
    <mdx n="0" f="v">
      <t c="2">
        <n x="137"/>
        <n x="231"/>
      </t>
    </mdx>
    <mdx n="0" f="v">
      <t c="2">
        <n x="137"/>
        <n x="193"/>
      </t>
    </mdx>
    <mdx n="0" f="v">
      <t c="3">
        <n x="137"/>
        <n x="443"/>
        <n x="231"/>
      </t>
    </mdx>
    <mdx n="0" f="v">
      <t c="3">
        <n x="138"/>
        <n x="445"/>
        <n x="231"/>
      </t>
    </mdx>
    <mdx n="0" f="v">
      <t c="3">
        <n x="138"/>
        <n x="433"/>
        <n x="231"/>
      </t>
    </mdx>
    <mdx n="0" f="v">
      <t c="3">
        <n x="138"/>
        <n x="272"/>
        <n x="231"/>
      </t>
    </mdx>
    <mdx n="0" f="v">
      <t c="2">
        <n x="138"/>
        <n x="231"/>
      </t>
    </mdx>
    <mdx n="0" f="v">
      <t c="2">
        <n x="138"/>
        <n x="193"/>
      </t>
    </mdx>
    <mdx n="0" f="v">
      <t c="3">
        <n x="138"/>
        <n x="443"/>
        <n x="231"/>
      </t>
    </mdx>
    <mdx n="0" f="v">
      <t c="3">
        <n x="139"/>
        <n x="445"/>
        <n x="231"/>
      </t>
    </mdx>
    <mdx n="0" f="v">
      <t c="3">
        <n x="139"/>
        <n x="433"/>
        <n x="231"/>
      </t>
    </mdx>
    <mdx n="0" f="v">
      <t c="2">
        <n x="139"/>
        <n x="193"/>
      </t>
    </mdx>
    <mdx n="0" f="v">
      <t c="3">
        <n x="139"/>
        <n x="443"/>
        <n x="231"/>
      </t>
    </mdx>
    <mdx n="0" f="v">
      <t c="2">
        <n x="140"/>
        <n x="193"/>
      </t>
    </mdx>
    <mdx n="0" f="v">
      <t c="3">
        <n x="140"/>
        <n x="443"/>
        <n x="231"/>
      </t>
    </mdx>
    <mdx n="0" f="v">
      <t c="3">
        <n x="141"/>
        <n x="272"/>
        <n x="231"/>
      </t>
    </mdx>
    <mdx n="0" f="v">
      <t c="2">
        <n x="141"/>
        <n x="231"/>
      </t>
    </mdx>
    <mdx n="0" f="v">
      <t c="2">
        <n x="141"/>
        <n x="193"/>
      </t>
    </mdx>
    <mdx n="0" f="v">
      <t c="3">
        <n x="141"/>
        <n x="443"/>
        <n x="231"/>
      </t>
    </mdx>
    <mdx n="0" f="v">
      <t c="3">
        <n x="142"/>
        <n x="445"/>
        <n x="231"/>
      </t>
    </mdx>
    <mdx n="0" f="v">
      <t c="3">
        <n x="142"/>
        <n x="433"/>
        <n x="231"/>
      </t>
    </mdx>
    <mdx n="0" f="v">
      <t c="3">
        <n x="142"/>
        <n x="272"/>
        <n x="231"/>
      </t>
    </mdx>
    <mdx n="0" f="v">
      <t c="2">
        <n x="142"/>
        <n x="231"/>
      </t>
    </mdx>
    <mdx n="0" f="v">
      <t c="2">
        <n x="142"/>
        <n x="193"/>
      </t>
    </mdx>
    <mdx n="0" f="v">
      <t c="3">
        <n x="142"/>
        <n x="443"/>
        <n x="231"/>
      </t>
    </mdx>
    <mdx n="0" f="v">
      <t c="3">
        <n x="143"/>
        <n x="445"/>
        <n x="231"/>
      </t>
    </mdx>
    <mdx n="0" f="v">
      <t c="3">
        <n x="143"/>
        <n x="433"/>
        <n x="231"/>
      </t>
    </mdx>
    <mdx n="0" f="v">
      <t c="3">
        <n x="143"/>
        <n x="272"/>
        <n x="231"/>
      </t>
    </mdx>
    <mdx n="0" f="v">
      <t c="2">
        <n x="143"/>
        <n x="193"/>
      </t>
    </mdx>
    <mdx n="0" f="v">
      <t c="3">
        <n x="143"/>
        <n x="443"/>
        <n x="231"/>
      </t>
    </mdx>
    <mdx n="0" f="v">
      <t c="3">
        <n x="144"/>
        <n x="445"/>
        <n x="231"/>
      </t>
    </mdx>
    <mdx n="0" f="v">
      <t c="3">
        <n x="144"/>
        <n x="433"/>
        <n x="231"/>
      </t>
    </mdx>
    <mdx n="0" f="v">
      <t c="3">
        <n x="144"/>
        <n x="272"/>
        <n x="231"/>
      </t>
    </mdx>
    <mdx n="0" f="v">
      <t c="2">
        <n x="144"/>
        <n x="193"/>
      </t>
    </mdx>
    <mdx n="0" f="v">
      <t c="3">
        <n x="144"/>
        <n x="443"/>
        <n x="231"/>
      </t>
    </mdx>
    <mdx n="0" f="v">
      <t c="3">
        <n x="145"/>
        <n x="443"/>
        <n x="231"/>
      </t>
    </mdx>
    <mdx n="0" f="v">
      <t c="3">
        <n x="145"/>
        <n x="433"/>
        <n x="231"/>
      </t>
    </mdx>
    <mdx n="0" f="v">
      <t c="3">
        <n x="146"/>
        <n x="443"/>
        <n x="231"/>
      </t>
    </mdx>
    <mdx n="0" f="v">
      <t c="3">
        <n x="146"/>
        <n x="433"/>
        <n x="231"/>
      </t>
    </mdx>
    <mdx n="0" f="v">
      <t c="3">
        <n x="147"/>
        <n x="443"/>
        <n x="231"/>
      </t>
    </mdx>
    <mdx n="0" f="v">
      <t c="3">
        <n x="147"/>
        <n x="433"/>
        <n x="231"/>
      </t>
    </mdx>
    <mdx n="0" f="v">
      <t c="3">
        <n x="148"/>
        <n x="443"/>
        <n x="231"/>
      </t>
    </mdx>
    <mdx n="0" f="v">
      <t c="3">
        <n x="148"/>
        <n x="433"/>
        <n x="231"/>
      </t>
    </mdx>
    <mdx n="0" f="v">
      <t c="3">
        <n x="149"/>
        <n x="443"/>
        <n x="231"/>
      </t>
    </mdx>
    <mdx n="0" f="v">
      <t c="3">
        <n x="149"/>
        <n x="433"/>
        <n x="231"/>
      </t>
    </mdx>
    <mdx n="0" f="v">
      <t c="3">
        <n x="150"/>
        <n x="443"/>
        <n x="231"/>
      </t>
    </mdx>
    <mdx n="0" f="v">
      <t c="3">
        <n x="150"/>
        <n x="433"/>
        <n x="231"/>
      </t>
    </mdx>
    <mdx n="0" f="v">
      <t c="3">
        <n x="151"/>
        <n x="443"/>
        <n x="231"/>
      </t>
    </mdx>
    <mdx n="0" f="v">
      <t c="3">
        <n x="151"/>
        <n x="433"/>
        <n x="231"/>
      </t>
    </mdx>
    <mdx n="0" f="v">
      <t c="3">
        <n x="152"/>
        <n x="443"/>
        <n x="231"/>
      </t>
    </mdx>
    <mdx n="0" f="v">
      <t c="3">
        <n x="152"/>
        <n x="433"/>
        <n x="231"/>
      </t>
    </mdx>
    <mdx n="0" f="v">
      <t c="3">
        <n x="153"/>
        <n x="443"/>
        <n x="231"/>
      </t>
    </mdx>
    <mdx n="0" f="v">
      <t c="3">
        <n x="153"/>
        <n x="433"/>
        <n x="231"/>
      </t>
    </mdx>
    <mdx n="0" f="v">
      <t c="2">
        <n x="295"/>
        <n x="193"/>
      </t>
    </mdx>
    <mdx n="0" f="v">
      <t c="3">
        <n x="295"/>
        <n x="445"/>
        <n x="231"/>
      </t>
    </mdx>
    <mdx n="0" f="v">
      <t c="2">
        <n x="295"/>
        <n x="231"/>
      </t>
    </mdx>
    <mdx n="0" f="v">
      <t c="3">
        <n x="295"/>
        <n x="443"/>
        <n x="231"/>
      </t>
    </mdx>
    <mdx n="0" f="v">
      <t c="3">
        <n x="295"/>
        <n x="433"/>
        <n x="231"/>
      </t>
    </mdx>
    <mdx n="0" f="v">
      <t c="3">
        <n x="295"/>
        <n x="272"/>
        <n x="231"/>
      </t>
    </mdx>
    <mdx n="0" f="v">
      <t c="2">
        <n x="296"/>
        <n x="193"/>
      </t>
    </mdx>
    <mdx n="0" f="v">
      <t c="3">
        <n x="296"/>
        <n x="445"/>
        <n x="231"/>
      </t>
    </mdx>
    <mdx n="0" f="v">
      <t c="2">
        <n x="296"/>
        <n x="231"/>
      </t>
    </mdx>
    <mdx n="0" f="v">
      <t c="3">
        <n x="296"/>
        <n x="443"/>
        <n x="231"/>
      </t>
    </mdx>
    <mdx n="0" f="v">
      <t c="3">
        <n x="296"/>
        <n x="433"/>
        <n x="231"/>
      </t>
    </mdx>
    <mdx n="0" f="v">
      <t c="3">
        <n x="296"/>
        <n x="272"/>
        <n x="231"/>
      </t>
    </mdx>
    <mdx n="0" f="v">
      <t c="2">
        <n x="297"/>
        <n x="193"/>
      </t>
    </mdx>
    <mdx n="0" f="v">
      <t c="3">
        <n x="297"/>
        <n x="445"/>
        <n x="231"/>
      </t>
    </mdx>
    <mdx n="0" f="v">
      <t c="2">
        <n x="297"/>
        <n x="231"/>
      </t>
    </mdx>
    <mdx n="0" f="v">
      <t c="3">
        <n x="297"/>
        <n x="443"/>
        <n x="231"/>
      </t>
    </mdx>
    <mdx n="0" f="v">
      <t c="3">
        <n x="297"/>
        <n x="433"/>
        <n x="231"/>
      </t>
    </mdx>
    <mdx n="0" f="v">
      <t c="3">
        <n x="297"/>
        <n x="272"/>
        <n x="231"/>
      </t>
    </mdx>
    <mdx n="0" f="v">
      <t c="2">
        <n x="298"/>
        <n x="193"/>
      </t>
    </mdx>
    <mdx n="0" f="v">
      <t c="3">
        <n x="298"/>
        <n x="445"/>
        <n x="231"/>
      </t>
    </mdx>
    <mdx n="0" f="v">
      <t c="2">
        <n x="298"/>
        <n x="231"/>
      </t>
    </mdx>
    <mdx n="0" f="v">
      <t c="3">
        <n x="298"/>
        <n x="443"/>
        <n x="231"/>
      </t>
    </mdx>
    <mdx n="0" f="v">
      <t c="3">
        <n x="298"/>
        <n x="433"/>
        <n x="231"/>
      </t>
    </mdx>
    <mdx n="0" f="v">
      <t c="3">
        <n x="298"/>
        <n x="272"/>
        <n x="231"/>
      </t>
    </mdx>
    <mdx n="0" f="v">
      <t c="2">
        <n x="299"/>
        <n x="231"/>
      </t>
    </mdx>
    <mdx n="0" f="v">
      <t c="3">
        <n x="299"/>
        <n x="445"/>
        <n x="231"/>
      </t>
    </mdx>
    <mdx n="0" f="v">
      <t c="2">
        <n x="299"/>
        <n x="193"/>
      </t>
    </mdx>
    <mdx n="0" f="v">
      <t c="3">
        <n x="299"/>
        <n x="443"/>
        <n x="231"/>
      </t>
    </mdx>
    <mdx n="0" f="v">
      <t c="3">
        <n x="299"/>
        <n x="433"/>
        <n x="231"/>
      </t>
    </mdx>
    <mdx n="0" f="v">
      <t c="3">
        <n x="299"/>
        <n x="272"/>
        <n x="231"/>
      </t>
    </mdx>
    <mdx n="0" f="v">
      <t c="3">
        <n x="300"/>
        <n x="445"/>
        <n x="231"/>
      </t>
    </mdx>
    <mdx n="0" f="v">
      <t c="2">
        <n x="300"/>
        <n x="231"/>
      </t>
    </mdx>
    <mdx n="0" f="v">
      <t c="2">
        <n x="300"/>
        <n x="193"/>
      </t>
    </mdx>
    <mdx n="0" f="v">
      <t c="3">
        <n x="300"/>
        <n x="443"/>
        <n x="231"/>
      </t>
    </mdx>
    <mdx n="0" f="v">
      <t c="3">
        <n x="300"/>
        <n x="433"/>
        <n x="231"/>
      </t>
    </mdx>
    <mdx n="0" f="v">
      <t c="3">
        <n x="300"/>
        <n x="272"/>
        <n x="231"/>
      </t>
    </mdx>
    <mdx n="0" f="v">
      <t c="2">
        <n x="301"/>
        <n x="231"/>
      </t>
    </mdx>
    <mdx n="0" f="v">
      <t c="3">
        <n x="301"/>
        <n x="445"/>
        <n x="231"/>
      </t>
    </mdx>
    <mdx n="0" f="v">
      <t c="2">
        <n x="301"/>
        <n x="193"/>
      </t>
    </mdx>
    <mdx n="0" f="v">
      <t c="3">
        <n x="301"/>
        <n x="443"/>
        <n x="231"/>
      </t>
    </mdx>
    <mdx n="0" f="v">
      <t c="3">
        <n x="301"/>
        <n x="433"/>
        <n x="231"/>
      </t>
    </mdx>
    <mdx n="0" f="v">
      <t c="3">
        <n x="301"/>
        <n x="272"/>
        <n x="231"/>
      </t>
    </mdx>
    <mdx n="0" f="v">
      <t c="3">
        <n x="302"/>
        <n x="445"/>
        <n x="231"/>
      </t>
    </mdx>
    <mdx n="0" f="v">
      <t c="2">
        <n x="302"/>
        <n x="231"/>
      </t>
    </mdx>
    <mdx n="0" f="v">
      <t c="2">
        <n x="302"/>
        <n x="193"/>
      </t>
    </mdx>
    <mdx n="0" f="v">
      <t c="3">
        <n x="302"/>
        <n x="443"/>
        <n x="231"/>
      </t>
    </mdx>
    <mdx n="0" f="v">
      <t c="3">
        <n x="302"/>
        <n x="433"/>
        <n x="231"/>
      </t>
    </mdx>
    <mdx n="0" f="v">
      <t c="3">
        <n x="302"/>
        <n x="272"/>
        <n x="231"/>
      </t>
    </mdx>
    <mdx n="0" f="v">
      <t c="2">
        <n x="303"/>
        <n x="231"/>
      </t>
    </mdx>
    <mdx n="0" f="v">
      <t c="3">
        <n x="303"/>
        <n x="445"/>
        <n x="231"/>
      </t>
    </mdx>
    <mdx n="0" f="v">
      <t c="2">
        <n x="303"/>
        <n x="193"/>
      </t>
    </mdx>
    <mdx n="0" f="v">
      <t c="3">
        <n x="303"/>
        <n x="443"/>
        <n x="231"/>
      </t>
    </mdx>
    <mdx n="0" f="v">
      <t c="3">
        <n x="303"/>
        <n x="433"/>
        <n x="231"/>
      </t>
    </mdx>
    <mdx n="0" f="v">
      <t c="3">
        <n x="303"/>
        <n x="272"/>
        <n x="231"/>
      </t>
    </mdx>
    <mdx n="0" f="v">
      <t c="3">
        <n x="304"/>
        <n x="445"/>
        <n x="231"/>
      </t>
    </mdx>
    <mdx n="0" f="v">
      <t c="2">
        <n x="304"/>
        <n x="231"/>
      </t>
    </mdx>
    <mdx n="0" f="v">
      <t c="2">
        <n x="304"/>
        <n x="193"/>
      </t>
    </mdx>
    <mdx n="0" f="v">
      <t c="3">
        <n x="304"/>
        <n x="443"/>
        <n x="231"/>
      </t>
    </mdx>
    <mdx n="0" f="v">
      <t c="3">
        <n x="304"/>
        <n x="433"/>
        <n x="231"/>
      </t>
    </mdx>
    <mdx n="0" f="v">
      <t c="3">
        <n x="304"/>
        <n x="272"/>
        <n x="231"/>
      </t>
    </mdx>
    <mdx n="0" f="v">
      <t c="3">
        <n x="305"/>
        <n x="445"/>
        <n x="231"/>
      </t>
    </mdx>
    <mdx n="0" f="v">
      <t c="3">
        <n x="305"/>
        <n x="443"/>
        <n x="231"/>
      </t>
    </mdx>
    <mdx n="0" f="v">
      <t c="2">
        <n x="305"/>
        <n x="193"/>
      </t>
    </mdx>
    <mdx n="0" f="v">
      <t c="2">
        <n x="305"/>
        <n x="231"/>
      </t>
    </mdx>
    <mdx n="0" f="v">
      <t c="3">
        <n x="305"/>
        <n x="433"/>
        <n x="231"/>
      </t>
    </mdx>
    <mdx n="0" f="v">
      <t c="3">
        <n x="305"/>
        <n x="272"/>
        <n x="231"/>
      </t>
    </mdx>
    <mdx n="0" f="v">
      <t c="3">
        <n x="306"/>
        <n x="443"/>
        <n x="231"/>
      </t>
    </mdx>
    <mdx n="0" f="v">
      <t c="2">
        <n x="306"/>
        <n x="231"/>
      </t>
    </mdx>
    <mdx n="0" f="v">
      <t c="2">
        <n x="306"/>
        <n x="193"/>
      </t>
    </mdx>
    <mdx n="0" f="v">
      <t c="3">
        <n x="306"/>
        <n x="445"/>
        <n x="231"/>
      </t>
    </mdx>
    <mdx n="0" f="v">
      <t c="3">
        <n x="306"/>
        <n x="433"/>
        <n x="231"/>
      </t>
    </mdx>
    <mdx n="0" f="v">
      <t c="3">
        <n x="306"/>
        <n x="272"/>
        <n x="231"/>
      </t>
    </mdx>
    <mdx n="0" f="v">
      <t c="2">
        <n x="307"/>
        <n x="193"/>
      </t>
    </mdx>
    <mdx n="0" f="v">
      <t c="2">
        <n x="307"/>
        <n x="231"/>
      </t>
    </mdx>
    <mdx n="0" f="v">
      <t c="3">
        <n x="307"/>
        <n x="445"/>
        <n x="231"/>
      </t>
    </mdx>
    <mdx n="0" f="v">
      <t c="3">
        <n x="307"/>
        <n x="443"/>
        <n x="231"/>
      </t>
    </mdx>
    <mdx n="0" f="v">
      <t c="3">
        <n x="307"/>
        <n x="433"/>
        <n x="231"/>
      </t>
    </mdx>
    <mdx n="0" f="v">
      <t c="3">
        <n x="307"/>
        <n x="272"/>
        <n x="231"/>
      </t>
    </mdx>
    <mdx n="0" f="v">
      <t c="2">
        <n x="308"/>
        <n x="193"/>
      </t>
    </mdx>
    <mdx n="0" f="v">
      <t c="2">
        <n x="308"/>
        <n x="231"/>
      </t>
    </mdx>
    <mdx n="0" f="v">
      <t c="3">
        <n x="308"/>
        <n x="445"/>
        <n x="231"/>
      </t>
    </mdx>
    <mdx n="0" f="v">
      <t c="3">
        <n x="308"/>
        <n x="443"/>
        <n x="231"/>
      </t>
    </mdx>
    <mdx n="0" f="v">
      <t c="3">
        <n x="308"/>
        <n x="433"/>
        <n x="231"/>
      </t>
    </mdx>
    <mdx n="0" f="v">
      <t c="3">
        <n x="308"/>
        <n x="272"/>
        <n x="231"/>
      </t>
    </mdx>
    <mdx n="0" f="v">
      <t c="2">
        <n x="309"/>
        <n x="193"/>
      </t>
    </mdx>
    <mdx n="0" f="v">
      <t c="2">
        <n x="309"/>
        <n x="231"/>
      </t>
    </mdx>
    <mdx n="0" f="v">
      <t c="3">
        <n x="309"/>
        <n x="445"/>
        <n x="231"/>
      </t>
    </mdx>
    <mdx n="0" f="v">
      <t c="3">
        <n x="309"/>
        <n x="443"/>
        <n x="231"/>
      </t>
    </mdx>
    <mdx n="0" f="v">
      <t c="3">
        <n x="309"/>
        <n x="433"/>
        <n x="231"/>
      </t>
    </mdx>
    <mdx n="0" f="v">
      <t c="3">
        <n x="309"/>
        <n x="272"/>
        <n x="231"/>
      </t>
    </mdx>
    <mdx n="0" f="v">
      <t c="2">
        <n x="310"/>
        <n x="193"/>
      </t>
    </mdx>
    <mdx n="0" f="v">
      <t c="2">
        <n x="310"/>
        <n x="231"/>
      </t>
    </mdx>
    <mdx n="0" f="v">
      <t c="3">
        <n x="310"/>
        <n x="445"/>
        <n x="231"/>
      </t>
    </mdx>
    <mdx n="0" f="v">
      <t c="3">
        <n x="310"/>
        <n x="443"/>
        <n x="231"/>
      </t>
    </mdx>
    <mdx n="0" f="v">
      <t c="3">
        <n x="310"/>
        <n x="433"/>
        <n x="231"/>
      </t>
    </mdx>
    <mdx n="0" f="v">
      <t c="3">
        <n x="310"/>
        <n x="272"/>
        <n x="231"/>
      </t>
    </mdx>
    <mdx n="0" f="v">
      <t c="2">
        <n x="311"/>
        <n x="193"/>
      </t>
    </mdx>
    <mdx n="0" f="v">
      <t c="2">
        <n x="311"/>
        <n x="231"/>
      </t>
    </mdx>
    <mdx n="0" f="v">
      <t c="3">
        <n x="311"/>
        <n x="445"/>
        <n x="231"/>
      </t>
    </mdx>
    <mdx n="0" f="v">
      <t c="3">
        <n x="311"/>
        <n x="443"/>
        <n x="231"/>
      </t>
    </mdx>
    <mdx n="0" f="v">
      <t c="3">
        <n x="311"/>
        <n x="433"/>
        <n x="231"/>
      </t>
    </mdx>
    <mdx n="0" f="v">
      <t c="3">
        <n x="311"/>
        <n x="272"/>
        <n x="231"/>
      </t>
    </mdx>
    <mdx n="0" f="v">
      <t c="2">
        <n x="312"/>
        <n x="231"/>
      </t>
    </mdx>
    <mdx n="0" f="v">
      <t c="2">
        <n x="312"/>
        <n x="193"/>
      </t>
    </mdx>
    <mdx n="0" f="v">
      <t c="3">
        <n x="312"/>
        <n x="445"/>
        <n x="231"/>
      </t>
    </mdx>
    <mdx n="0" f="v">
      <t c="3">
        <n x="312"/>
        <n x="443"/>
        <n x="231"/>
      </t>
    </mdx>
    <mdx n="0" f="v">
      <t c="3">
        <n x="312"/>
        <n x="433"/>
        <n x="231"/>
      </t>
    </mdx>
    <mdx n="0" f="v">
      <t c="3">
        <n x="312"/>
        <n x="272"/>
        <n x="231"/>
      </t>
    </mdx>
    <mdx n="0" f="v">
      <t c="2">
        <n x="313"/>
        <n x="231"/>
      </t>
    </mdx>
    <mdx n="0" f="v">
      <t c="2">
        <n x="313"/>
        <n x="193"/>
      </t>
    </mdx>
    <mdx n="0" f="v">
      <t c="3">
        <n x="313"/>
        <n x="445"/>
        <n x="231"/>
      </t>
    </mdx>
    <mdx n="0" f="v">
      <t c="3">
        <n x="313"/>
        <n x="443"/>
        <n x="231"/>
      </t>
    </mdx>
    <mdx n="0" f="v">
      <t c="3">
        <n x="313"/>
        <n x="433"/>
        <n x="231"/>
      </t>
    </mdx>
    <mdx n="0" f="v">
      <t c="3">
        <n x="313"/>
        <n x="272"/>
        <n x="231"/>
      </t>
    </mdx>
    <mdx n="0" f="v">
      <t c="2">
        <n x="314"/>
        <n x="193"/>
      </t>
    </mdx>
    <mdx n="0" f="v">
      <t c="2">
        <n x="314"/>
        <n x="231"/>
      </t>
    </mdx>
    <mdx n="0" f="v">
      <t c="3">
        <n x="314"/>
        <n x="445"/>
        <n x="231"/>
      </t>
    </mdx>
    <mdx n="0" f="v">
      <t c="3">
        <n x="314"/>
        <n x="433"/>
        <n x="231"/>
      </t>
    </mdx>
    <mdx n="0" f="v">
      <t c="3">
        <n x="314"/>
        <n x="443"/>
        <n x="231"/>
      </t>
    </mdx>
    <mdx n="0" f="v">
      <t c="3">
        <n x="314"/>
        <n x="272"/>
        <n x="231"/>
      </t>
    </mdx>
    <mdx n="0" f="v">
      <t c="3">
        <n x="315"/>
        <n x="445"/>
        <n x="231"/>
      </t>
    </mdx>
    <mdx n="0" f="v">
      <t c="3">
        <n x="315"/>
        <n x="443"/>
        <n x="231"/>
      </t>
    </mdx>
    <mdx n="0" f="v">
      <t c="3">
        <n x="315"/>
        <n x="433"/>
        <n x="231"/>
      </t>
    </mdx>
    <mdx n="0" f="v">
      <t c="2">
        <n x="315"/>
        <n x="193"/>
      </t>
    </mdx>
    <mdx n="0" f="v">
      <t c="2">
        <n x="315"/>
        <n x="231"/>
      </t>
    </mdx>
    <mdx n="0" f="v">
      <t c="3">
        <n x="315"/>
        <n x="272"/>
        <n x="231"/>
      </t>
    </mdx>
    <mdx n="0" f="v">
      <t c="3">
        <n x="316"/>
        <n x="433"/>
        <n x="231"/>
      </t>
    </mdx>
    <mdx n="0" f="v">
      <t c="3">
        <n x="316"/>
        <n x="272"/>
        <n x="231"/>
      </t>
    </mdx>
    <mdx n="0" f="v">
      <t c="2">
        <n x="316"/>
        <n x="193"/>
      </t>
    </mdx>
    <mdx n="0" f="v">
      <t c="3">
        <n x="316"/>
        <n x="445"/>
        <n x="231"/>
      </t>
    </mdx>
    <mdx n="0" f="v">
      <t c="2">
        <n x="316"/>
        <n x="231"/>
      </t>
    </mdx>
    <mdx n="0" f="v">
      <t c="3">
        <n x="316"/>
        <n x="443"/>
        <n x="231"/>
      </t>
    </mdx>
    <mdx n="0" f="v">
      <t c="3">
        <n x="339"/>
        <n x="433"/>
        <n x="231"/>
      </t>
    </mdx>
    <mdx n="0" f="v">
      <t c="3">
        <n x="339"/>
        <n x="272"/>
        <n x="231"/>
      </t>
    </mdx>
    <mdx n="0" f="v">
      <t c="2">
        <n x="339"/>
        <n x="193"/>
      </t>
    </mdx>
    <mdx n="0" f="v">
      <t c="3">
        <n x="339"/>
        <n x="445"/>
        <n x="231"/>
      </t>
    </mdx>
    <mdx n="0" f="v">
      <t c="2">
        <n x="339"/>
        <n x="231"/>
      </t>
    </mdx>
    <mdx n="0" f="v">
      <t c="3">
        <n x="339"/>
        <n x="443"/>
        <n x="231"/>
      </t>
    </mdx>
    <mdx n="0" f="v">
      <t c="3">
        <n x="341"/>
        <n x="433"/>
        <n x="231"/>
      </t>
    </mdx>
    <mdx n="0" f="v">
      <t c="3">
        <n x="341"/>
        <n x="272"/>
        <n x="231"/>
      </t>
    </mdx>
    <mdx n="0" f="v">
      <t c="2">
        <n x="341"/>
        <n x="193"/>
      </t>
    </mdx>
    <mdx n="0" f="v">
      <t c="3">
        <n x="341"/>
        <n x="445"/>
        <n x="231"/>
      </t>
    </mdx>
    <mdx n="0" f="v">
      <t c="2">
        <n x="341"/>
        <n x="231"/>
      </t>
    </mdx>
    <mdx n="0" f="v">
      <t c="3">
        <n x="341"/>
        <n x="443"/>
        <n x="231"/>
      </t>
    </mdx>
    <mdx n="0" f="v">
      <t c="3">
        <n x="343"/>
        <n x="433"/>
        <n x="231"/>
      </t>
    </mdx>
    <mdx n="0" f="v">
      <t c="3">
        <n x="343"/>
        <n x="272"/>
        <n x="231"/>
      </t>
    </mdx>
    <mdx n="0" f="v">
      <t c="2">
        <n x="343"/>
        <n x="193"/>
      </t>
    </mdx>
    <mdx n="0" f="v">
      <t c="3">
        <n x="343"/>
        <n x="445"/>
        <n x="231"/>
      </t>
    </mdx>
    <mdx n="0" f="v">
      <t c="2">
        <n x="343"/>
        <n x="231"/>
      </t>
    </mdx>
    <mdx n="0" f="v">
      <t c="3">
        <n x="343"/>
        <n x="443"/>
        <n x="231"/>
      </t>
    </mdx>
    <mdx n="0" f="v">
      <t c="3">
        <n x="345"/>
        <n x="433"/>
        <n x="231"/>
      </t>
    </mdx>
    <mdx n="0" f="v">
      <t c="3">
        <n x="345"/>
        <n x="272"/>
        <n x="231"/>
      </t>
    </mdx>
    <mdx n="0" f="v">
      <t c="2">
        <n x="345"/>
        <n x="193"/>
      </t>
    </mdx>
    <mdx n="0" f="v">
      <t c="3">
        <n x="345"/>
        <n x="445"/>
        <n x="231"/>
      </t>
    </mdx>
    <mdx n="0" f="v">
      <t c="2">
        <n x="345"/>
        <n x="231"/>
      </t>
    </mdx>
    <mdx n="0" f="v">
      <t c="3">
        <n x="345"/>
        <n x="443"/>
        <n x="231"/>
      </t>
    </mdx>
    <mdx n="0" f="v">
      <t c="3">
        <n x="347"/>
        <n x="433"/>
        <n x="231"/>
      </t>
    </mdx>
    <mdx n="0" f="v">
      <t c="3">
        <n x="347"/>
        <n x="272"/>
        <n x="231"/>
      </t>
    </mdx>
    <mdx n="0" f="v">
      <t c="2">
        <n x="347"/>
        <n x="193"/>
      </t>
    </mdx>
    <mdx n="0" f="v">
      <t c="3">
        <n x="347"/>
        <n x="445"/>
        <n x="231"/>
      </t>
    </mdx>
    <mdx n="0" f="v">
      <t c="2">
        <n x="347"/>
        <n x="231"/>
      </t>
    </mdx>
    <mdx n="0" f="v">
      <t c="3">
        <n x="347"/>
        <n x="443"/>
        <n x="231"/>
      </t>
    </mdx>
    <mdx n="0" f="v">
      <t c="3">
        <n x="349"/>
        <n x="433"/>
        <n x="231"/>
      </t>
    </mdx>
    <mdx n="0" f="v">
      <t c="3">
        <n x="349"/>
        <n x="272"/>
        <n x="231"/>
      </t>
    </mdx>
    <mdx n="0" f="v">
      <t c="2">
        <n x="349"/>
        <n x="193"/>
      </t>
    </mdx>
    <mdx n="0" f="v">
      <t c="3">
        <n x="349"/>
        <n x="445"/>
        <n x="231"/>
      </t>
    </mdx>
    <mdx n="0" f="v">
      <t c="2">
        <n x="349"/>
        <n x="231"/>
      </t>
    </mdx>
    <mdx n="0" f="v">
      <t c="3">
        <n x="349"/>
        <n x="443"/>
        <n x="231"/>
      </t>
    </mdx>
    <mdx n="0" f="v">
      <t c="3">
        <n x="351"/>
        <n x="433"/>
        <n x="231"/>
      </t>
    </mdx>
    <mdx n="0" f="v">
      <t c="3">
        <n x="351"/>
        <n x="272"/>
        <n x="231"/>
      </t>
    </mdx>
    <mdx n="0" f="v">
      <t c="2">
        <n x="351"/>
        <n x="193"/>
      </t>
    </mdx>
    <mdx n="0" f="v">
      <t c="3">
        <n x="351"/>
        <n x="445"/>
        <n x="231"/>
      </t>
    </mdx>
    <mdx n="0" f="v">
      <t c="2">
        <n x="351"/>
        <n x="231"/>
      </t>
    </mdx>
    <mdx n="0" f="v">
      <t c="3">
        <n x="351"/>
        <n x="443"/>
        <n x="231"/>
      </t>
    </mdx>
    <mdx n="0" f="v">
      <t c="3">
        <n x="353"/>
        <n x="433"/>
        <n x="231"/>
      </t>
    </mdx>
    <mdx n="0" f="v">
      <t c="2">
        <n x="353"/>
        <n x="193"/>
      </t>
    </mdx>
    <mdx n="0" f="v">
      <t c="3">
        <n x="353"/>
        <n x="272"/>
        <n x="231"/>
      </t>
    </mdx>
    <mdx n="0" f="v">
      <t c="3">
        <n x="353"/>
        <n x="445"/>
        <n x="231"/>
      </t>
    </mdx>
    <mdx n="0" f="v">
      <t c="2">
        <n x="353"/>
        <n x="231"/>
      </t>
    </mdx>
    <mdx n="0" f="v">
      <t c="3">
        <n x="353"/>
        <n x="443"/>
        <n x="231"/>
      </t>
    </mdx>
    <mdx n="0" f="v">
      <t c="3">
        <n x="355"/>
        <n x="433"/>
        <n x="231"/>
      </t>
    </mdx>
    <mdx n="0" f="v">
      <t c="2">
        <n x="355"/>
        <n x="193"/>
      </t>
    </mdx>
    <mdx n="0" f="v">
      <t c="3">
        <n x="355"/>
        <n x="272"/>
        <n x="231"/>
      </t>
    </mdx>
    <mdx n="0" f="v">
      <t c="3">
        <n x="355"/>
        <n x="445"/>
        <n x="231"/>
      </t>
    </mdx>
    <mdx n="0" f="v">
      <t c="2">
        <n x="355"/>
        <n x="231"/>
      </t>
    </mdx>
    <mdx n="0" f="v">
      <t c="3">
        <n x="355"/>
        <n x="443"/>
        <n x="231"/>
      </t>
    </mdx>
    <mdx n="0" f="v">
      <t c="3">
        <n x="357"/>
        <n x="433"/>
        <n x="231"/>
      </t>
    </mdx>
    <mdx n="0" f="v">
      <t c="2">
        <n x="357"/>
        <n x="193"/>
      </t>
    </mdx>
    <mdx n="0" f="v">
      <t c="3">
        <n x="357"/>
        <n x="272"/>
        <n x="231"/>
      </t>
    </mdx>
    <mdx n="0" f="v">
      <t c="3">
        <n x="357"/>
        <n x="445"/>
        <n x="231"/>
      </t>
    </mdx>
    <mdx n="0" f="v">
      <t c="2">
        <n x="357"/>
        <n x="231"/>
      </t>
    </mdx>
    <mdx n="0" f="v">
      <t c="3">
        <n x="357"/>
        <n x="443"/>
        <n x="231"/>
      </t>
    </mdx>
    <mdx n="0" f="v">
      <t c="3">
        <n x="359"/>
        <n x="445"/>
        <n x="231"/>
      </t>
    </mdx>
    <mdx n="0" f="v">
      <t c="3">
        <n x="359"/>
        <n x="433"/>
        <n x="231"/>
      </t>
    </mdx>
    <mdx n="0" f="v">
      <t c="2">
        <n x="359"/>
        <n x="193"/>
      </t>
    </mdx>
    <mdx n="0" f="v">
      <t c="2">
        <n x="359"/>
        <n x="231"/>
      </t>
    </mdx>
    <mdx n="0" f="v">
      <t c="3">
        <n x="359"/>
        <n x="272"/>
        <n x="231"/>
      </t>
    </mdx>
    <mdx n="0" f="v">
      <t c="3">
        <n x="359"/>
        <n x="443"/>
        <n x="231"/>
      </t>
    </mdx>
    <mdx n="0" f="v">
      <t c="3">
        <n x="361"/>
        <n x="445"/>
        <n x="231"/>
      </t>
    </mdx>
    <mdx n="0" f="v">
      <t c="3">
        <n x="361"/>
        <n x="443"/>
        <n x="231"/>
      </t>
    </mdx>
    <mdx n="0" f="v">
      <t c="2">
        <n x="361"/>
        <n x="193"/>
      </t>
    </mdx>
    <mdx n="0" f="v">
      <t c="2">
        <n x="361"/>
        <n x="231"/>
      </t>
    </mdx>
    <mdx n="0" f="v">
      <t c="3">
        <n x="361"/>
        <n x="433"/>
        <n x="231"/>
      </t>
    </mdx>
    <mdx n="0" f="v">
      <t c="3">
        <n x="361"/>
        <n x="272"/>
        <n x="231"/>
      </t>
    </mdx>
    <mdx n="0" f="v">
      <t c="3">
        <n x="199"/>
        <n x="433"/>
        <n x="231"/>
      </t>
    </mdx>
    <mdx n="0" f="v">
      <t c="3">
        <n x="199"/>
        <n x="272"/>
        <n x="231"/>
      </t>
    </mdx>
    <mdx n="0" f="v">
      <t c="2">
        <n x="199"/>
        <n x="193"/>
      </t>
    </mdx>
    <mdx n="0" f="v">
      <t c="3">
        <n x="199"/>
        <n x="445"/>
        <n x="231"/>
      </t>
    </mdx>
    <mdx n="0" f="v">
      <t c="2">
        <n x="199"/>
        <n x="231"/>
      </t>
    </mdx>
    <mdx n="0" f="v">
      <t c="3">
        <n x="199"/>
        <n x="443"/>
        <n x="231"/>
      </t>
    </mdx>
    <mdx n="0" f="v">
      <t c="3">
        <n x="44"/>
        <n x="433"/>
        <n x="231"/>
      </t>
    </mdx>
    <mdx n="0" f="v">
      <t c="3">
        <n x="44"/>
        <n x="272"/>
        <n x="231"/>
      </t>
    </mdx>
    <mdx n="0" f="v">
      <t c="2">
        <n x="44"/>
        <n x="193"/>
      </t>
    </mdx>
    <mdx n="0" f="v">
      <t c="3">
        <n x="44"/>
        <n x="445"/>
        <n x="231"/>
      </t>
    </mdx>
    <mdx n="0" f="v">
      <t c="2">
        <n x="44"/>
        <n x="231"/>
      </t>
    </mdx>
    <mdx n="0" f="v">
      <t c="3">
        <n x="44"/>
        <n x="443"/>
        <n x="231"/>
      </t>
    </mdx>
    <mdx n="0" f="v">
      <t c="3">
        <n x="238"/>
        <n x="272"/>
        <n x="231"/>
      </t>
    </mdx>
    <mdx n="0" f="v">
      <t c="2">
        <n x="238"/>
        <n x="231"/>
      </t>
    </mdx>
    <mdx n="0" f="v">
      <t c="3">
        <n x="238"/>
        <n x="445"/>
        <n x="231"/>
      </t>
    </mdx>
    <mdx n="0" f="v">
      <t c="3">
        <n x="238"/>
        <n x="433"/>
        <n x="231"/>
      </t>
    </mdx>
    <mdx n="0" f="v">
      <t c="2">
        <n x="238"/>
        <n x="193"/>
      </t>
    </mdx>
    <mdx n="0" f="v">
      <t c="3">
        <n x="238"/>
        <n x="443"/>
        <n x="231"/>
      </t>
    </mdx>
    <mdx n="0" f="v">
      <t c="3">
        <n x="166"/>
        <n x="433"/>
        <n x="231"/>
      </t>
    </mdx>
    <mdx n="0" f="v">
      <t c="3">
        <n x="166"/>
        <n x="272"/>
        <n x="231"/>
      </t>
    </mdx>
    <mdx n="0" f="v">
      <t c="2">
        <n x="166"/>
        <n x="193"/>
      </t>
    </mdx>
    <mdx n="0" f="v">
      <t c="3">
        <n x="166"/>
        <n x="445"/>
        <n x="231"/>
      </t>
    </mdx>
    <mdx n="0" f="v">
      <t c="2">
        <n x="166"/>
        <n x="231"/>
      </t>
    </mdx>
    <mdx n="0" f="v">
      <t c="3">
        <n x="166"/>
        <n x="443"/>
        <n x="231"/>
      </t>
    </mdx>
    <mdx n="0" f="v">
      <t c="3">
        <n x="268"/>
        <n x="443"/>
        <n x="231"/>
      </t>
    </mdx>
    <mdx n="0" f="v">
      <t c="3">
        <n x="268"/>
        <n x="433"/>
        <n x="231"/>
      </t>
    </mdx>
    <mdx n="0" f="v">
      <t c="3">
        <n x="268"/>
        <n x="272"/>
        <n x="231"/>
      </t>
    </mdx>
    <mdx n="0" f="v">
      <t c="2">
        <n x="268"/>
        <n x="193"/>
      </t>
    </mdx>
    <mdx n="0" f="v">
      <t c="3">
        <n x="268"/>
        <n x="445"/>
        <n x="231"/>
      </t>
    </mdx>
    <mdx n="0" f="v">
      <t c="2">
        <n x="268"/>
        <n x="231"/>
      </t>
    </mdx>
    <mdx n="0" f="v">
      <t c="2">
        <n x="207"/>
        <n x="193"/>
      </t>
    </mdx>
    <mdx n="0" f="v">
      <t c="3">
        <n x="207"/>
        <n x="272"/>
        <n x="231"/>
      </t>
    </mdx>
    <mdx n="0" f="v">
      <t c="3">
        <n x="207"/>
        <n x="445"/>
        <n x="231"/>
      </t>
    </mdx>
    <mdx n="0" f="v">
      <t c="2">
        <n x="207"/>
        <n x="231"/>
      </t>
    </mdx>
    <mdx n="0" f="v">
      <t c="3">
        <n x="207"/>
        <n x="443"/>
        <n x="231"/>
      </t>
    </mdx>
    <mdx n="0" f="v">
      <t c="3">
        <n x="207"/>
        <n x="433"/>
        <n x="231"/>
      </t>
    </mdx>
    <mdx n="0" f="v">
      <t c="2">
        <n x="52"/>
        <n x="193"/>
      </t>
    </mdx>
    <mdx n="0" f="v">
      <t c="3">
        <n x="52"/>
        <n x="272"/>
        <n x="231"/>
      </t>
    </mdx>
    <mdx n="0" f="v">
      <t c="3">
        <n x="52"/>
        <n x="445"/>
        <n x="231"/>
      </t>
    </mdx>
    <mdx n="0" f="v">
      <t c="2">
        <n x="52"/>
        <n x="231"/>
      </t>
    </mdx>
    <mdx n="0" f="v">
      <t c="3">
        <n x="52"/>
        <n x="443"/>
        <n x="231"/>
      </t>
    </mdx>
    <mdx n="0" f="v">
      <t c="3">
        <n x="52"/>
        <n x="433"/>
        <n x="231"/>
      </t>
    </mdx>
    <mdx n="0" f="v">
      <t c="3">
        <n x="246"/>
        <n x="445"/>
        <n x="231"/>
      </t>
    </mdx>
    <mdx n="0" f="v">
      <t c="3">
        <n x="246"/>
        <n x="443"/>
        <n x="231"/>
      </t>
    </mdx>
    <mdx n="0" f="v">
      <t c="2">
        <n x="246"/>
        <n x="231"/>
      </t>
    </mdx>
    <mdx n="0" f="v">
      <t c="3">
        <n x="246"/>
        <n x="433"/>
        <n x="231"/>
      </t>
    </mdx>
    <mdx n="0" f="v">
      <t c="3">
        <n x="246"/>
        <n x="272"/>
        <n x="231"/>
      </t>
    </mdx>
    <mdx n="0" f="v">
      <t c="2">
        <n x="246"/>
        <n x="193"/>
      </t>
    </mdx>
    <mdx n="0" f="v">
      <t c="3">
        <n x="174"/>
        <n x="445"/>
        <n x="231"/>
      </t>
    </mdx>
    <mdx n="0" f="v">
      <t c="2">
        <n x="174"/>
        <n x="231"/>
      </t>
    </mdx>
    <mdx n="0" f="v">
      <t c="2">
        <n x="174"/>
        <n x="193"/>
      </t>
    </mdx>
    <mdx n="0" f="v">
      <t c="3">
        <n x="174"/>
        <n x="443"/>
        <n x="231"/>
      </t>
    </mdx>
    <mdx n="0" f="v">
      <t c="3">
        <n x="174"/>
        <n x="433"/>
        <n x="231"/>
      </t>
    </mdx>
    <mdx n="0" f="v">
      <t c="3">
        <n x="174"/>
        <n x="272"/>
        <n x="231"/>
      </t>
    </mdx>
    <mdx n="0" f="v">
      <t c="3">
        <n x="269"/>
        <n x="272"/>
        <n x="231"/>
      </t>
    </mdx>
    <mdx n="0" f="v">
      <t c="2">
        <n x="269"/>
        <n x="193"/>
      </t>
    </mdx>
    <mdx n="0" f="v">
      <t c="3">
        <n x="269"/>
        <n x="445"/>
        <n x="231"/>
      </t>
    </mdx>
    <mdx n="0" f="v">
      <t c="2">
        <n x="269"/>
        <n x="231"/>
      </t>
    </mdx>
    <mdx n="0" f="v">
      <t c="3">
        <n x="269"/>
        <n x="443"/>
        <n x="231"/>
      </t>
    </mdx>
    <mdx n="0" f="v">
      <t c="3">
        <n x="269"/>
        <n x="433"/>
        <n x="231"/>
      </t>
    </mdx>
    <mdx n="0" f="v">
      <t c="3">
        <n x="215"/>
        <n x="445"/>
        <n x="231"/>
      </t>
    </mdx>
    <mdx n="0" f="v">
      <t c="3">
        <n x="215"/>
        <n x="443"/>
        <n x="231"/>
      </t>
    </mdx>
    <mdx n="0" f="v">
      <t c="3">
        <n x="215"/>
        <n x="433"/>
        <n x="231"/>
      </t>
    </mdx>
    <mdx n="0" f="v">
      <t c="2">
        <n x="215"/>
        <n x="231"/>
      </t>
    </mdx>
    <mdx n="0" f="v">
      <t c="3">
        <n x="215"/>
        <n x="272"/>
        <n x="231"/>
      </t>
    </mdx>
    <mdx n="0" f="v">
      <t c="2">
        <n x="215"/>
        <n x="193"/>
      </t>
    </mdx>
    <mdx n="0" f="v">
      <t c="3">
        <n x="60"/>
        <n x="445"/>
        <n x="231"/>
      </t>
    </mdx>
    <mdx n="0" f="v">
      <t c="3">
        <n x="60"/>
        <n x="443"/>
        <n x="231"/>
      </t>
    </mdx>
    <mdx n="0" f="v">
      <t c="3">
        <n x="60"/>
        <n x="433"/>
        <n x="231"/>
      </t>
    </mdx>
    <mdx n="0" f="v">
      <t c="3">
        <n x="60"/>
        <n x="272"/>
        <n x="231"/>
      </t>
    </mdx>
    <mdx n="0" f="v">
      <t c="2">
        <n x="60"/>
        <n x="193"/>
      </t>
    </mdx>
    <mdx n="0" f="v">
      <t c="3">
        <n x="254"/>
        <n x="443"/>
        <n x="231"/>
      </t>
    </mdx>
    <mdx n="0" f="v">
      <t c="3">
        <n x="254"/>
        <n x="433"/>
        <n x="231"/>
      </t>
    </mdx>
    <mdx n="0" f="v">
      <t c="3">
        <n x="254"/>
        <n x="272"/>
        <n x="231"/>
      </t>
    </mdx>
    <mdx n="0" f="v">
      <t c="2">
        <n x="254"/>
        <n x="193"/>
      </t>
    </mdx>
    <mdx n="0" f="v">
      <t c="3">
        <n x="254"/>
        <n x="445"/>
        <n x="231"/>
      </t>
    </mdx>
    <mdx n="0" f="v">
      <t c="2">
        <n x="254"/>
        <n x="231"/>
      </t>
    </mdx>
    <mdx n="0" f="v">
      <t c="3">
        <n x="182"/>
        <n x="443"/>
        <n x="231"/>
      </t>
    </mdx>
    <mdx n="0" f="v">
      <t c="3">
        <n x="182"/>
        <n x="272"/>
        <n x="231"/>
      </t>
    </mdx>
    <mdx n="0" f="v">
      <t c="2">
        <n x="182"/>
        <n x="231"/>
      </t>
    </mdx>
    <mdx n="0" f="v">
      <t c="2">
        <n x="182"/>
        <n x="193"/>
      </t>
    </mdx>
    <mdx n="0" f="v">
      <t c="3">
        <n x="182"/>
        <n x="433"/>
        <n x="231"/>
      </t>
    </mdx>
    <mdx n="0" f="v">
      <t c="3">
        <n x="157"/>
        <n x="272"/>
        <n x="231"/>
      </t>
    </mdx>
    <mdx n="0" f="v">
      <t c="2">
        <n x="157"/>
        <n x="193"/>
      </t>
    </mdx>
    <mdx n="0" f="v">
      <t c="2">
        <n x="157"/>
        <n x="231"/>
      </t>
    </mdx>
    <mdx n="0" f="v">
      <t c="3">
        <n x="157"/>
        <n x="443"/>
        <n x="231"/>
      </t>
    </mdx>
    <mdx n="0" f="v">
      <t c="3">
        <n x="223"/>
        <n x="443"/>
        <n x="231"/>
      </t>
    </mdx>
    <mdx n="0" f="v">
      <t c="3">
        <n x="223"/>
        <n x="433"/>
        <n x="231"/>
      </t>
    </mdx>
    <mdx n="0" f="v">
      <t c="3">
        <n x="223"/>
        <n x="272"/>
        <n x="231"/>
      </t>
    </mdx>
    <mdx n="0" f="v">
      <t c="2">
        <n x="223"/>
        <n x="193"/>
      </t>
    </mdx>
    <mdx n="0" f="v">
      <t c="3">
        <n x="223"/>
        <n x="445"/>
        <n x="231"/>
      </t>
    </mdx>
    <mdx n="0" f="v">
      <t c="2">
        <n x="223"/>
        <n x="231"/>
      </t>
    </mdx>
    <mdx n="0" f="v">
      <t c="3">
        <n x="68"/>
        <n x="433"/>
        <n x="231"/>
      </t>
    </mdx>
    <mdx n="0" f="v">
      <t c="3">
        <n x="68"/>
        <n x="272"/>
        <n x="231"/>
      </t>
    </mdx>
    <mdx n="0" f="v">
      <t c="2">
        <n x="68"/>
        <n x="193"/>
      </t>
    </mdx>
    <mdx n="0" f="v">
      <t c="3">
        <n x="68"/>
        <n x="445"/>
        <n x="231"/>
      </t>
    </mdx>
    <mdx n="0" f="v">
      <t c="2">
        <n x="68"/>
        <n x="231"/>
      </t>
    </mdx>
    <mdx n="0" f="v">
      <t c="3">
        <n x="262"/>
        <n x="272"/>
        <n x="231"/>
      </t>
    </mdx>
    <mdx n="0" f="v">
      <t c="2">
        <n x="262"/>
        <n x="193"/>
      </t>
    </mdx>
    <mdx n="0" f="v">
      <t c="3">
        <n x="262"/>
        <n x="445"/>
        <n x="231"/>
      </t>
    </mdx>
    <mdx n="0" f="v">
      <t c="2">
        <n x="262"/>
        <n x="231"/>
      </t>
    </mdx>
    <mdx n="0" f="v">
      <t c="3">
        <n x="262"/>
        <n x="443"/>
        <n x="231"/>
      </t>
    </mdx>
    <mdx n="0" f="v">
      <t c="3">
        <n x="190"/>
        <n x="445"/>
        <n x="231"/>
      </t>
    </mdx>
    <mdx n="0" f="v">
      <t c="3">
        <n x="190"/>
        <n x="443"/>
        <n x="231"/>
      </t>
    </mdx>
    <mdx n="0" f="v">
      <t c="3">
        <n x="190"/>
        <n x="433"/>
        <n x="231"/>
      </t>
    </mdx>
    <mdx n="0" f="v">
      <t c="3">
        <n x="190"/>
        <n x="272"/>
        <n x="231"/>
      </t>
    </mdx>
    <mdx n="0" f="v">
      <t c="2">
        <n x="40"/>
        <n x="193"/>
      </t>
    </mdx>
    <mdx n="0" f="v">
      <t c="3">
        <n x="40"/>
        <n x="445"/>
        <n x="231"/>
      </t>
    </mdx>
    <mdx n="0" f="v">
      <t c="2">
        <n x="40"/>
        <n x="231"/>
      </t>
    </mdx>
    <mdx n="0" f="v">
      <t c="3">
        <n x="40"/>
        <n x="443"/>
        <n x="231"/>
      </t>
    </mdx>
    <mdx n="0" f="v">
      <t c="3">
        <n x="40"/>
        <n x="433"/>
        <n x="231"/>
      </t>
    </mdx>
    <mdx n="0" f="v">
      <t c="2">
        <n x="362"/>
        <n x="193"/>
      </t>
    </mdx>
    <mdx n="0" f="v">
      <t c="3">
        <n x="362"/>
        <n x="445"/>
        <n x="231"/>
      </t>
    </mdx>
    <mdx n="0" f="v">
      <t c="2">
        <n x="362"/>
        <n x="231"/>
      </t>
    </mdx>
    <mdx n="0" f="v">
      <t c="3">
        <n x="362"/>
        <n x="443"/>
        <n x="231"/>
      </t>
    </mdx>
    <mdx n="0" f="v">
      <t c="3">
        <n x="362"/>
        <n x="433"/>
        <n x="231"/>
      </t>
    </mdx>
    <mdx n="0" f="v">
      <t c="3">
        <n x="362"/>
        <n x="272"/>
        <n x="231"/>
      </t>
    </mdx>
    <mdx n="0" f="v">
      <t c="2">
        <n x="364"/>
        <n x="193"/>
      </t>
    </mdx>
    <mdx n="0" f="v">
      <t c="3">
        <n x="364"/>
        <n x="445"/>
        <n x="231"/>
      </t>
    </mdx>
    <mdx n="0" f="v">
      <t c="2">
        <n x="364"/>
        <n x="231"/>
      </t>
    </mdx>
    <mdx n="0" f="v">
      <t c="3">
        <n x="364"/>
        <n x="443"/>
        <n x="231"/>
      </t>
    </mdx>
    <mdx n="0" f="v">
      <t c="3">
        <n x="364"/>
        <n x="433"/>
        <n x="231"/>
      </t>
    </mdx>
    <mdx n="0" f="v">
      <t c="3">
        <n x="364"/>
        <n x="272"/>
        <n x="231"/>
      </t>
    </mdx>
    <mdx n="0" f="v">
      <t c="3">
        <n x="366"/>
        <n x="445"/>
        <n x="231"/>
      </t>
    </mdx>
    <mdx n="0" f="v">
      <t c="2">
        <n x="366"/>
        <n x="231"/>
      </t>
    </mdx>
    <mdx n="0" f="v">
      <t c="2">
        <n x="366"/>
        <n x="193"/>
      </t>
    </mdx>
    <mdx n="0" f="v">
      <t c="3">
        <n x="366"/>
        <n x="443"/>
        <n x="231"/>
      </t>
    </mdx>
    <mdx n="0" f="v">
      <t c="3">
        <n x="366"/>
        <n x="433"/>
        <n x="231"/>
      </t>
    </mdx>
    <mdx n="0" f="v">
      <t c="3">
        <n x="366"/>
        <n x="272"/>
        <n x="231"/>
      </t>
    </mdx>
    <mdx n="0" f="v">
      <t c="3">
        <n x="368"/>
        <n x="445"/>
        <n x="231"/>
      </t>
    </mdx>
    <mdx n="0" f="v">
      <t c="2">
        <n x="368"/>
        <n x="231"/>
      </t>
    </mdx>
    <mdx n="0" f="v">
      <t c="2">
        <n x="368"/>
        <n x="193"/>
      </t>
    </mdx>
    <mdx n="0" f="v">
      <t c="3">
        <n x="368"/>
        <n x="443"/>
        <n x="231"/>
      </t>
    </mdx>
    <mdx n="0" f="v">
      <t c="3">
        <n x="368"/>
        <n x="433"/>
        <n x="231"/>
      </t>
    </mdx>
    <mdx n="0" f="v">
      <t c="3">
        <n x="368"/>
        <n x="272"/>
        <n x="231"/>
      </t>
    </mdx>
    <mdx n="0" f="v">
      <t c="2">
        <n x="370"/>
        <n x="231"/>
      </t>
    </mdx>
    <mdx n="0" f="v">
      <t c="3">
        <n x="370"/>
        <n x="445"/>
        <n x="231"/>
      </t>
    </mdx>
    <mdx n="0" f="v">
      <t c="2">
        <n x="370"/>
        <n x="193"/>
      </t>
    </mdx>
    <mdx n="0" f="v">
      <t c="3">
        <n x="370"/>
        <n x="443"/>
        <n x="231"/>
      </t>
    </mdx>
    <mdx n="0" f="v">
      <t c="3">
        <n x="370"/>
        <n x="433"/>
        <n x="231"/>
      </t>
    </mdx>
    <mdx n="0" f="v">
      <t c="3">
        <n x="370"/>
        <n x="272"/>
        <n x="231"/>
      </t>
    </mdx>
    <mdx n="0" f="v">
      <t c="3">
        <n x="372"/>
        <n x="445"/>
        <n x="231"/>
      </t>
    </mdx>
    <mdx n="0" f="v">
      <t c="3">
        <n x="372"/>
        <n x="443"/>
        <n x="231"/>
      </t>
    </mdx>
    <mdx n="0" f="v">
      <t c="2">
        <n x="372"/>
        <n x="231"/>
      </t>
    </mdx>
    <mdx n="0" f="v">
      <t c="2">
        <n x="372"/>
        <n x="193"/>
      </t>
    </mdx>
    <mdx n="0" f="v">
      <t c="3">
        <n x="372"/>
        <n x="433"/>
        <n x="231"/>
      </t>
    </mdx>
    <mdx n="0" f="v">
      <t c="3">
        <n x="372"/>
        <n x="272"/>
        <n x="231"/>
      </t>
    </mdx>
    <mdx n="0" f="v">
      <t c="3">
        <n x="374"/>
        <n x="443"/>
        <n x="231"/>
      </t>
    </mdx>
    <mdx n="0" f="v">
      <t c="2">
        <n x="374"/>
        <n x="193"/>
      </t>
    </mdx>
    <mdx n="0" f="v">
      <t c="2">
        <n x="374"/>
        <n x="231"/>
      </t>
    </mdx>
    <mdx n="0" f="v">
      <t c="3">
        <n x="374"/>
        <n x="445"/>
        <n x="231"/>
      </t>
    </mdx>
    <mdx n="0" f="v">
      <t c="3">
        <n x="374"/>
        <n x="433"/>
        <n x="231"/>
      </t>
    </mdx>
    <mdx n="0" f="v">
      <t c="3">
        <n x="374"/>
        <n x="272"/>
        <n x="231"/>
      </t>
    </mdx>
    <mdx n="0" f="v">
      <t c="3">
        <n x="376"/>
        <n x="445"/>
        <n x="231"/>
      </t>
    </mdx>
    <mdx n="0" f="v">
      <t c="2">
        <n x="376"/>
        <n x="193"/>
      </t>
    </mdx>
    <mdx n="0" f="v">
      <t c="2">
        <n x="376"/>
        <n x="231"/>
      </t>
    </mdx>
    <mdx n="0" f="v">
      <t c="3">
        <n x="376"/>
        <n x="443"/>
        <n x="231"/>
      </t>
    </mdx>
    <mdx n="0" f="v">
      <t c="3">
        <n x="376"/>
        <n x="433"/>
        <n x="231"/>
      </t>
    </mdx>
    <mdx n="0" f="v">
      <t c="3">
        <n x="376"/>
        <n x="272"/>
        <n x="231"/>
      </t>
    </mdx>
    <mdx n="0" f="v">
      <t c="3">
        <n x="378"/>
        <n x="445"/>
        <n x="231"/>
      </t>
    </mdx>
    <mdx n="0" f="v">
      <t c="2">
        <n x="378"/>
        <n x="193"/>
      </t>
    </mdx>
    <mdx n="0" f="v">
      <t c="2">
        <n x="378"/>
        <n x="231"/>
      </t>
    </mdx>
    <mdx n="0" f="v">
      <t c="3">
        <n x="378"/>
        <n x="443"/>
        <n x="231"/>
      </t>
    </mdx>
    <mdx n="0" f="v">
      <t c="3">
        <n x="378"/>
        <n x="433"/>
        <n x="231"/>
      </t>
    </mdx>
    <mdx n="0" f="v">
      <t c="3">
        <n x="378"/>
        <n x="272"/>
        <n x="231"/>
      </t>
    </mdx>
    <mdx n="0" f="v">
      <t c="3">
        <n x="380"/>
        <n x="445"/>
        <n x="231"/>
      </t>
    </mdx>
    <mdx n="0" f="v">
      <t c="2">
        <n x="380"/>
        <n x="193"/>
      </t>
    </mdx>
    <mdx n="0" f="v">
      <t c="2">
        <n x="380"/>
        <n x="231"/>
      </t>
    </mdx>
    <mdx n="0" f="v">
      <t c="3">
        <n x="380"/>
        <n x="443"/>
        <n x="231"/>
      </t>
    </mdx>
    <mdx n="0" f="v">
      <t c="3">
        <n x="380"/>
        <n x="433"/>
        <n x="231"/>
      </t>
    </mdx>
    <mdx n="0" f="v">
      <t c="3">
        <n x="380"/>
        <n x="272"/>
        <n x="231"/>
      </t>
    </mdx>
    <mdx n="0" f="v">
      <t c="3">
        <n x="382"/>
        <n x="445"/>
        <n x="231"/>
      </t>
    </mdx>
    <mdx n="0" f="v">
      <t c="2">
        <n x="382"/>
        <n x="231"/>
      </t>
    </mdx>
    <mdx n="0" f="v">
      <t c="3">
        <n x="382"/>
        <n x="433"/>
        <n x="231"/>
      </t>
    </mdx>
    <mdx n="0" f="v">
      <t c="2">
        <n x="382"/>
        <n x="193"/>
      </t>
    </mdx>
    <mdx n="0" f="v">
      <t c="3">
        <n x="382"/>
        <n x="443"/>
        <n x="231"/>
      </t>
    </mdx>
    <mdx n="0" f="v">
      <t c="3">
        <n x="382"/>
        <n x="272"/>
        <n x="231"/>
      </t>
    </mdx>
    <mdx n="0" f="v">
      <t c="3">
        <n x="41"/>
        <n x="433"/>
        <n x="231"/>
      </t>
    </mdx>
    <mdx n="0" f="v">
      <t c="3">
        <n x="41"/>
        <n x="272"/>
        <n x="231"/>
      </t>
    </mdx>
    <mdx n="0" f="v">
      <t c="2">
        <n x="41"/>
        <n x="193"/>
      </t>
    </mdx>
    <mdx n="0" f="v">
      <t c="3">
        <n x="41"/>
        <n x="445"/>
        <n x="231"/>
      </t>
    </mdx>
    <mdx n="0" f="v">
      <t c="2">
        <n x="41"/>
        <n x="231"/>
      </t>
    </mdx>
    <mdx n="0" f="v">
      <t c="3">
        <n x="41"/>
        <n x="443"/>
        <n x="231"/>
      </t>
    </mdx>
    <mdx n="0" f="v">
      <t c="3">
        <n x="235"/>
        <n x="445"/>
        <n x="231"/>
      </t>
    </mdx>
    <mdx n="0" f="v">
      <t c="3">
        <n x="235"/>
        <n x="272"/>
        <n x="231"/>
      </t>
    </mdx>
    <mdx n="0" f="v">
      <t c="2">
        <n x="235"/>
        <n x="231"/>
      </t>
    </mdx>
    <mdx n="0" f="v">
      <t c="2">
        <n x="235"/>
        <n x="193"/>
      </t>
    </mdx>
    <mdx n="0" f="v">
      <t c="3">
        <n x="235"/>
        <n x="443"/>
        <n x="231"/>
      </t>
    </mdx>
    <mdx n="0" f="v">
      <t c="3">
        <n x="235"/>
        <n x="433"/>
        <n x="231"/>
      </t>
    </mdx>
    <mdx n="0" f="v">
      <t c="3">
        <n x="163"/>
        <n x="443"/>
        <n x="231"/>
      </t>
    </mdx>
    <mdx n="0" f="v">
      <t c="3">
        <n x="163"/>
        <n x="433"/>
        <n x="231"/>
      </t>
    </mdx>
    <mdx n="0" f="v">
      <t c="3">
        <n x="163"/>
        <n x="272"/>
        <n x="231"/>
      </t>
    </mdx>
    <mdx n="0" f="v">
      <t c="2">
        <n x="163"/>
        <n x="193"/>
      </t>
    </mdx>
    <mdx n="0" f="v">
      <t c="3">
        <n x="163"/>
        <n x="445"/>
        <n x="231"/>
      </t>
    </mdx>
    <mdx n="0" f="v">
      <t c="2">
        <n x="163"/>
        <n x="231"/>
      </t>
    </mdx>
    <mdx n="0" f="v">
      <t c="3">
        <n x="194"/>
        <n x="445"/>
        <n x="231"/>
      </t>
    </mdx>
    <mdx n="0" f="v">
      <t c="3">
        <n x="194"/>
        <n x="443"/>
        <n x="231"/>
      </t>
    </mdx>
    <mdx n="0" f="v">
      <t c="3">
        <n x="194"/>
        <n x="272"/>
        <n x="231"/>
      </t>
    </mdx>
    <mdx n="0" f="v">
      <t c="2">
        <n x="194"/>
        <n x="193"/>
      </t>
    </mdx>
    <mdx n="0" f="v">
      <t c="2">
        <n x="194"/>
        <n x="231"/>
      </t>
    </mdx>
    <mdx n="0" f="v">
      <t c="3">
        <n x="194"/>
        <n x="433"/>
        <n x="231"/>
      </t>
    </mdx>
    <mdx n="0" f="v">
      <t c="2">
        <n x="204"/>
        <n x="193"/>
      </t>
    </mdx>
    <mdx n="0" f="v">
      <t c="3">
        <n x="204"/>
        <n x="272"/>
        <n x="231"/>
      </t>
    </mdx>
    <mdx n="0" f="v">
      <t c="3">
        <n x="204"/>
        <n x="445"/>
        <n x="231"/>
      </t>
    </mdx>
    <mdx n="0" f="v">
      <t c="2">
        <n x="204"/>
        <n x="231"/>
      </t>
    </mdx>
    <mdx n="0" f="v">
      <t c="3">
        <n x="204"/>
        <n x="443"/>
        <n x="231"/>
      </t>
    </mdx>
    <mdx n="0" f="v">
      <t c="3">
        <n x="204"/>
        <n x="433"/>
        <n x="231"/>
      </t>
    </mdx>
    <mdx n="0" f="v">
      <t c="2">
        <n x="49"/>
        <n x="193"/>
      </t>
    </mdx>
    <mdx n="0" f="v">
      <t c="3">
        <n x="49"/>
        <n x="272"/>
        <n x="231"/>
      </t>
    </mdx>
    <mdx n="0" f="v">
      <t c="3">
        <n x="49"/>
        <n x="445"/>
        <n x="231"/>
      </t>
    </mdx>
    <mdx n="0" f="v">
      <t c="2">
        <n x="49"/>
        <n x="231"/>
      </t>
    </mdx>
    <mdx n="0" f="v">
      <t c="3">
        <n x="49"/>
        <n x="443"/>
        <n x="231"/>
      </t>
    </mdx>
    <mdx n="0" f="v">
      <t c="3">
        <n x="49"/>
        <n x="433"/>
        <n x="231"/>
      </t>
    </mdx>
    <mdx n="0" f="v">
      <t c="3">
        <n x="243"/>
        <n x="445"/>
        <n x="231"/>
      </t>
    </mdx>
    <mdx n="0" f="v">
      <t c="2">
        <n x="243"/>
        <n x="231"/>
      </t>
    </mdx>
    <mdx n="0" f="v">
      <t c="3">
        <n x="243"/>
        <n x="443"/>
        <n x="231"/>
      </t>
    </mdx>
    <mdx n="0" f="v">
      <t c="3">
        <n x="243"/>
        <n x="433"/>
        <n x="231"/>
      </t>
    </mdx>
    <mdx n="0" f="v">
      <t c="3">
        <n x="243"/>
        <n x="272"/>
        <n x="231"/>
      </t>
    </mdx>
    <mdx n="0" f="v">
      <t c="2">
        <n x="243"/>
        <n x="193"/>
      </t>
    </mdx>
    <mdx n="0" f="v">
      <t c="3">
        <n x="171"/>
        <n x="433"/>
        <n x="231"/>
      </t>
    </mdx>
    <mdx n="0" f="v">
      <t c="3">
        <n x="171"/>
        <n x="272"/>
        <n x="231"/>
      </t>
    </mdx>
    <mdx n="0" f="v">
      <t c="2">
        <n x="171"/>
        <n x="193"/>
      </t>
    </mdx>
    <mdx n="0" f="v">
      <t c="3">
        <n x="171"/>
        <n x="445"/>
        <n x="231"/>
      </t>
    </mdx>
    <mdx n="0" f="v">
      <t c="2">
        <n x="171"/>
        <n x="231"/>
      </t>
    </mdx>
    <mdx n="0" f="v">
      <t c="3">
        <n x="171"/>
        <n x="443"/>
        <n x="231"/>
      </t>
    </mdx>
    <mdx n="0" f="v">
      <t c="3">
        <n x="38"/>
        <n x="443"/>
        <n x="231"/>
      </t>
    </mdx>
    <mdx n="0" f="v">
      <t c="3">
        <n x="38"/>
        <n x="272"/>
        <n x="231"/>
      </t>
    </mdx>
    <mdx n="0" f="v">
      <t c="2">
        <n x="38"/>
        <n x="193"/>
      </t>
    </mdx>
    <mdx n="0" f="v">
      <t c="3">
        <n x="38"/>
        <n x="445"/>
        <n x="231"/>
      </t>
    </mdx>
    <mdx n="0" f="v">
      <t c="2">
        <n x="38"/>
        <n x="231"/>
      </t>
    </mdx>
    <mdx n="0" f="v">
      <t c="3">
        <n x="212"/>
        <n x="443"/>
        <n x="231"/>
      </t>
    </mdx>
    <mdx n="0" f="v">
      <t c="3">
        <n x="212"/>
        <n x="433"/>
        <n x="231"/>
      </t>
    </mdx>
    <mdx n="0" f="v">
      <t c="3">
        <n x="212"/>
        <n x="272"/>
        <n x="231"/>
      </t>
    </mdx>
    <mdx n="0" f="v">
      <t c="2">
        <n x="212"/>
        <n x="193"/>
      </t>
    </mdx>
    <mdx n="0" f="v">
      <t c="3">
        <n x="212"/>
        <n x="445"/>
        <n x="231"/>
      </t>
    </mdx>
    <mdx n="0" f="v">
      <t c="2">
        <n x="212"/>
        <n x="231"/>
      </t>
    </mdx>
    <mdx n="0" f="v">
      <t c="3">
        <n x="57"/>
        <n x="443"/>
        <n x="231"/>
      </t>
    </mdx>
    <mdx n="0" f="v">
      <t c="3">
        <n x="57"/>
        <n x="433"/>
        <n x="231"/>
      </t>
    </mdx>
    <mdx n="0" f="v">
      <t c="3">
        <n x="57"/>
        <n x="272"/>
        <n x="231"/>
      </t>
    </mdx>
    <mdx n="0" f="v">
      <t c="2">
        <n x="57"/>
        <n x="193"/>
      </t>
    </mdx>
    <mdx n="0" f="v">
      <t c="3">
        <n x="57"/>
        <n x="445"/>
        <n x="231"/>
      </t>
    </mdx>
    <mdx n="0" f="v">
      <t c="2">
        <n x="57"/>
        <n x="231"/>
      </t>
    </mdx>
    <mdx n="0" f="v">
      <t c="3">
        <n x="251"/>
        <n x="443"/>
        <n x="231"/>
      </t>
    </mdx>
    <mdx n="0" f="v">
      <t c="2">
        <n x="251"/>
        <n x="193"/>
      </t>
    </mdx>
    <mdx n="0" f="v">
      <t c="3">
        <n x="251"/>
        <n x="445"/>
        <n x="231"/>
      </t>
    </mdx>
    <mdx n="0" f="v">
      <t c="2">
        <n x="251"/>
        <n x="231"/>
      </t>
    </mdx>
    <mdx n="0" f="v">
      <t c="3">
        <n x="179"/>
        <n x="445"/>
        <n x="231"/>
      </t>
    </mdx>
    <mdx n="0" f="v">
      <t c="3">
        <n x="179"/>
        <n x="443"/>
        <n x="231"/>
      </t>
    </mdx>
    <mdx n="0" f="v">
      <t c="3">
        <n x="179"/>
        <n x="272"/>
        <n x="231"/>
      </t>
    </mdx>
    <mdx n="0" f="v">
      <t c="2">
        <n x="179"/>
        <n x="231"/>
      </t>
    </mdx>
    <mdx n="0" f="v">
      <t c="2">
        <n x="179"/>
        <n x="193"/>
      </t>
    </mdx>
    <mdx n="0" f="v">
      <t c="3">
        <n x="179"/>
        <n x="433"/>
        <n x="231"/>
      </t>
    </mdx>
    <mdx n="0" f="v">
      <t c="3">
        <n x="78"/>
        <n x="433"/>
        <n x="231"/>
      </t>
    </mdx>
    <mdx n="0" f="v">
      <t c="3">
        <n x="78"/>
        <n x="272"/>
        <n x="231"/>
      </t>
    </mdx>
    <mdx n="0" f="v">
      <t c="2">
        <n x="78"/>
        <n x="231"/>
      </t>
    </mdx>
    <mdx n="0" f="v">
      <t c="2">
        <n x="78"/>
        <n x="193"/>
      </t>
    </mdx>
    <mdx n="0" f="v">
      <t c="3">
        <n x="78"/>
        <n x="443"/>
        <n x="231"/>
      </t>
    </mdx>
    <mdx n="0" f="v">
      <t c="3">
        <n x="220"/>
        <n x="445"/>
        <n x="231"/>
      </t>
    </mdx>
    <mdx n="0" f="v">
      <t c="3">
        <n x="220"/>
        <n x="443"/>
        <n x="231"/>
      </t>
    </mdx>
    <mdx n="0" f="v">
      <t c="3">
        <n x="220"/>
        <n x="433"/>
        <n x="231"/>
      </t>
    </mdx>
    <mdx n="0" f="v">
      <t c="2">
        <n x="220"/>
        <n x="231"/>
      </t>
    </mdx>
    <mdx n="0" f="v">
      <t c="3">
        <n x="220"/>
        <n x="272"/>
        <n x="231"/>
      </t>
    </mdx>
    <mdx n="0" f="v">
      <t c="2">
        <n x="220"/>
        <n x="193"/>
      </t>
    </mdx>
    <mdx n="0" f="v">
      <t c="3">
        <n x="65"/>
        <n x="445"/>
        <n x="231"/>
      </t>
    </mdx>
    <mdx n="0" f="v">
      <t c="3">
        <n x="65"/>
        <n x="443"/>
        <n x="231"/>
      </t>
    </mdx>
    <mdx n="0" f="v">
      <t c="3">
        <n x="65"/>
        <n x="272"/>
        <n x="231"/>
      </t>
    </mdx>
    <mdx n="0" f="v">
      <t c="2">
        <n x="65"/>
        <n x="193"/>
      </t>
    </mdx>
    <mdx n="0" f="v">
      <t c="3">
        <n x="259"/>
        <n x="272"/>
        <n x="231"/>
      </t>
    </mdx>
    <mdx n="0" f="v">
      <t c="2">
        <n x="259"/>
        <n x="193"/>
      </t>
    </mdx>
    <mdx n="0" f="v">
      <t c="3">
        <n x="259"/>
        <n x="445"/>
        <n x="231"/>
      </t>
    </mdx>
    <mdx n="0" f="v">
      <t c="2">
        <n x="259"/>
        <n x="231"/>
      </t>
    </mdx>
    <mdx n="0" f="v">
      <t c="3">
        <n x="259"/>
        <n x="443"/>
        <n x="231"/>
      </t>
    </mdx>
    <mdx n="0" f="v">
      <t c="3">
        <n x="187"/>
        <n x="443"/>
        <n x="231"/>
      </t>
    </mdx>
    <mdx n="0" f="v">
      <t c="3">
        <n x="187"/>
        <n x="433"/>
        <n x="231"/>
      </t>
    </mdx>
    <mdx n="0" f="v">
      <t c="3">
        <n x="187"/>
        <n x="272"/>
        <n x="231"/>
      </t>
    </mdx>
    <mdx n="0" f="v">
      <t c="2">
        <n x="271"/>
        <n x="193"/>
      </t>
    </mdx>
    <mdx n="0" f="v">
      <t c="3">
        <n x="271"/>
        <n x="445"/>
        <n x="231"/>
      </t>
    </mdx>
    <mdx n="0" f="v">
      <t c="2">
        <n x="271"/>
        <n x="231"/>
      </t>
    </mdx>
    <mdx n="0" f="v">
      <t c="3">
        <n x="271"/>
        <n x="443"/>
        <n x="231"/>
      </t>
    </mdx>
    <mdx n="0" f="v">
      <t c="3">
        <n x="271"/>
        <n x="433"/>
        <n x="231"/>
      </t>
    </mdx>
    <mdx n="0" f="v">
      <t c="3">
        <n x="228"/>
        <n x="433"/>
        <n x="231"/>
      </t>
    </mdx>
    <mdx n="0" f="v">
      <t c="3">
        <n x="228"/>
        <n x="272"/>
        <n x="231"/>
      </t>
    </mdx>
    <mdx n="0" f="v">
      <t c="3">
        <n x="228"/>
        <n x="445"/>
        <n x="231"/>
      </t>
    </mdx>
    <mdx n="0" f="v">
      <t c="2">
        <n x="228"/>
        <n x="231"/>
      </t>
    </mdx>
    <mdx n="0" f="v">
      <t c="3">
        <n x="73"/>
        <n x="443"/>
        <n x="231"/>
      </t>
    </mdx>
    <mdx n="0" f="v">
      <t c="3">
        <n x="73"/>
        <n x="433"/>
        <n x="231"/>
      </t>
    </mdx>
    <mdx n="0" f="v">
      <t c="3">
        <n x="73"/>
        <n x="272"/>
        <n x="231"/>
      </t>
    </mdx>
    <mdx n="0" f="v">
      <t c="3">
        <n x="73"/>
        <n x="445"/>
        <n x="231"/>
      </t>
    </mdx>
    <mdx n="0" f="v">
      <t c="2">
        <n x="73"/>
        <n x="231"/>
      </t>
    </mdx>
    <mdx n="0" f="v">
      <t c="3">
        <n x="113"/>
        <n x="433"/>
        <n x="231"/>
      </t>
    </mdx>
    <mdx n="0" f="v">
      <t c="3">
        <n x="109"/>
        <n x="433"/>
        <n x="231"/>
      </t>
    </mdx>
    <mdx n="0" f="v">
      <t c="3">
        <n x="107"/>
        <n x="433"/>
        <n x="231"/>
      </t>
    </mdx>
    <mdx n="0" f="v">
      <t c="3">
        <n x="105"/>
        <n x="433"/>
        <n x="231"/>
      </t>
    </mdx>
    <mdx n="0" f="v">
      <t c="3">
        <n x="140"/>
        <n x="433"/>
        <n x="231"/>
      </t>
    </mdx>
    <mdx n="0" f="v">
      <t c="3">
        <n x="98"/>
        <n x="433"/>
        <n x="231"/>
      </t>
    </mdx>
    <mdx n="0" f="v">
      <t c="3">
        <n x="104"/>
        <n x="433"/>
        <n x="231"/>
      </t>
    </mdx>
    <mdx n="0" f="v">
      <t c="3">
        <n x="103"/>
        <n x="433"/>
        <n x="231"/>
      </t>
    </mdx>
    <mdx n="0" f="v">
      <t c="3">
        <n x="141"/>
        <n x="433"/>
        <n x="231"/>
      </t>
    </mdx>
    <mdx n="0" f="v">
      <t c="3">
        <n x="99"/>
        <n x="433"/>
        <n x="231"/>
      </t>
    </mdx>
    <mdx n="0" f="v">
      <t c="3">
        <n x="137"/>
        <n x="433"/>
        <n x="231"/>
      </t>
    </mdx>
    <mdx n="0" f="v">
      <t c="3">
        <n x="96"/>
        <n x="433"/>
        <n x="231"/>
      </t>
    </mdx>
    <mdx n="0" f="v">
      <t c="3">
        <n x="35"/>
        <n x="433"/>
        <n x="231"/>
      </t>
    </mdx>
    <mdx n="0" f="v">
      <t c="3">
        <n x="34"/>
        <n x="433"/>
        <n x="231"/>
      </t>
    </mdx>
    <mdx n="0" f="v">
      <t c="3">
        <n x="33"/>
        <n x="433"/>
        <n x="231"/>
      </t>
    </mdx>
    <mdx n="0" f="v">
      <t c="3">
        <n x="32"/>
        <n x="433"/>
        <n x="231"/>
      </t>
    </mdx>
    <mdx n="0" f="v">
      <t c="3">
        <n x="31"/>
        <n x="433"/>
        <n x="231"/>
      </t>
    </mdx>
    <mdx n="0" f="v">
      <t c="3">
        <n x="30"/>
        <n x="433"/>
        <n x="231"/>
      </t>
    </mdx>
    <mdx n="0" f="v">
      <t c="3">
        <n x="29"/>
        <n x="433"/>
        <n x="231"/>
      </t>
    </mdx>
    <mdx n="0" f="v">
      <t c="3">
        <n x="28"/>
        <n x="433"/>
        <n x="231"/>
      </t>
    </mdx>
    <mdx n="0" f="v">
      <t c="3">
        <n x="27"/>
        <n x="433"/>
        <n x="231"/>
      </t>
    </mdx>
    <mdx n="0" f="v">
      <t c="2">
        <n x="415"/>
        <n x="193"/>
      </t>
    </mdx>
    <mdx n="0" f="v">
      <t c="3">
        <n x="415"/>
        <n x="272"/>
        <n x="231"/>
      </t>
    </mdx>
    <mdx n="0" f="v">
      <t c="3">
        <n x="415"/>
        <n x="445"/>
        <n x="231"/>
      </t>
    </mdx>
    <mdx n="0" f="v">
      <t c="2">
        <n x="415"/>
        <n x="231"/>
      </t>
    </mdx>
    <mdx n="0" f="v">
      <t c="3">
        <n x="415"/>
        <n x="443"/>
        <n x="231"/>
      </t>
    </mdx>
    <mdx n="0" f="v">
      <t c="3">
        <n x="415"/>
        <n x="433"/>
        <n x="231"/>
      </t>
    </mdx>
    <mdx n="0" f="v">
      <t c="2">
        <n x="394"/>
        <n x="193"/>
      </t>
    </mdx>
    <mdx n="0" f="v">
      <t c="3">
        <n x="394"/>
        <n x="272"/>
        <n x="231"/>
      </t>
    </mdx>
    <mdx n="0" f="v">
      <t c="3">
        <n x="394"/>
        <n x="445"/>
        <n x="231"/>
      </t>
    </mdx>
    <mdx n="0" f="v">
      <t c="2">
        <n x="394"/>
        <n x="231"/>
      </t>
    </mdx>
    <mdx n="0" f="v">
      <t c="3">
        <n x="394"/>
        <n x="443"/>
        <n x="231"/>
      </t>
    </mdx>
    <mdx n="0" f="v">
      <t c="3">
        <n x="394"/>
        <n x="433"/>
        <n x="231"/>
      </t>
    </mdx>
    <mdx n="0" f="v">
      <t c="3">
        <n x="447"/>
        <n x="272"/>
        <n x="231"/>
      </t>
    </mdx>
    <mdx n="0" f="v">
      <t c="2">
        <n x="447"/>
        <n x="193"/>
      </t>
    </mdx>
    <mdx n="0" f="v">
      <t c="3">
        <n x="447"/>
        <n x="445"/>
        <n x="231"/>
      </t>
    </mdx>
    <mdx n="0" f="v">
      <t c="2">
        <n x="447"/>
        <n x="231"/>
      </t>
    </mdx>
    <mdx n="0" f="v">
      <t c="3">
        <n x="447"/>
        <n x="443"/>
        <n x="231"/>
      </t>
    </mdx>
    <mdx n="0" f="v">
      <t c="3">
        <n x="447"/>
        <n x="433"/>
        <n x="231"/>
      </t>
    </mdx>
    <mdx n="0" f="v">
      <t c="3">
        <n x="437"/>
        <n x="272"/>
        <n x="231"/>
      </t>
    </mdx>
    <mdx n="0" f="v">
      <t c="2">
        <n x="437"/>
        <n x="193"/>
      </t>
    </mdx>
    <mdx n="0" f="v">
      <t c="3">
        <n x="437"/>
        <n x="445"/>
        <n x="231"/>
      </t>
    </mdx>
    <mdx n="0" f="v">
      <t c="2">
        <n x="437"/>
        <n x="231"/>
      </t>
    </mdx>
    <mdx n="0" f="v">
      <t c="3">
        <n x="437"/>
        <n x="443"/>
        <n x="231"/>
      </t>
    </mdx>
    <mdx n="0" f="v">
      <t c="3">
        <n x="437"/>
        <n x="433"/>
        <n x="231"/>
      </t>
    </mdx>
    <mdx n="0" f="v">
      <t c="3">
        <n x="418"/>
        <n x="272"/>
        <n x="231"/>
      </t>
    </mdx>
    <mdx n="0" f="v">
      <t c="2">
        <n x="418"/>
        <n x="193"/>
      </t>
    </mdx>
    <mdx n="0" f="v">
      <t c="3">
        <n x="418"/>
        <n x="445"/>
        <n x="231"/>
      </t>
    </mdx>
    <mdx n="0" f="v">
      <t c="2">
        <n x="418"/>
        <n x="231"/>
      </t>
    </mdx>
    <mdx n="0" f="v">
      <t c="3">
        <n x="418"/>
        <n x="443"/>
        <n x="231"/>
      </t>
    </mdx>
    <mdx n="0" f="v">
      <t c="3">
        <n x="418"/>
        <n x="433"/>
        <n x="231"/>
      </t>
    </mdx>
    <mdx n="0" f="v">
      <t c="3">
        <n x="397"/>
        <n x="272"/>
        <n x="231"/>
      </t>
    </mdx>
    <mdx n="0" f="v">
      <t c="2">
        <n x="397"/>
        <n x="193"/>
      </t>
    </mdx>
    <mdx n="0" f="v">
      <t c="2">
        <n x="397"/>
        <n x="231"/>
      </t>
    </mdx>
    <mdx n="0" f="v">
      <t c="3">
        <n x="397"/>
        <n x="445"/>
        <n x="231"/>
      </t>
    </mdx>
    <mdx n="0" f="v">
      <t c="3">
        <n x="397"/>
        <n x="443"/>
        <n x="231"/>
      </t>
    </mdx>
    <mdx n="0" f="v">
      <t c="3">
        <n x="397"/>
        <n x="433"/>
        <n x="231"/>
      </t>
    </mdx>
    <mdx n="0" f="v">
      <t c="3">
        <n x="450"/>
        <n x="272"/>
        <n x="231"/>
      </t>
    </mdx>
    <mdx n="0" f="v">
      <t c="2">
        <n x="450"/>
        <n x="193"/>
      </t>
    </mdx>
    <mdx n="0" f="v">
      <t c="3">
        <n x="450"/>
        <n x="445"/>
        <n x="231"/>
      </t>
    </mdx>
    <mdx n="0" f="v">
      <t c="2">
        <n x="450"/>
        <n x="231"/>
      </t>
    </mdx>
    <mdx n="0" f="v">
      <t c="3">
        <n x="450"/>
        <n x="443"/>
        <n x="231"/>
      </t>
    </mdx>
    <mdx n="0" f="v">
      <t c="3">
        <n x="450"/>
        <n x="433"/>
        <n x="231"/>
      </t>
    </mdx>
    <mdx n="0" f="v">
      <t c="3">
        <n x="440"/>
        <n x="272"/>
        <n x="231"/>
      </t>
    </mdx>
    <mdx n="0" f="v">
      <t c="2">
        <n x="440"/>
        <n x="193"/>
      </t>
    </mdx>
    <mdx n="0" f="v">
      <t c="3">
        <n x="440"/>
        <n x="445"/>
        <n x="231"/>
      </t>
    </mdx>
    <mdx n="0" f="v">
      <t c="2">
        <n x="440"/>
        <n x="231"/>
      </t>
    </mdx>
    <mdx n="0" f="v">
      <t c="3">
        <n x="440"/>
        <n x="443"/>
        <n x="231"/>
      </t>
    </mdx>
    <mdx n="0" f="v">
      <t c="3">
        <n x="440"/>
        <n x="433"/>
        <n x="231"/>
      </t>
    </mdx>
    <mdx n="0" f="v">
      <t c="3">
        <n x="421"/>
        <n x="272"/>
        <n x="231"/>
      </t>
    </mdx>
    <mdx n="0" f="v">
      <t c="2">
        <n x="421"/>
        <n x="193"/>
      </t>
    </mdx>
    <mdx n="0" f="v">
      <t c="3">
        <n x="421"/>
        <n x="445"/>
        <n x="231"/>
      </t>
    </mdx>
    <mdx n="0" f="v">
      <t c="2">
        <n x="421"/>
        <n x="231"/>
      </t>
    </mdx>
    <mdx n="0" f="v">
      <t c="3">
        <n x="421"/>
        <n x="443"/>
        <n x="231"/>
      </t>
    </mdx>
    <mdx n="0" f="v">
      <t c="3">
        <n x="421"/>
        <n x="433"/>
        <n x="231"/>
      </t>
    </mdx>
    <mdx n="0" f="v">
      <t c="3">
        <n x="400"/>
        <n x="272"/>
        <n x="231"/>
      </t>
    </mdx>
    <mdx n="0" f="v">
      <t c="2">
        <n x="400"/>
        <n x="193"/>
      </t>
    </mdx>
    <mdx n="0" f="v">
      <t c="3">
        <n x="400"/>
        <n x="445"/>
        <n x="231"/>
      </t>
    </mdx>
    <mdx n="0" f="v">
      <t c="2">
        <n x="400"/>
        <n x="231"/>
      </t>
    </mdx>
    <mdx n="0" f="v">
      <t c="3">
        <n x="400"/>
        <n x="443"/>
        <n x="231"/>
      </t>
    </mdx>
    <mdx n="0" f="v">
      <t c="3">
        <n x="400"/>
        <n x="433"/>
        <n x="231"/>
      </t>
    </mdx>
    <mdx n="0" f="v">
      <t c="3">
        <n x="453"/>
        <n x="443"/>
        <n x="231"/>
      </t>
    </mdx>
    <mdx n="0" f="v">
      <t c="3">
        <n x="453"/>
        <n x="272"/>
        <n x="231"/>
      </t>
    </mdx>
    <mdx n="0" f="v">
      <t c="2">
        <n x="453"/>
        <n x="193"/>
      </t>
    </mdx>
    <mdx n="0" f="v">
      <t c="3">
        <n x="453"/>
        <n x="445"/>
        <n x="231"/>
      </t>
    </mdx>
    <mdx n="0" f="v">
      <t c="2">
        <n x="453"/>
        <n x="231"/>
      </t>
    </mdx>
    <mdx n="0" f="v">
      <t c="3">
        <n x="453"/>
        <n x="433"/>
        <n x="231"/>
      </t>
    </mdx>
    <mdx n="0" f="v">
      <t c="3">
        <n x="160"/>
        <n x="433"/>
        <n x="231"/>
      </t>
    </mdx>
    <mdx n="0" f="v">
      <t c="3">
        <n x="160"/>
        <n x="443"/>
        <n x="231"/>
      </t>
    </mdx>
    <mdx n="0" f="v">
      <t c="3">
        <n x="160"/>
        <n x="272"/>
        <n x="231"/>
      </t>
    </mdx>
    <mdx n="0" f="v">
      <t c="2">
        <n x="160"/>
        <n x="193"/>
      </t>
    </mdx>
    <mdx n="0" f="v">
      <t c="3">
        <n x="160"/>
        <n x="445"/>
        <n x="231"/>
      </t>
    </mdx>
    <mdx n="0" f="v">
      <t c="2">
        <n x="160"/>
        <n x="231"/>
      </t>
    </mdx>
    <mdx n="0" f="v">
      <t c="2">
        <n x="36"/>
        <n x="231"/>
      </t>
    </mdx>
    <mdx n="0" f="v">
      <t c="3">
        <n x="36"/>
        <n x="445"/>
        <n x="231"/>
      </t>
    </mdx>
    <mdx n="0" f="v">
      <t c="3">
        <n x="36"/>
        <n x="443"/>
        <n x="231"/>
      </t>
    </mdx>
    <mdx n="0" f="v">
      <t c="2">
        <n x="36"/>
        <n x="193"/>
      </t>
    </mdx>
    <mdx n="0" f="v">
      <t c="3">
        <n x="36"/>
        <n x="433"/>
        <n x="231"/>
      </t>
    </mdx>
    <mdx n="0" f="v">
      <t c="3">
        <n x="36"/>
        <n x="272"/>
        <n x="231"/>
      </t>
    </mdx>
    <mdx n="0" f="v">
      <t c="3">
        <n x="201"/>
        <n x="433"/>
        <n x="231"/>
      </t>
    </mdx>
    <mdx n="0" f="v">
      <t c="3">
        <n x="201"/>
        <n x="272"/>
        <n x="231"/>
      </t>
    </mdx>
    <mdx n="0" f="v">
      <t c="2">
        <n x="201"/>
        <n x="193"/>
      </t>
    </mdx>
    <mdx n="0" f="v">
      <t c="3">
        <n x="201"/>
        <n x="445"/>
        <n x="231"/>
      </t>
    </mdx>
    <mdx n="0" f="v">
      <t c="2">
        <n x="201"/>
        <n x="231"/>
      </t>
    </mdx>
    <mdx n="0" f="v">
      <t c="3">
        <n x="201"/>
        <n x="443"/>
        <n x="231"/>
      </t>
    </mdx>
    <mdx n="0" f="v">
      <t c="3">
        <n x="46"/>
        <n x="272"/>
        <n x="231"/>
      </t>
    </mdx>
    <mdx n="0" f="v">
      <t c="3">
        <n x="46"/>
        <n x="433"/>
        <n x="231"/>
      </t>
    </mdx>
    <mdx n="0" f="v">
      <t c="2">
        <n x="46"/>
        <n x="193"/>
      </t>
    </mdx>
    <mdx n="0" f="v">
      <t c="3">
        <n x="46"/>
        <n x="443"/>
        <n x="231"/>
      </t>
    </mdx>
    <mdx n="0" f="v">
      <t c="3">
        <n x="46"/>
        <n x="445"/>
        <n x="231"/>
      </t>
    </mdx>
    <mdx n="0" f="v">
      <t c="2">
        <n x="46"/>
        <n x="231"/>
      </t>
    </mdx>
    <mdx n="0" f="v">
      <t c="3">
        <n x="240"/>
        <n x="445"/>
        <n x="231"/>
      </t>
    </mdx>
    <mdx n="0" f="v">
      <t c="2">
        <n x="240"/>
        <n x="231"/>
      </t>
    </mdx>
    <mdx n="0" f="v">
      <t c="3">
        <n x="240"/>
        <n x="443"/>
        <n x="231"/>
      </t>
    </mdx>
    <mdx n="0" f="v">
      <t c="3">
        <n x="240"/>
        <n x="433"/>
        <n x="231"/>
      </t>
    </mdx>
    <mdx n="0" f="v">
      <t c="3">
        <n x="240"/>
        <n x="272"/>
        <n x="231"/>
      </t>
    </mdx>
    <mdx n="0" f="v">
      <t c="2">
        <n x="240"/>
        <n x="193"/>
      </t>
    </mdx>
    <mdx n="0" f="v">
      <t c="3">
        <n x="168"/>
        <n x="433"/>
        <n x="231"/>
      </t>
    </mdx>
    <mdx n="0" f="v">
      <t c="3">
        <n x="168"/>
        <n x="272"/>
        <n x="231"/>
      </t>
    </mdx>
    <mdx n="0" f="v">
      <t c="2">
        <n x="168"/>
        <n x="193"/>
      </t>
    </mdx>
    <mdx n="0" f="v">
      <t c="3">
        <n x="168"/>
        <n x="445"/>
        <n x="231"/>
      </t>
    </mdx>
    <mdx n="0" f="v">
      <t c="2">
        <n x="168"/>
        <n x="231"/>
      </t>
    </mdx>
    <mdx n="0" f="v">
      <t c="3">
        <n x="168"/>
        <n x="443"/>
        <n x="231"/>
      </t>
    </mdx>
    <mdx n="0" f="v">
      <t c="3">
        <n x="76"/>
        <n x="443"/>
        <n x="231"/>
      </t>
    </mdx>
    <mdx n="0" f="v">
      <t c="3">
        <n x="76"/>
        <n x="433"/>
        <n x="231"/>
      </t>
    </mdx>
    <mdx n="0" f="v">
      <t c="3">
        <n x="76"/>
        <n x="272"/>
        <n x="231"/>
      </t>
    </mdx>
    <mdx n="0" f="v">
      <t c="2">
        <n x="76"/>
        <n x="193"/>
      </t>
    </mdx>
    <mdx n="0" f="v">
      <t c="3">
        <n x="76"/>
        <n x="445"/>
        <n x="231"/>
      </t>
    </mdx>
    <mdx n="0" f="v">
      <t c="2">
        <n x="76"/>
        <n x="231"/>
      </t>
    </mdx>
    <mdx n="0" f="v">
      <t c="2">
        <n x="209"/>
        <n x="193"/>
      </t>
    </mdx>
    <mdx n="0" f="v">
      <t c="3">
        <n x="209"/>
        <n x="272"/>
        <n x="231"/>
      </t>
    </mdx>
    <mdx n="0" f="v">
      <t c="3">
        <n x="209"/>
        <n x="445"/>
        <n x="231"/>
      </t>
    </mdx>
    <mdx n="0" f="v">
      <t c="2">
        <n x="209"/>
        <n x="231"/>
      </t>
    </mdx>
    <mdx n="0" f="v">
      <t c="3">
        <n x="209"/>
        <n x="443"/>
        <n x="231"/>
      </t>
    </mdx>
    <mdx n="0" f="v">
      <t c="3">
        <n x="209"/>
        <n x="433"/>
        <n x="231"/>
      </t>
    </mdx>
    <mdx n="0" f="v">
      <t c="2">
        <n x="54"/>
        <n x="193"/>
      </t>
    </mdx>
    <mdx n="0" f="v">
      <t c="3">
        <n x="54"/>
        <n x="272"/>
        <n x="231"/>
      </t>
    </mdx>
    <mdx n="0" f="v">
      <t c="2">
        <n x="54"/>
        <n x="231"/>
      </t>
    </mdx>
    <mdx n="0" f="v">
      <t c="3">
        <n x="54"/>
        <n x="445"/>
        <n x="231"/>
      </t>
    </mdx>
    <mdx n="0" f="v">
      <t c="3">
        <n x="54"/>
        <n x="443"/>
        <n x="231"/>
      </t>
    </mdx>
    <mdx n="0" f="v">
      <t c="3">
        <n x="54"/>
        <n x="433"/>
        <n x="231"/>
      </t>
    </mdx>
    <mdx n="0" f="v">
      <t c="3">
        <n x="248"/>
        <n x="433"/>
        <n x="231"/>
      </t>
    </mdx>
    <mdx n="0" f="v">
      <t c="3">
        <n x="248"/>
        <n x="272"/>
        <n x="231"/>
      </t>
    </mdx>
    <mdx n="0" f="v">
      <t c="2">
        <n x="248"/>
        <n x="193"/>
      </t>
    </mdx>
    <mdx n="0" f="v">
      <t c="3">
        <n x="248"/>
        <n x="445"/>
        <n x="231"/>
      </t>
    </mdx>
    <mdx n="0" f="v">
      <t c="2">
        <n x="248"/>
        <n x="231"/>
      </t>
    </mdx>
    <mdx n="0" f="v">
      <t c="3">
        <n x="248"/>
        <n x="443"/>
        <n x="231"/>
      </t>
    </mdx>
    <mdx n="0" f="v">
      <t c="3">
        <n x="176"/>
        <n x="445"/>
        <n x="231"/>
      </t>
    </mdx>
    <mdx n="0" f="v">
      <t c="3">
        <n x="176"/>
        <n x="443"/>
        <n x="231"/>
      </t>
    </mdx>
    <mdx n="0" f="v">
      <t c="3">
        <n x="176"/>
        <n x="272"/>
        <n x="231"/>
      </t>
    </mdx>
    <mdx n="0" f="v">
      <t c="2">
        <n x="176"/>
        <n x="231"/>
      </t>
    </mdx>
    <mdx n="0" f="v">
      <t c="2">
        <n x="176"/>
        <n x="193"/>
      </t>
    </mdx>
    <mdx n="0" f="v">
      <t c="3">
        <n x="176"/>
        <n x="433"/>
        <n x="231"/>
      </t>
    </mdx>
    <mdx n="0" f="v">
      <t c="3">
        <n x="156"/>
        <n x="445"/>
        <n x="231"/>
      </t>
    </mdx>
    <mdx n="0" f="v">
      <t c="3">
        <n x="156"/>
        <n x="433"/>
        <n x="231"/>
      </t>
    </mdx>
    <mdx n="0" f="v">
      <t c="3">
        <n x="156"/>
        <n x="272"/>
        <n x="231"/>
      </t>
    </mdx>
    <mdx n="0" f="v">
      <t c="2">
        <n x="156"/>
        <n x="231"/>
      </t>
    </mdx>
    <mdx n="0" f="v">
      <t c="2">
        <n x="156"/>
        <n x="193"/>
      </t>
    </mdx>
    <mdx n="0" f="v">
      <t c="3">
        <n x="156"/>
        <n x="443"/>
        <n x="231"/>
      </t>
    </mdx>
    <mdx n="0" f="v">
      <t c="2">
        <n x="217"/>
        <n x="231"/>
      </t>
    </mdx>
    <mdx n="0" f="v">
      <t c="3">
        <n x="217"/>
        <n x="445"/>
        <n x="231"/>
      </t>
    </mdx>
    <mdx n="0" f="v">
      <t c="3">
        <n x="217"/>
        <n x="443"/>
        <n x="231"/>
      </t>
    </mdx>
    <mdx n="0" f="v">
      <t c="3">
        <n x="217"/>
        <n x="272"/>
        <n x="231"/>
      </t>
    </mdx>
    <mdx n="0" f="v">
      <t c="2">
        <n x="217"/>
        <n x="193"/>
      </t>
    </mdx>
    <mdx n="0" f="v">
      <t c="3">
        <n x="62"/>
        <n x="445"/>
        <n x="231"/>
      </t>
    </mdx>
    <mdx n="0" f="v">
      <t c="3">
        <n x="62"/>
        <n x="443"/>
        <n x="231"/>
      </t>
    </mdx>
    <mdx n="0" f="v">
      <t c="3">
        <n x="62"/>
        <n x="433"/>
        <n x="231"/>
      </t>
    </mdx>
    <mdx n="0" f="v">
      <t c="2">
        <n x="62"/>
        <n x="231"/>
      </t>
    </mdx>
    <mdx n="0" f="v">
      <t c="3">
        <n x="62"/>
        <n x="272"/>
        <n x="231"/>
      </t>
    </mdx>
    <mdx n="0" f="v">
      <t c="2">
        <n x="62"/>
        <n x="193"/>
      </t>
    </mdx>
    <mdx n="0" f="v">
      <t c="3">
        <n x="256"/>
        <n x="443"/>
        <n x="231"/>
      </t>
    </mdx>
    <mdx n="0" f="v">
      <t c="3">
        <n x="256"/>
        <n x="433"/>
        <n x="231"/>
      </t>
    </mdx>
    <mdx n="0" f="v">
      <t c="3">
        <n x="256"/>
        <n x="272"/>
        <n x="231"/>
      </t>
    </mdx>
    <mdx n="0" f="v">
      <t c="2">
        <n x="256"/>
        <n x="193"/>
      </t>
    </mdx>
    <mdx n="0" f="v">
      <t c="3">
        <n x="256"/>
        <n x="445"/>
        <n x="231"/>
      </t>
    </mdx>
    <mdx n="0" f="v">
      <t c="2">
        <n x="256"/>
        <n x="231"/>
      </t>
    </mdx>
    <mdx n="0" f="v">
      <t c="3">
        <n x="184"/>
        <n x="272"/>
        <n x="231"/>
      </t>
    </mdx>
    <mdx n="0" f="v">
      <t c="2">
        <n x="184"/>
        <n x="231"/>
      </t>
    </mdx>
    <mdx n="0" f="v">
      <t c="3">
        <n x="184"/>
        <n x="445"/>
        <n x="231"/>
      </t>
    </mdx>
    <mdx n="0" f="v">
      <t c="2">
        <n x="184"/>
        <n x="193"/>
      </t>
    </mdx>
    <mdx n="0" f="v">
      <t c="3">
        <n x="184"/>
        <n x="433"/>
        <n x="231"/>
      </t>
    </mdx>
    <mdx n="0" f="v">
      <t c="2">
        <n x="158"/>
        <n x="193"/>
      </t>
    </mdx>
    <mdx n="0" f="v">
      <t c="3">
        <n x="158"/>
        <n x="445"/>
        <n x="231"/>
      </t>
    </mdx>
    <mdx n="0" f="v">
      <t c="2">
        <n x="158"/>
        <n x="231"/>
      </t>
    </mdx>
    <mdx n="0" f="v">
      <t c="3">
        <n x="158"/>
        <n x="443"/>
        <n x="231"/>
      </t>
    </mdx>
    <mdx n="0" f="v">
      <t c="3">
        <n x="158"/>
        <n x="433"/>
        <n x="231"/>
      </t>
    </mdx>
    <mdx n="0" f="v">
      <t c="3">
        <n x="225"/>
        <n x="443"/>
        <n x="231"/>
      </t>
    </mdx>
    <mdx n="0" f="v">
      <t c="3">
        <n x="225"/>
        <n x="433"/>
        <n x="231"/>
      </t>
    </mdx>
    <mdx n="0" f="v">
      <t c="3">
        <n x="225"/>
        <n x="272"/>
        <n x="231"/>
      </t>
    </mdx>
    <mdx n="0" f="v">
      <t c="2">
        <n x="225"/>
        <n x="193"/>
      </t>
    </mdx>
    <mdx n="0" f="v">
      <t c="3">
        <n x="225"/>
        <n x="445"/>
        <n x="231"/>
      </t>
    </mdx>
    <mdx n="0" f="v">
      <t c="2">
        <n x="225"/>
        <n x="231"/>
      </t>
    </mdx>
    <mdx n="0" f="v">
      <t c="3">
        <n x="70"/>
        <n x="433"/>
        <n x="231"/>
      </t>
    </mdx>
    <mdx n="0" f="v">
      <t c="3">
        <n x="70"/>
        <n x="272"/>
        <n x="231"/>
      </t>
    </mdx>
    <mdx n="0" f="v">
      <t c="3">
        <n x="70"/>
        <n x="445"/>
        <n x="231"/>
      </t>
    </mdx>
    <mdx n="0" f="v">
      <t c="2">
        <n x="70"/>
        <n x="231"/>
      </t>
    </mdx>
    <mdx n="0" f="v">
      <t c="3">
        <n x="264"/>
        <n x="272"/>
        <n x="231"/>
      </t>
    </mdx>
    <mdx n="0" f="v">
      <t c="2">
        <n x="264"/>
        <n x="193"/>
      </t>
    </mdx>
    <mdx n="0" f="v">
      <t c="3">
        <n x="264"/>
        <n x="445"/>
        <n x="231"/>
      </t>
    </mdx>
    <mdx n="0" f="v">
      <t c="2">
        <n x="264"/>
        <n x="231"/>
      </t>
    </mdx>
    <mdx n="0" f="v">
      <t c="3">
        <n x="264"/>
        <n x="443"/>
        <n x="231"/>
      </t>
    </mdx>
    <mdx n="0" f="v">
      <t c="2">
        <n x="192"/>
        <n x="193"/>
      </t>
    </mdx>
    <mdx n="0" f="v">
      <t c="2">
        <n x="192"/>
        <n x="231"/>
      </t>
    </mdx>
    <mdx n="0" f="v">
      <t c="3">
        <n x="192"/>
        <n x="443"/>
        <n x="231"/>
      </t>
    </mdx>
    <mdx n="0" f="v">
      <t c="3">
        <n x="192"/>
        <n x="433"/>
        <n x="231"/>
      </t>
    </mdx>
    <mdx n="0" f="v">
      <t c="3">
        <n x="192"/>
        <n x="272"/>
        <n x="231"/>
      </t>
    </mdx>
    <mdx n="0" f="v">
      <t c="3">
        <n x="317"/>
        <n x="443"/>
        <n x="231"/>
      </t>
    </mdx>
    <mdx n="0" f="v">
      <t c="3">
        <n x="317"/>
        <n x="433"/>
        <n x="231"/>
      </t>
    </mdx>
    <mdx n="0" f="v">
      <t c="3">
        <n x="317"/>
        <n x="272"/>
        <n x="231"/>
      </t>
    </mdx>
    <mdx n="0" f="v">
      <t c="2">
        <n x="317"/>
        <n x="193"/>
      </t>
    </mdx>
    <mdx n="0" f="v">
      <t c="3">
        <n x="317"/>
        <n x="445"/>
        <n x="231"/>
      </t>
    </mdx>
    <mdx n="0" f="v">
      <t c="2">
        <n x="317"/>
        <n x="231"/>
      </t>
    </mdx>
    <mdx n="0" f="v">
      <t c="3">
        <n x="319"/>
        <n x="443"/>
        <n x="231"/>
      </t>
    </mdx>
    <mdx n="0" f="v">
      <t c="3">
        <n x="319"/>
        <n x="433"/>
        <n x="231"/>
      </t>
    </mdx>
    <mdx n="0" f="v">
      <t c="3">
        <n x="319"/>
        <n x="272"/>
        <n x="231"/>
      </t>
    </mdx>
    <mdx n="0" f="v">
      <t c="2">
        <n x="319"/>
        <n x="193"/>
      </t>
    </mdx>
    <mdx n="0" f="v">
      <t c="3">
        <n x="319"/>
        <n x="445"/>
        <n x="231"/>
      </t>
    </mdx>
    <mdx n="0" f="v">
      <t c="2">
        <n x="319"/>
        <n x="231"/>
      </t>
    </mdx>
    <mdx n="0" f="v">
      <t c="3">
        <n x="321"/>
        <n x="443"/>
        <n x="231"/>
      </t>
    </mdx>
    <mdx n="0" f="v">
      <t c="3">
        <n x="321"/>
        <n x="433"/>
        <n x="231"/>
      </t>
    </mdx>
    <mdx n="0" f="v">
      <t c="3">
        <n x="321"/>
        <n x="272"/>
        <n x="231"/>
      </t>
    </mdx>
    <mdx n="0" f="v">
      <t c="2">
        <n x="321"/>
        <n x="193"/>
      </t>
    </mdx>
    <mdx n="0" f="v">
      <t c="3">
        <n x="321"/>
        <n x="445"/>
        <n x="231"/>
      </t>
    </mdx>
    <mdx n="0" f="v">
      <t c="2">
        <n x="321"/>
        <n x="231"/>
      </t>
    </mdx>
    <mdx n="0" f="v">
      <t c="3">
        <n x="323"/>
        <n x="443"/>
        <n x="231"/>
      </t>
    </mdx>
    <mdx n="0" f="v">
      <t c="3">
        <n x="323"/>
        <n x="433"/>
        <n x="231"/>
      </t>
    </mdx>
    <mdx n="0" f="v">
      <t c="3">
        <n x="323"/>
        <n x="272"/>
        <n x="231"/>
      </t>
    </mdx>
    <mdx n="0" f="v">
      <t c="2">
        <n x="323"/>
        <n x="193"/>
      </t>
    </mdx>
    <mdx n="0" f="v">
      <t c="3">
        <n x="323"/>
        <n x="445"/>
        <n x="231"/>
      </t>
    </mdx>
    <mdx n="0" f="v">
      <t c="2">
        <n x="323"/>
        <n x="231"/>
      </t>
    </mdx>
    <mdx n="0" f="v">
      <t c="3">
        <n x="325"/>
        <n x="443"/>
        <n x="231"/>
      </t>
    </mdx>
    <mdx n="0" f="v">
      <t c="2">
        <n x="325"/>
        <n x="193"/>
      </t>
    </mdx>
    <mdx n="0" f="v">
      <t c="3">
        <n x="325"/>
        <n x="433"/>
        <n x="231"/>
      </t>
    </mdx>
    <mdx n="0" f="v">
      <t c="3">
        <n x="325"/>
        <n x="272"/>
        <n x="231"/>
      </t>
    </mdx>
    <mdx n="0" f="v">
      <t c="3">
        <n x="325"/>
        <n x="445"/>
        <n x="231"/>
      </t>
    </mdx>
    <mdx n="0" f="v">
      <t c="2">
        <n x="325"/>
        <n x="231"/>
      </t>
    </mdx>
    <mdx n="0" f="v">
      <t c="3">
        <n x="327"/>
        <n x="443"/>
        <n x="231"/>
      </t>
    </mdx>
    <mdx n="0" f="v">
      <t c="3">
        <n x="327"/>
        <n x="433"/>
        <n x="231"/>
      </t>
    </mdx>
    <mdx n="0" f="v">
      <t c="2">
        <n x="327"/>
        <n x="193"/>
      </t>
    </mdx>
    <mdx n="0" f="v">
      <t c="3">
        <n x="327"/>
        <n x="272"/>
        <n x="231"/>
      </t>
    </mdx>
    <mdx n="0" f="v">
      <t c="3">
        <n x="327"/>
        <n x="445"/>
        <n x="231"/>
      </t>
    </mdx>
    <mdx n="0" f="v">
      <t c="2">
        <n x="327"/>
        <n x="231"/>
      </t>
    </mdx>
    <mdx n="0" f="v">
      <t c="3">
        <n x="329"/>
        <n x="443"/>
        <n x="231"/>
      </t>
    </mdx>
    <mdx n="0" f="v">
      <t c="3">
        <n x="329"/>
        <n x="433"/>
        <n x="231"/>
      </t>
    </mdx>
    <mdx n="0" f="v">
      <t c="3">
        <n x="329"/>
        <n x="272"/>
        <n x="231"/>
      </t>
    </mdx>
    <mdx n="0" f="v">
      <t c="2">
        <n x="329"/>
        <n x="193"/>
      </t>
    </mdx>
    <mdx n="0" f="v">
      <t c="3">
        <n x="329"/>
        <n x="445"/>
        <n x="231"/>
      </t>
    </mdx>
    <mdx n="0" f="v">
      <t c="2">
        <n x="329"/>
        <n x="231"/>
      </t>
    </mdx>
    <mdx n="0" f="v">
      <t c="3">
        <n x="331"/>
        <n x="443"/>
        <n x="231"/>
      </t>
    </mdx>
    <mdx n="0" f="v">
      <t c="3">
        <n x="331"/>
        <n x="433"/>
        <n x="231"/>
      </t>
    </mdx>
    <mdx n="0" f="v">
      <t c="3">
        <n x="331"/>
        <n x="272"/>
        <n x="231"/>
      </t>
    </mdx>
    <mdx n="0" f="v">
      <t c="2">
        <n x="331"/>
        <n x="193"/>
      </t>
    </mdx>
    <mdx n="0" f="v">
      <t c="3">
        <n x="331"/>
        <n x="445"/>
        <n x="231"/>
      </t>
    </mdx>
    <mdx n="0" f="v">
      <t c="2">
        <n x="331"/>
        <n x="231"/>
      </t>
    </mdx>
    <mdx n="0" f="v">
      <t c="3">
        <n x="333"/>
        <n x="443"/>
        <n x="231"/>
      </t>
    </mdx>
    <mdx n="0" f="v">
      <t c="3">
        <n x="333"/>
        <n x="433"/>
        <n x="231"/>
      </t>
    </mdx>
    <mdx n="0" f="v">
      <t c="3">
        <n x="333"/>
        <n x="272"/>
        <n x="231"/>
      </t>
    </mdx>
    <mdx n="0" f="v">
      <t c="2">
        <n x="333"/>
        <n x="193"/>
      </t>
    </mdx>
    <mdx n="0" f="v">
      <t c="3">
        <n x="333"/>
        <n x="445"/>
        <n x="231"/>
      </t>
    </mdx>
    <mdx n="0" f="v">
      <t c="2">
        <n x="333"/>
        <n x="231"/>
      </t>
    </mdx>
    <mdx n="0" f="v">
      <t c="3">
        <n x="335"/>
        <n x="443"/>
        <n x="231"/>
      </t>
    </mdx>
    <mdx n="0" f="v">
      <t c="3">
        <n x="335"/>
        <n x="433"/>
        <n x="231"/>
      </t>
    </mdx>
    <mdx n="0" f="v">
      <t c="3">
        <n x="335"/>
        <n x="272"/>
        <n x="231"/>
      </t>
    </mdx>
    <mdx n="0" f="v">
      <t c="2">
        <n x="335"/>
        <n x="193"/>
      </t>
    </mdx>
    <mdx n="0" f="v">
      <t c="3">
        <n x="335"/>
        <n x="445"/>
        <n x="231"/>
      </t>
    </mdx>
    <mdx n="0" f="v">
      <t c="2">
        <n x="335"/>
        <n x="231"/>
      </t>
    </mdx>
    <mdx n="0" f="v">
      <t c="3">
        <n x="337"/>
        <n x="443"/>
        <n x="231"/>
      </t>
    </mdx>
    <mdx n="0" f="v">
      <t c="3">
        <n x="337"/>
        <n x="433"/>
        <n x="231"/>
      </t>
    </mdx>
    <mdx n="0" f="v">
      <t c="3">
        <n x="337"/>
        <n x="272"/>
        <n x="231"/>
      </t>
    </mdx>
    <mdx n="0" f="v">
      <t c="2">
        <n x="337"/>
        <n x="193"/>
      </t>
    </mdx>
    <mdx n="0" f="v">
      <t c="3">
        <n x="337"/>
        <n x="445"/>
        <n x="231"/>
      </t>
    </mdx>
    <mdx n="0" f="v">
      <t c="2">
        <n x="337"/>
        <n x="231"/>
      </t>
    </mdx>
    <mdx n="0" f="v">
      <t c="3">
        <n x="198"/>
        <n x="433"/>
        <n x="231"/>
      </t>
    </mdx>
    <mdx n="0" f="v">
      <t c="3">
        <n x="198"/>
        <n x="272"/>
        <n x="231"/>
      </t>
    </mdx>
    <mdx n="0" f="v">
      <t c="2">
        <n x="198"/>
        <n x="193"/>
      </t>
    </mdx>
    <mdx n="0" f="v">
      <t c="3">
        <n x="198"/>
        <n x="445"/>
        <n x="231"/>
      </t>
    </mdx>
    <mdx n="0" f="v">
      <t c="2">
        <n x="198"/>
        <n x="231"/>
      </t>
    </mdx>
    <mdx n="0" f="v">
      <t c="3">
        <n x="198"/>
        <n x="443"/>
        <n x="231"/>
      </t>
    </mdx>
    <mdx n="0" f="v">
      <t c="3">
        <n x="43"/>
        <n x="272"/>
        <n x="231"/>
      </t>
    </mdx>
    <mdx n="0" f="v">
      <t c="3">
        <n x="43"/>
        <n x="433"/>
        <n x="231"/>
      </t>
    </mdx>
    <mdx n="0" f="v">
      <t c="2">
        <n x="43"/>
        <n x="193"/>
      </t>
    </mdx>
    <mdx n="0" f="v">
      <t c="3">
        <n x="43"/>
        <n x="445"/>
        <n x="231"/>
      </t>
    </mdx>
    <mdx n="0" f="v">
      <t c="2">
        <n x="43"/>
        <n x="231"/>
      </t>
    </mdx>
    <mdx n="0" f="v">
      <t c="3">
        <n x="43"/>
        <n x="443"/>
        <n x="231"/>
      </t>
    </mdx>
    <mdx n="0" f="v">
      <t c="2">
        <n x="237"/>
        <n x="231"/>
      </t>
    </mdx>
    <mdx n="0" f="v">
      <t c="3">
        <n x="237"/>
        <n x="445"/>
        <n x="231"/>
      </t>
    </mdx>
    <mdx n="0" f="v">
      <t c="3">
        <n x="237"/>
        <n x="272"/>
        <n x="231"/>
      </t>
    </mdx>
    <mdx n="0" f="v">
      <t c="2">
        <n x="237"/>
        <n x="193"/>
      </t>
    </mdx>
    <mdx n="0" f="v">
      <t c="3">
        <n x="237"/>
        <n x="443"/>
        <n x="231"/>
      </t>
    </mdx>
    <mdx n="0" f="v">
      <t c="3">
        <n x="237"/>
        <n x="433"/>
        <n x="231"/>
      </t>
    </mdx>
    <mdx n="0" f="v">
      <t c="3">
        <n x="165"/>
        <n x="445"/>
        <n x="231"/>
      </t>
    </mdx>
    <mdx n="0" f="v">
      <t c="3">
        <n x="165"/>
        <n x="443"/>
        <n x="231"/>
      </t>
    </mdx>
    <mdx n="0" f="v">
      <t c="3">
        <n x="165"/>
        <n x="433"/>
        <n x="231"/>
      </t>
    </mdx>
    <mdx n="0" f="v">
      <t c="2">
        <n x="165"/>
        <n x="231"/>
      </t>
    </mdx>
    <mdx n="0" f="v">
      <t c="3">
        <n x="165"/>
        <n x="272"/>
        <n x="231"/>
      </t>
    </mdx>
    <mdx n="0" f="v">
      <t c="2">
        <n x="165"/>
        <n x="193"/>
      </t>
    </mdx>
    <mdx n="0" f="v">
      <t c="3">
        <n x="154"/>
        <n x="443"/>
        <n x="231"/>
      </t>
    </mdx>
    <mdx n="0" f="v">
      <t c="3">
        <n x="154"/>
        <n x="433"/>
        <n x="231"/>
      </t>
    </mdx>
    <mdx n="0" f="v">
      <t c="3">
        <n x="154"/>
        <n x="272"/>
        <n x="231"/>
      </t>
    </mdx>
    <mdx n="0" f="v">
      <t c="2">
        <n x="154"/>
        <n x="193"/>
      </t>
    </mdx>
    <mdx n="0" f="v">
      <t c="3">
        <n x="154"/>
        <n x="445"/>
        <n x="231"/>
      </t>
    </mdx>
    <mdx n="0" f="v">
      <t c="2">
        <n x="154"/>
        <n x="231"/>
      </t>
    </mdx>
    <mdx n="0" f="v">
      <t c="2">
        <n x="206"/>
        <n x="193"/>
      </t>
    </mdx>
    <mdx n="0" f="v">
      <t c="3">
        <n x="206"/>
        <n x="272"/>
        <n x="231"/>
      </t>
    </mdx>
    <mdx n="0" f="v">
      <t c="3">
        <n x="206"/>
        <n x="445"/>
        <n x="231"/>
      </t>
    </mdx>
    <mdx n="0" f="v">
      <t c="2">
        <n x="206"/>
        <n x="231"/>
      </t>
    </mdx>
    <mdx n="0" f="v">
      <t c="3">
        <n x="206"/>
        <n x="443"/>
        <n x="231"/>
      </t>
    </mdx>
    <mdx n="0" f="v">
      <t c="3">
        <n x="206"/>
        <n x="433"/>
        <n x="231"/>
      </t>
    </mdx>
    <mdx n="0" f="v">
      <t c="2">
        <n x="51"/>
        <n x="193"/>
      </t>
    </mdx>
    <mdx n="0" f="v">
      <t c="3">
        <n x="51"/>
        <n x="272"/>
        <n x="231"/>
      </t>
    </mdx>
    <mdx n="0" f="v">
      <t c="3">
        <n x="51"/>
        <n x="445"/>
        <n x="231"/>
      </t>
    </mdx>
    <mdx n="0" f="v">
      <t c="2">
        <n x="51"/>
        <n x="231"/>
      </t>
    </mdx>
    <mdx n="0" f="v">
      <t c="3">
        <n x="51"/>
        <n x="443"/>
        <n x="231"/>
      </t>
    </mdx>
    <mdx n="0" f="v">
      <t c="3">
        <n x="51"/>
        <n x="433"/>
        <n x="231"/>
      </t>
    </mdx>
    <mdx n="0" f="v">
      <t c="3">
        <n x="245"/>
        <n x="445"/>
        <n x="231"/>
      </t>
    </mdx>
    <mdx n="0" f="v">
      <t c="2">
        <n x="245"/>
        <n x="231"/>
      </t>
    </mdx>
    <mdx n="0" f="v">
      <t c="3">
        <n x="245"/>
        <n x="443"/>
        <n x="231"/>
      </t>
    </mdx>
    <mdx n="0" f="v">
      <t c="3">
        <n x="245"/>
        <n x="433"/>
        <n x="231"/>
      </t>
    </mdx>
    <mdx n="0" f="v">
      <t c="3">
        <n x="245"/>
        <n x="272"/>
        <n x="231"/>
      </t>
    </mdx>
    <mdx n="0" f="v">
      <t c="2">
        <n x="245"/>
        <n x="193"/>
      </t>
    </mdx>
    <mdx n="0" f="v">
      <t c="3">
        <n x="173"/>
        <n x="433"/>
        <n x="231"/>
      </t>
    </mdx>
    <mdx n="0" f="v">
      <t c="3">
        <n x="173"/>
        <n x="272"/>
        <n x="231"/>
      </t>
    </mdx>
    <mdx n="0" f="v">
      <t c="2">
        <n x="173"/>
        <n x="193"/>
      </t>
    </mdx>
    <mdx n="0" f="v">
      <t c="3">
        <n x="173"/>
        <n x="445"/>
        <n x="231"/>
      </t>
    </mdx>
    <mdx n="0" f="v">
      <t c="2">
        <n x="173"/>
        <n x="231"/>
      </t>
    </mdx>
    <mdx n="0" f="v">
      <t c="3">
        <n x="173"/>
        <n x="443"/>
        <n x="231"/>
      </t>
    </mdx>
    <mdx n="0" f="v">
      <t c="2">
        <n x="77"/>
        <n x="193"/>
      </t>
    </mdx>
    <mdx n="0" f="v">
      <t c="3">
        <n x="77"/>
        <n x="445"/>
        <n x="231"/>
      </t>
    </mdx>
    <mdx n="0" f="v">
      <t c="2">
        <n x="77"/>
        <n x="231"/>
      </t>
    </mdx>
    <mdx n="0" f="v">
      <t c="3">
        <n x="77"/>
        <n x="443"/>
        <n x="231"/>
      </t>
    </mdx>
    <mdx n="0" f="v">
      <t c="3">
        <n x="77"/>
        <n x="433"/>
        <n x="231"/>
      </t>
    </mdx>
    <mdx n="0" f="v">
      <t c="3">
        <n x="214"/>
        <n x="433"/>
        <n x="231"/>
      </t>
    </mdx>
    <mdx n="0" f="v">
      <t c="2">
        <n x="214"/>
        <n x="231"/>
      </t>
    </mdx>
    <mdx n="0" f="v">
      <t c="3">
        <n x="214"/>
        <n x="272"/>
        <n x="231"/>
      </t>
    </mdx>
    <mdx n="0" f="v">
      <t c="2">
        <n x="214"/>
        <n x="193"/>
      </t>
    </mdx>
    <mdx n="0" f="v">
      <t c="3">
        <n x="59"/>
        <n x="445"/>
        <n x="231"/>
      </t>
    </mdx>
    <mdx n="0" f="v">
      <t c="3">
        <n x="59"/>
        <n x="443"/>
        <n x="231"/>
      </t>
    </mdx>
    <mdx n="0" f="v">
      <t c="3">
        <n x="59"/>
        <n x="433"/>
        <n x="231"/>
      </t>
    </mdx>
    <mdx n="0" f="v">
      <t c="2">
        <n x="59"/>
        <n x="231"/>
      </t>
    </mdx>
    <mdx n="0" f="v">
      <t c="3">
        <n x="59"/>
        <n x="272"/>
        <n x="231"/>
      </t>
    </mdx>
    <mdx n="0" f="v">
      <t c="2">
        <n x="59"/>
        <n x="193"/>
      </t>
    </mdx>
    <mdx n="0" f="v">
      <t c="3">
        <n x="253"/>
        <n x="443"/>
        <n x="231"/>
      </t>
    </mdx>
    <mdx n="0" f="v">
      <t c="3">
        <n x="253"/>
        <n x="433"/>
        <n x="231"/>
      </t>
    </mdx>
    <mdx n="0" f="v">
      <t c="3">
        <n x="253"/>
        <n x="272"/>
        <n x="231"/>
      </t>
    </mdx>
    <mdx n="0" f="v">
      <t c="2">
        <n x="253"/>
        <n x="193"/>
      </t>
    </mdx>
    <mdx n="0" f="v">
      <t c="3">
        <n x="253"/>
        <n x="445"/>
        <n x="231"/>
      </t>
    </mdx>
    <mdx n="0" f="v">
      <t c="2">
        <n x="253"/>
        <n x="231"/>
      </t>
    </mdx>
    <mdx n="0" f="v">
      <t c="3">
        <n x="181"/>
        <n x="272"/>
        <n x="231"/>
      </t>
    </mdx>
    <mdx n="0" f="v">
      <t c="2">
        <n x="181"/>
        <n x="231"/>
      </t>
    </mdx>
    <mdx n="0" f="v">
      <t c="3">
        <n x="181"/>
        <n x="445"/>
        <n x="231"/>
      </t>
    </mdx>
    <mdx n="0" f="v">
      <t c="3">
        <n x="181"/>
        <n x="443"/>
        <n x="231"/>
      </t>
    </mdx>
    <mdx n="0" f="v">
      <t c="2">
        <n x="181"/>
        <n x="193"/>
      </t>
    </mdx>
    <mdx n="0" f="v">
      <t c="3">
        <n x="181"/>
        <n x="433"/>
        <n x="231"/>
      </t>
    </mdx>
    <mdx n="0" f="v">
      <t c="2">
        <n x="39"/>
        <n x="231"/>
      </t>
    </mdx>
    <mdx n="0" f="v">
      <t c="3">
        <n x="39"/>
        <n x="445"/>
        <n x="231"/>
      </t>
    </mdx>
    <mdx n="0" f="v">
      <t c="3">
        <n x="39"/>
        <n x="433"/>
        <n x="231"/>
      </t>
    </mdx>
    <mdx n="0" f="v">
      <t c="3">
        <n x="39"/>
        <n x="272"/>
        <n x="231"/>
      </t>
    </mdx>
    <mdx n="0" f="v">
      <t c="2">
        <n x="39"/>
        <n x="193"/>
      </t>
    </mdx>
    <mdx n="0" f="v">
      <t c="3">
        <n x="39"/>
        <n x="443"/>
        <n x="231"/>
      </t>
    </mdx>
    <mdx n="0" f="v">
      <t c="3">
        <n x="222"/>
        <n x="433"/>
        <n x="231"/>
      </t>
    </mdx>
    <mdx n="0" f="v">
      <t c="2">
        <n x="222"/>
        <n x="231"/>
      </t>
    </mdx>
    <mdx n="0" f="v">
      <t c="3">
        <n x="222"/>
        <n x="445"/>
        <n x="231"/>
      </t>
    </mdx>
    <mdx n="0" f="v">
      <t c="3">
        <n x="222"/>
        <n x="272"/>
        <n x="231"/>
      </t>
    </mdx>
    <mdx n="0" f="v">
      <t c="2">
        <n x="222"/>
        <n x="193"/>
      </t>
    </mdx>
    <mdx n="0" f="v">
      <t c="3">
        <n x="67"/>
        <n x="443"/>
        <n x="231"/>
      </t>
    </mdx>
    <mdx n="0" f="v">
      <t c="3">
        <n x="67"/>
        <n x="433"/>
        <n x="231"/>
      </t>
    </mdx>
    <mdx n="0" f="v">
      <t c="3">
        <n x="67"/>
        <n x="272"/>
        <n x="231"/>
      </t>
    </mdx>
    <mdx n="0" f="v">
      <t c="2">
        <n x="67"/>
        <n x="193"/>
      </t>
    </mdx>
    <mdx n="0" f="v">
      <t c="3">
        <n x="67"/>
        <n x="445"/>
        <n x="231"/>
      </t>
    </mdx>
    <mdx n="0" f="v">
      <t c="2">
        <n x="67"/>
        <n x="231"/>
      </t>
    </mdx>
    <mdx n="0" f="v">
      <t c="3">
        <n x="261"/>
        <n x="433"/>
        <n x="231"/>
      </t>
    </mdx>
    <mdx n="0" f="v">
      <t c="3">
        <n x="261"/>
        <n x="272"/>
        <n x="231"/>
      </t>
    </mdx>
    <mdx n="0" f="v">
      <t c="2">
        <n x="261"/>
        <n x="193"/>
      </t>
    </mdx>
    <mdx n="0" f="v">
      <t c="3">
        <n x="261"/>
        <n x="445"/>
        <n x="231"/>
      </t>
    </mdx>
    <mdx n="0" f="v">
      <t c="2">
        <n x="261"/>
        <n x="231"/>
      </t>
    </mdx>
    <mdx n="0" f="v">
      <t c="3">
        <n x="261"/>
        <n x="443"/>
        <n x="231"/>
      </t>
    </mdx>
    <mdx n="0" f="v">
      <t c="3">
        <n x="189"/>
        <n x="445"/>
        <n x="231"/>
      </t>
    </mdx>
    <mdx n="0" f="v">
      <t c="2">
        <n x="189"/>
        <n x="193"/>
      </t>
    </mdx>
    <mdx n="0" f="v">
      <t c="3">
        <n x="189"/>
        <n x="443"/>
        <n x="231"/>
      </t>
    </mdx>
    <mdx n="0" f="v">
      <t c="3">
        <n x="189"/>
        <n x="433"/>
        <n x="231"/>
      </t>
    </mdx>
    <mdx n="0" f="v">
      <t c="3">
        <n x="189"/>
        <n x="272"/>
        <n x="231"/>
      </t>
    </mdx>
    <mdx n="0" f="v">
      <t c="3">
        <n x="119"/>
        <n x="272"/>
        <n x="231"/>
      </t>
    </mdx>
    <mdx n="0" f="v">
      <t c="2">
        <n x="119"/>
        <n x="193"/>
      </t>
    </mdx>
    <mdx n="0" f="v">
      <t c="3">
        <n x="119"/>
        <n x="445"/>
        <n x="231"/>
      </t>
    </mdx>
    <mdx n="0" f="v">
      <t c="2">
        <n x="119"/>
        <n x="231"/>
      </t>
    </mdx>
    <mdx n="0" f="v">
      <t c="3">
        <n x="119"/>
        <n x="443"/>
        <n x="231"/>
      </t>
    </mdx>
    <mdx n="0" f="v">
      <t c="3">
        <n x="119"/>
        <n x="433"/>
        <n x="231"/>
      </t>
    </mdx>
    <mdx n="0" f="v">
      <t c="3">
        <n x="230"/>
        <n x="433"/>
        <n x="231"/>
      </t>
    </mdx>
    <mdx n="0" f="v">
      <t c="3">
        <n x="230"/>
        <n x="272"/>
        <n x="231"/>
      </t>
    </mdx>
    <mdx n="0" f="v">
      <t c="3">
        <n x="230"/>
        <n x="445"/>
        <n x="231"/>
      </t>
    </mdx>
    <mdx n="0" f="v">
      <t c="2">
        <n x="230"/>
        <n x="231"/>
      </t>
    </mdx>
    <mdx n="0" f="v">
      <t c="3">
        <n x="340"/>
        <n x="433"/>
        <n x="231"/>
      </t>
    </mdx>
    <mdx n="0" f="v">
      <t c="3">
        <n x="340"/>
        <n x="272"/>
        <n x="231"/>
      </t>
    </mdx>
    <mdx n="0" f="v">
      <t c="2">
        <n x="340"/>
        <n x="193"/>
      </t>
    </mdx>
    <mdx n="0" f="v">
      <t c="3">
        <n x="340"/>
        <n x="445"/>
        <n x="231"/>
      </t>
    </mdx>
    <mdx n="0" f="v">
      <t c="2">
        <n x="340"/>
        <n x="231"/>
      </t>
    </mdx>
    <mdx n="0" f="v">
      <t c="3">
        <n x="340"/>
        <n x="443"/>
        <n x="231"/>
      </t>
    </mdx>
    <mdx n="0" f="v">
      <t c="3">
        <n x="342"/>
        <n x="433"/>
        <n x="231"/>
      </t>
    </mdx>
    <mdx n="0" f="v">
      <t c="3">
        <n x="342"/>
        <n x="272"/>
        <n x="231"/>
      </t>
    </mdx>
    <mdx n="0" f="v">
      <t c="2">
        <n x="342"/>
        <n x="193"/>
      </t>
    </mdx>
    <mdx n="0" f="v">
      <t c="3">
        <n x="342"/>
        <n x="445"/>
        <n x="231"/>
      </t>
    </mdx>
    <mdx n="0" f="v">
      <t c="2">
        <n x="342"/>
        <n x="231"/>
      </t>
    </mdx>
    <mdx n="0" f="v">
      <t c="3">
        <n x="342"/>
        <n x="443"/>
        <n x="231"/>
      </t>
    </mdx>
    <mdx n="0" f="v">
      <t c="3">
        <n x="344"/>
        <n x="433"/>
        <n x="231"/>
      </t>
    </mdx>
    <mdx n="0" f="v">
      <t c="3">
        <n x="344"/>
        <n x="272"/>
        <n x="231"/>
      </t>
    </mdx>
    <mdx n="0" f="v">
      <t c="2">
        <n x="344"/>
        <n x="193"/>
      </t>
    </mdx>
    <mdx n="0" f="v">
      <t c="3">
        <n x="344"/>
        <n x="445"/>
        <n x="231"/>
      </t>
    </mdx>
    <mdx n="0" f="v">
      <t c="2">
        <n x="344"/>
        <n x="231"/>
      </t>
    </mdx>
    <mdx n="0" f="v">
      <t c="3">
        <n x="344"/>
        <n x="443"/>
        <n x="231"/>
      </t>
    </mdx>
    <mdx n="0" f="v">
      <t c="3">
        <n x="346"/>
        <n x="433"/>
        <n x="231"/>
      </t>
    </mdx>
    <mdx n="0" f="v">
      <t c="3">
        <n x="346"/>
        <n x="272"/>
        <n x="231"/>
      </t>
    </mdx>
    <mdx n="0" f="v">
      <t c="2">
        <n x="346"/>
        <n x="193"/>
      </t>
    </mdx>
    <mdx n="0" f="v">
      <t c="3">
        <n x="346"/>
        <n x="445"/>
        <n x="231"/>
      </t>
    </mdx>
    <mdx n="0" f="v">
      <t c="2">
        <n x="346"/>
        <n x="231"/>
      </t>
    </mdx>
    <mdx n="0" f="v">
      <t c="3">
        <n x="346"/>
        <n x="443"/>
        <n x="231"/>
      </t>
    </mdx>
    <mdx n="0" f="v">
      <t c="3">
        <n x="348"/>
        <n x="433"/>
        <n x="231"/>
      </t>
    </mdx>
    <mdx n="0" f="v">
      <t c="3">
        <n x="348"/>
        <n x="272"/>
        <n x="231"/>
      </t>
    </mdx>
    <mdx n="0" f="v">
      <t c="2">
        <n x="348"/>
        <n x="193"/>
      </t>
    </mdx>
    <mdx n="0" f="v">
      <t c="3">
        <n x="348"/>
        <n x="445"/>
        <n x="231"/>
      </t>
    </mdx>
    <mdx n="0" f="v">
      <t c="2">
        <n x="348"/>
        <n x="231"/>
      </t>
    </mdx>
    <mdx n="0" f="v">
      <t c="3">
        <n x="348"/>
        <n x="443"/>
        <n x="231"/>
      </t>
    </mdx>
    <mdx n="0" f="v">
      <t c="3">
        <n x="350"/>
        <n x="272"/>
        <n x="231"/>
      </t>
    </mdx>
    <mdx n="0" f="v">
      <t c="3">
        <n x="350"/>
        <n x="433"/>
        <n x="231"/>
      </t>
    </mdx>
    <mdx n="0" f="v">
      <t c="2">
        <n x="350"/>
        <n x="193"/>
      </t>
    </mdx>
    <mdx n="0" f="v">
      <t c="3">
        <n x="350"/>
        <n x="445"/>
        <n x="231"/>
      </t>
    </mdx>
    <mdx n="0" f="v">
      <t c="2">
        <n x="350"/>
        <n x="231"/>
      </t>
    </mdx>
    <mdx n="0" f="v">
      <t c="3">
        <n x="350"/>
        <n x="443"/>
        <n x="231"/>
      </t>
    </mdx>
    <mdx n="0" f="v">
      <t c="3">
        <n x="352"/>
        <n x="433"/>
        <n x="231"/>
      </t>
    </mdx>
    <mdx n="0" f="v">
      <t c="2">
        <n x="352"/>
        <n x="193"/>
      </t>
    </mdx>
    <mdx n="0" f="v">
      <t c="3">
        <n x="352"/>
        <n x="272"/>
        <n x="231"/>
      </t>
    </mdx>
    <mdx n="0" f="v">
      <t c="3">
        <n x="352"/>
        <n x="445"/>
        <n x="231"/>
      </t>
    </mdx>
    <mdx n="0" f="v">
      <t c="2">
        <n x="352"/>
        <n x="231"/>
      </t>
    </mdx>
    <mdx n="0" f="v">
      <t c="3">
        <n x="352"/>
        <n x="443"/>
        <n x="231"/>
      </t>
    </mdx>
    <mdx n="0" f="v">
      <t c="3">
        <n x="354"/>
        <n x="433"/>
        <n x="231"/>
      </t>
    </mdx>
    <mdx n="0" f="v">
      <t c="2">
        <n x="354"/>
        <n x="193"/>
      </t>
    </mdx>
    <mdx n="0" f="v">
      <t c="3">
        <n x="354"/>
        <n x="272"/>
        <n x="231"/>
      </t>
    </mdx>
    <mdx n="0" f="v">
      <t c="3">
        <n x="354"/>
        <n x="445"/>
        <n x="231"/>
      </t>
    </mdx>
    <mdx n="0" f="v">
      <t c="2">
        <n x="354"/>
        <n x="231"/>
      </t>
    </mdx>
    <mdx n="0" f="v">
      <t c="3">
        <n x="354"/>
        <n x="443"/>
        <n x="231"/>
      </t>
    </mdx>
    <mdx n="0" f="v">
      <t c="3">
        <n x="356"/>
        <n x="433"/>
        <n x="231"/>
      </t>
    </mdx>
    <mdx n="0" f="v">
      <t c="2">
        <n x="356"/>
        <n x="193"/>
      </t>
    </mdx>
    <mdx n="0" f="v">
      <t c="3">
        <n x="356"/>
        <n x="272"/>
        <n x="231"/>
      </t>
    </mdx>
    <mdx n="0" f="v">
      <t c="3">
        <n x="356"/>
        <n x="445"/>
        <n x="231"/>
      </t>
    </mdx>
    <mdx n="0" f="v">
      <t c="2">
        <n x="356"/>
        <n x="231"/>
      </t>
    </mdx>
    <mdx n="0" f="v">
      <t c="3">
        <n x="356"/>
        <n x="443"/>
        <n x="231"/>
      </t>
    </mdx>
    <mdx n="0" f="v">
      <t c="3">
        <n x="358"/>
        <n x="445"/>
        <n x="231"/>
      </t>
    </mdx>
    <mdx n="0" f="v">
      <t c="3">
        <n x="358"/>
        <n x="433"/>
        <n x="231"/>
      </t>
    </mdx>
    <mdx n="0" f="v">
      <t c="2">
        <n x="358"/>
        <n x="193"/>
      </t>
    </mdx>
    <mdx n="0" f="v">
      <t c="2">
        <n x="358"/>
        <n x="231"/>
      </t>
    </mdx>
    <mdx n="0" f="v">
      <t c="3">
        <n x="358"/>
        <n x="272"/>
        <n x="231"/>
      </t>
    </mdx>
    <mdx n="0" f="v">
      <t c="3">
        <n x="358"/>
        <n x="443"/>
        <n x="231"/>
      </t>
    </mdx>
    <mdx n="0" f="v">
      <t c="3">
        <n x="360"/>
        <n x="445"/>
        <n x="231"/>
      </t>
    </mdx>
    <mdx n="0" f="v">
      <t c="2">
        <n x="360"/>
        <n x="193"/>
      </t>
    </mdx>
    <mdx n="0" f="v">
      <t c="2">
        <n x="360"/>
        <n x="231"/>
      </t>
    </mdx>
    <mdx n="0" f="v">
      <t c="3">
        <n x="360"/>
        <n x="433"/>
        <n x="231"/>
      </t>
    </mdx>
    <mdx n="0" f="v">
      <t c="3">
        <n x="360"/>
        <n x="272"/>
        <n x="231"/>
      </t>
    </mdx>
    <mdx n="0" f="v">
      <t c="3">
        <n x="360"/>
        <n x="443"/>
        <n x="231"/>
      </t>
    </mdx>
    <mdx n="0" f="v">
      <t c="3">
        <n x="234"/>
        <n x="272"/>
        <n x="231"/>
      </t>
    </mdx>
    <mdx n="0" f="v">
      <t c="2">
        <n x="234"/>
        <n x="231"/>
      </t>
    </mdx>
    <mdx n="0" f="v">
      <t c="3">
        <n x="234"/>
        <n x="445"/>
        <n x="231"/>
      </t>
    </mdx>
    <mdx n="0" f="v">
      <t c="2">
        <n x="234"/>
        <n x="193"/>
      </t>
    </mdx>
    <mdx n="0" f="v">
      <t c="3">
        <n x="234"/>
        <n x="443"/>
        <n x="231"/>
      </t>
    </mdx>
    <mdx n="0" f="v">
      <t c="3">
        <n x="234"/>
        <n x="433"/>
        <n x="231"/>
      </t>
    </mdx>
    <mdx n="0" f="v">
      <t c="3">
        <n x="162"/>
        <n x="443"/>
        <n x="231"/>
      </t>
    </mdx>
    <mdx n="0" f="v">
      <t c="3">
        <n x="162"/>
        <n x="433"/>
        <n x="231"/>
      </t>
    </mdx>
    <mdx n="0" f="v">
      <t c="3">
        <n x="162"/>
        <n x="272"/>
        <n x="231"/>
      </t>
    </mdx>
    <mdx n="0" f="v">
      <t c="2">
        <n x="162"/>
        <n x="193"/>
      </t>
    </mdx>
    <mdx n="0" f="v">
      <t c="3">
        <n x="162"/>
        <n x="445"/>
        <n x="231"/>
      </t>
    </mdx>
    <mdx n="0" f="v">
      <t c="2">
        <n x="162"/>
        <n x="231"/>
      </t>
    </mdx>
    <mdx n="0" f="v">
      <t c="3">
        <n x="232"/>
        <n x="445"/>
        <n x="231"/>
      </t>
    </mdx>
    <mdx n="0" f="v">
      <t c="3">
        <n x="232"/>
        <n x="443"/>
        <n x="231"/>
      </t>
    </mdx>
    <mdx n="0" f="v">
      <t c="2">
        <n x="232"/>
        <n x="193"/>
      </t>
    </mdx>
    <mdx n="0" f="v">
      <t c="2">
        <n x="232"/>
        <n x="231"/>
      </t>
    </mdx>
    <mdx n="0" f="v">
      <t c="3">
        <n x="232"/>
        <n x="433"/>
        <n x="231"/>
      </t>
    </mdx>
    <mdx n="0" f="v">
      <t c="3">
        <n x="232"/>
        <n x="272"/>
        <n x="231"/>
      </t>
    </mdx>
    <mdx n="0" f="v">
      <t c="2">
        <n x="203"/>
        <n x="193"/>
      </t>
    </mdx>
    <mdx n="0" f="v">
      <t c="3">
        <n x="203"/>
        <n x="272"/>
        <n x="231"/>
      </t>
    </mdx>
    <mdx n="0" f="v">
      <t c="3">
        <n x="203"/>
        <n x="443"/>
        <n x="231"/>
      </t>
    </mdx>
    <mdx n="0" f="v">
      <t c="3">
        <n x="203"/>
        <n x="433"/>
        <n x="231"/>
      </t>
    </mdx>
    <mdx n="0" f="v">
      <t c="3">
        <n x="203"/>
        <n x="445"/>
        <n x="231"/>
      </t>
    </mdx>
    <mdx n="0" f="v">
      <t c="2">
        <n x="203"/>
        <n x="231"/>
      </t>
    </mdx>
    <mdx n="0" f="v">
      <t c="2">
        <n x="48"/>
        <n x="193"/>
      </t>
    </mdx>
    <mdx n="0" f="v">
      <t c="3">
        <n x="48"/>
        <n x="272"/>
        <n x="231"/>
      </t>
    </mdx>
    <mdx n="0" f="v">
      <t c="3">
        <n x="48"/>
        <n x="445"/>
        <n x="231"/>
      </t>
    </mdx>
    <mdx n="0" f="v">
      <t c="2">
        <n x="48"/>
        <n x="231"/>
      </t>
    </mdx>
    <mdx n="0" f="v">
      <t c="3">
        <n x="48"/>
        <n x="443"/>
        <n x="231"/>
      </t>
    </mdx>
    <mdx n="0" f="v">
      <t c="3">
        <n x="48"/>
        <n x="433"/>
        <n x="231"/>
      </t>
    </mdx>
    <mdx n="0" f="v">
      <t c="3">
        <n x="242"/>
        <n x="445"/>
        <n x="231"/>
      </t>
    </mdx>
    <mdx n="0" f="v">
      <t c="2">
        <n x="242"/>
        <n x="231"/>
      </t>
    </mdx>
    <mdx n="0" f="v">
      <t c="3">
        <n x="242"/>
        <n x="443"/>
        <n x="231"/>
      </t>
    </mdx>
    <mdx n="0" f="v">
      <t c="3">
        <n x="242"/>
        <n x="433"/>
        <n x="231"/>
      </t>
    </mdx>
    <mdx n="0" f="v">
      <t c="3">
        <n x="242"/>
        <n x="272"/>
        <n x="231"/>
      </t>
    </mdx>
    <mdx n="0" f="v">
      <t c="2">
        <n x="242"/>
        <n x="193"/>
      </t>
    </mdx>
    <mdx n="0" f="v">
      <t c="3">
        <n x="170"/>
        <n x="433"/>
        <n x="231"/>
      </t>
    </mdx>
    <mdx n="0" f="v">
      <t c="3">
        <n x="170"/>
        <n x="272"/>
        <n x="231"/>
      </t>
    </mdx>
    <mdx n="0" f="v">
      <t c="2">
        <n x="170"/>
        <n x="193"/>
      </t>
    </mdx>
    <mdx n="0" f="v">
      <t c="3">
        <n x="170"/>
        <n x="445"/>
        <n x="231"/>
      </t>
    </mdx>
    <mdx n="0" f="v">
      <t c="2">
        <n x="170"/>
        <n x="231"/>
      </t>
    </mdx>
    <mdx n="0" f="v">
      <t c="3">
        <n x="170"/>
        <n x="443"/>
        <n x="231"/>
      </t>
    </mdx>
    <mdx n="0" f="v">
      <t c="3">
        <n x="115"/>
        <n x="443"/>
        <n x="231"/>
      </t>
    </mdx>
    <mdx n="0" f="v">
      <t c="3">
        <n x="115"/>
        <n x="433"/>
        <n x="231"/>
      </t>
    </mdx>
    <mdx n="0" f="v">
      <t c="3">
        <n x="115"/>
        <n x="272"/>
        <n x="231"/>
      </t>
    </mdx>
    <mdx n="0" f="v">
      <t c="2">
        <n x="115"/>
        <n x="193"/>
      </t>
    </mdx>
    <mdx n="0" f="v">
      <t c="3">
        <n x="115"/>
        <n x="445"/>
        <n x="231"/>
      </t>
    </mdx>
    <mdx n="0" f="v">
      <t c="2">
        <n x="115"/>
        <n x="231"/>
      </t>
    </mdx>
    <mdx n="0" f="v">
      <t c="3">
        <n x="211"/>
        <n x="445"/>
        <n x="231"/>
      </t>
    </mdx>
    <mdx n="0" f="v">
      <t c="3">
        <n x="211"/>
        <n x="443"/>
        <n x="231"/>
      </t>
    </mdx>
    <mdx n="0" f="v">
      <t c="3">
        <n x="211"/>
        <n x="272"/>
        <n x="231"/>
      </t>
    </mdx>
    <mdx n="0" f="v">
      <t c="2">
        <n x="211"/>
        <n x="193"/>
      </t>
    </mdx>
    <mdx n="0" f="v">
      <t c="2">
        <n x="211"/>
        <n x="231"/>
      </t>
    </mdx>
    <mdx n="0" f="v">
      <t c="3">
        <n x="211"/>
        <n x="433"/>
        <n x="231"/>
      </t>
    </mdx>
    <mdx n="0" f="v">
      <t c="3">
        <n x="56"/>
        <n x="443"/>
        <n x="231"/>
      </t>
    </mdx>
    <mdx n="0" f="v">
      <t c="3">
        <n x="56"/>
        <n x="433"/>
        <n x="231"/>
      </t>
    </mdx>
    <mdx n="0" f="v">
      <t c="3">
        <n x="56"/>
        <n x="272"/>
        <n x="231"/>
      </t>
    </mdx>
    <mdx n="0" f="v">
      <t c="2">
        <n x="56"/>
        <n x="193"/>
      </t>
    </mdx>
    <mdx n="0" f="v">
      <t c="3">
        <n x="56"/>
        <n x="445"/>
        <n x="231"/>
      </t>
    </mdx>
    <mdx n="0" f="v">
      <t c="2">
        <n x="56"/>
        <n x="231"/>
      </t>
    </mdx>
    <mdx n="0" f="v">
      <t c="3">
        <n x="250"/>
        <n x="443"/>
        <n x="231"/>
      </t>
    </mdx>
    <mdx n="0" f="v">
      <t c="3">
        <n x="250"/>
        <n x="433"/>
        <n x="231"/>
      </t>
    </mdx>
    <mdx n="0" f="v">
      <t c="3">
        <n x="250"/>
        <n x="272"/>
        <n x="231"/>
      </t>
    </mdx>
    <mdx n="0" f="v">
      <t c="2">
        <n x="250"/>
        <n x="193"/>
      </t>
    </mdx>
    <mdx n="0" f="v">
      <t c="3">
        <n x="250"/>
        <n x="445"/>
        <n x="231"/>
      </t>
    </mdx>
    <mdx n="0" f="v">
      <t c="2">
        <n x="250"/>
        <n x="231"/>
      </t>
    </mdx>
    <mdx n="0" f="v">
      <t c="3">
        <n x="178"/>
        <n x="445"/>
        <n x="231"/>
      </t>
    </mdx>
    <mdx n="0" f="v">
      <t c="3">
        <n x="178"/>
        <n x="443"/>
        <n x="231"/>
      </t>
    </mdx>
    <mdx n="0" f="v">
      <t c="3">
        <n x="178"/>
        <n x="272"/>
        <n x="231"/>
      </t>
    </mdx>
    <mdx n="0" f="v">
      <t c="2">
        <n x="178"/>
        <n x="231"/>
      </t>
    </mdx>
    <mdx n="0" f="v">
      <t c="2">
        <n x="178"/>
        <n x="193"/>
      </t>
    </mdx>
    <mdx n="0" f="v">
      <t c="3">
        <n x="178"/>
        <n x="433"/>
        <n x="231"/>
      </t>
    </mdx>
    <mdx n="0" f="v">
      <t c="3">
        <n x="196"/>
        <n x="272"/>
        <n x="231"/>
      </t>
    </mdx>
    <mdx n="0" f="v">
      <t c="2">
        <n x="196"/>
        <n x="231"/>
      </t>
    </mdx>
    <mdx n="0" f="v">
      <t c="3">
        <n x="196"/>
        <n x="445"/>
        <n x="231"/>
      </t>
    </mdx>
    <mdx n="0" f="v">
      <t c="2">
        <n x="196"/>
        <n x="193"/>
      </t>
    </mdx>
    <mdx n="0" f="v">
      <t c="3">
        <n x="196"/>
        <n x="443"/>
        <n x="231"/>
      </t>
    </mdx>
    <mdx n="0" f="v">
      <t c="3">
        <n x="219"/>
        <n x="445"/>
        <n x="231"/>
      </t>
    </mdx>
    <mdx n="0" f="v">
      <t c="3">
        <n x="219"/>
        <n x="443"/>
        <n x="231"/>
      </t>
    </mdx>
    <mdx n="0" f="v">
      <t c="3">
        <n x="219"/>
        <n x="433"/>
        <n x="231"/>
      </t>
    </mdx>
    <mdx n="0" f="v">
      <t c="2">
        <n x="219"/>
        <n x="231"/>
      </t>
    </mdx>
    <mdx n="0" f="v">
      <t c="3">
        <n x="219"/>
        <n x="272"/>
        <n x="231"/>
      </t>
    </mdx>
    <mdx n="0" f="v">
      <t c="2">
        <n x="219"/>
        <n x="193"/>
      </t>
    </mdx>
    <mdx n="0" f="v">
      <t c="3">
        <n x="64"/>
        <n x="445"/>
        <n x="231"/>
      </t>
    </mdx>
    <mdx n="0" f="v">
      <t c="3">
        <n x="64"/>
        <n x="443"/>
        <n x="231"/>
      </t>
    </mdx>
    <mdx n="0" f="v">
      <t c="3">
        <n x="64"/>
        <n x="433"/>
        <n x="231"/>
      </t>
    </mdx>
    <mdx n="0" f="v">
      <t c="3">
        <n x="64"/>
        <n x="272"/>
        <n x="231"/>
      </t>
    </mdx>
    <mdx n="0" f="v">
      <t c="2">
        <n x="64"/>
        <n x="193"/>
      </t>
    </mdx>
    <mdx n="0" f="v">
      <t c="3">
        <n x="258"/>
        <n x="272"/>
        <n x="231"/>
      </t>
    </mdx>
    <mdx n="0" f="v">
      <t c="2">
        <n x="258"/>
        <n x="193"/>
      </t>
    </mdx>
    <mdx n="0" f="v">
      <t c="3">
        <n x="258"/>
        <n x="445"/>
        <n x="231"/>
      </t>
    </mdx>
    <mdx n="0" f="v">
      <t c="2">
        <n x="258"/>
        <n x="231"/>
      </t>
    </mdx>
    <mdx n="0" f="v">
      <t c="3">
        <n x="258"/>
        <n x="443"/>
        <n x="231"/>
      </t>
    </mdx>
    <mdx n="0" f="v">
      <t c="3">
        <n x="186"/>
        <n x="445"/>
        <n x="231"/>
      </t>
    </mdx>
    <mdx n="0" f="v">
      <t c="2">
        <n x="186"/>
        <n x="193"/>
      </t>
    </mdx>
    <mdx n="0" f="v">
      <t c="2">
        <n x="186"/>
        <n x="231"/>
      </t>
    </mdx>
    <mdx n="0" f="v">
      <t c="3">
        <n x="186"/>
        <n x="443"/>
        <n x="231"/>
      </t>
    </mdx>
    <mdx n="0" f="v">
      <t c="3">
        <n x="186"/>
        <n x="433"/>
        <n x="231"/>
      </t>
    </mdx>
    <mdx n="0" f="v">
      <t c="3">
        <n x="186"/>
        <n x="272"/>
        <n x="231"/>
      </t>
    </mdx>
    <mdx n="0" f="v">
      <t c="3">
        <n x="233"/>
        <n x="272"/>
        <n x="231"/>
      </t>
    </mdx>
    <mdx n="0" f="v">
      <t c="2">
        <n x="233"/>
        <n x="193"/>
      </t>
    </mdx>
    <mdx n="0" f="v">
      <t c="3">
        <n x="233"/>
        <n x="445"/>
        <n x="231"/>
      </t>
    </mdx>
    <mdx n="0" f="v">
      <t c="2">
        <n x="233"/>
        <n x="231"/>
      </t>
    </mdx>
    <mdx n="0" f="v">
      <t c="3">
        <n x="233"/>
        <n x="443"/>
        <n x="231"/>
      </t>
    </mdx>
    <mdx n="0" f="v">
      <t c="3">
        <n x="233"/>
        <n x="433"/>
        <n x="231"/>
      </t>
    </mdx>
    <mdx n="0" f="v">
      <t c="2">
        <n x="227"/>
        <n x="193"/>
      </t>
    </mdx>
    <mdx n="0" f="v">
      <t c="3">
        <n x="227"/>
        <n x="433"/>
        <n x="231"/>
      </t>
    </mdx>
    <mdx n="0" f="v">
      <t c="3">
        <n x="227"/>
        <n x="272"/>
        <n x="231"/>
      </t>
    </mdx>
    <mdx n="0" f="v">
      <t c="3">
        <n x="227"/>
        <n x="445"/>
        <n x="231"/>
      </t>
    </mdx>
    <mdx n="0" f="v">
      <t c="2">
        <n x="227"/>
        <n x="231"/>
      </t>
    </mdx>
    <mdx n="0" f="v">
      <t c="3">
        <n x="72"/>
        <n x="443"/>
        <n x="231"/>
      </t>
    </mdx>
    <mdx n="0" f="v">
      <t c="2">
        <n x="72"/>
        <n x="193"/>
      </t>
    </mdx>
    <mdx n="0" f="v">
      <t c="3">
        <n x="72"/>
        <n x="433"/>
        <n x="231"/>
      </t>
    </mdx>
    <mdx n="0" f="v">
      <t c="3">
        <n x="72"/>
        <n x="272"/>
        <n x="231"/>
      </t>
    </mdx>
    <mdx n="0" f="v">
      <t c="3">
        <n x="72"/>
        <n x="445"/>
        <n x="231"/>
      </t>
    </mdx>
    <mdx n="0" f="v">
      <t c="2">
        <n x="72"/>
        <n x="231"/>
      </t>
    </mdx>
    <mdx n="0" f="v">
      <t c="3">
        <n x="266"/>
        <n x="433"/>
        <n x="231"/>
      </t>
    </mdx>
    <mdx n="0" f="v">
      <t c="3">
        <n x="266"/>
        <n x="272"/>
        <n x="231"/>
      </t>
    </mdx>
    <mdx n="0" f="v">
      <t c="2">
        <n x="266"/>
        <n x="193"/>
      </t>
    </mdx>
    <mdx n="0" f="v">
      <t c="3">
        <n x="266"/>
        <n x="445"/>
        <n x="231"/>
      </t>
    </mdx>
    <mdx n="0" f="v">
      <t c="2">
        <n x="266"/>
        <n x="231"/>
      </t>
    </mdx>
    <mdx n="0" f="v">
      <t c="3">
        <n x="266"/>
        <n x="443"/>
        <n x="231"/>
      </t>
    </mdx>
    <mdx n="0" f="v">
      <t c="2">
        <n x="33"/>
        <n x="231"/>
      </t>
    </mdx>
    <mdx n="0" f="v">
      <t c="2">
        <n x="187"/>
        <n x="231"/>
      </t>
    </mdx>
    <mdx n="0" f="v">
      <t c="2">
        <n x="34"/>
        <n x="231"/>
      </t>
    </mdx>
    <mdx n="0" f="v">
      <t c="2">
        <n x="29"/>
        <n x="231"/>
      </t>
    </mdx>
    <mdx n="0" f="v">
      <t c="2">
        <n x="27"/>
        <n x="231"/>
      </t>
    </mdx>
    <mdx n="0" f="v">
      <t c="2">
        <n x="144"/>
        <n x="231"/>
      </t>
    </mdx>
    <mdx n="0" f="v">
      <t c="2">
        <n x="35"/>
        <n x="231"/>
      </t>
    </mdx>
    <mdx n="0" f="v">
      <t c="2">
        <n x="31"/>
        <n x="231"/>
      </t>
    </mdx>
    <mdx n="0" f="v">
      <t c="2">
        <n x="139"/>
        <n x="231"/>
      </t>
    </mdx>
    <mdx n="0" f="v">
      <t c="2">
        <n x="24"/>
        <n x="231"/>
      </t>
    </mdx>
    <mdx n="0" f="v">
      <t c="2">
        <n x="20"/>
        <n x="231"/>
      </t>
    </mdx>
    <mdx n="0" f="v">
      <t c="2">
        <n x="16"/>
        <n x="231"/>
      </t>
    </mdx>
    <mdx n="0" f="v">
      <t c="2">
        <n x="153"/>
        <n x="231"/>
      </t>
    </mdx>
    <mdx n="0" f="v">
      <t c="2">
        <n x="152"/>
        <n x="231"/>
      </t>
    </mdx>
    <mdx n="0" f="v">
      <t c="2">
        <n x="151"/>
        <n x="231"/>
      </t>
    </mdx>
    <mdx n="0" f="v">
      <t c="2">
        <n x="150"/>
        <n x="231"/>
      </t>
    </mdx>
    <mdx n="0" f="v">
      <t c="2">
        <n x="149"/>
        <n x="231"/>
      </t>
    </mdx>
    <mdx n="0" f="v">
      <t c="2">
        <n x="148"/>
        <n x="231"/>
      </t>
    </mdx>
    <mdx n="0" f="v">
      <t c="2">
        <n x="147"/>
        <n x="231"/>
      </t>
    </mdx>
    <mdx n="0" f="v">
      <t c="2">
        <n x="146"/>
        <n x="231"/>
      </t>
    </mdx>
    <mdx n="0" f="v">
      <t c="2">
        <n x="145"/>
        <n x="231"/>
      </t>
    </mdx>
    <mdx n="0" f="v">
      <t c="2">
        <n x="140"/>
        <n x="231"/>
      </t>
    </mdx>
    <mdx n="0" f="v">
      <t c="2">
        <n x="25"/>
        <n x="231"/>
      </t>
    </mdx>
    <mdx n="0" f="v">
      <t c="2">
        <n x="21"/>
        <n x="231"/>
      </t>
    </mdx>
    <mdx n="0" f="v">
      <t c="2">
        <n x="26"/>
        <n x="231"/>
      </t>
    </mdx>
    <mdx n="0" f="v">
      <t c="2">
        <n x="22"/>
        <n x="231"/>
      </t>
    </mdx>
    <mdx n="0" f="v">
      <t c="2">
        <n x="18"/>
        <n x="231"/>
      </t>
    </mdx>
    <mdx n="0" f="v">
      <t c="2">
        <n x="363"/>
        <n x="193"/>
      </t>
    </mdx>
    <mdx n="0" f="v">
      <t c="3">
        <n x="363"/>
        <n x="445"/>
        <n x="231"/>
      </t>
    </mdx>
    <mdx n="0" f="v">
      <t c="2">
        <n x="363"/>
        <n x="231"/>
      </t>
    </mdx>
    <mdx n="0" f="v">
      <t c="3">
        <n x="363"/>
        <n x="443"/>
        <n x="231"/>
      </t>
    </mdx>
    <mdx n="0" f="v">
      <t c="3">
        <n x="363"/>
        <n x="433"/>
        <n x="231"/>
      </t>
    </mdx>
    <mdx n="0" f="v">
      <t c="3">
        <n x="363"/>
        <n x="272"/>
        <n x="231"/>
      </t>
    </mdx>
    <mdx n="0" f="v">
      <t c="2">
        <n x="365"/>
        <n x="193"/>
      </t>
    </mdx>
    <mdx n="0" f="v">
      <t c="3">
        <n x="365"/>
        <n x="445"/>
        <n x="231"/>
      </t>
    </mdx>
    <mdx n="0" f="v">
      <t c="2">
        <n x="365"/>
        <n x="231"/>
      </t>
    </mdx>
    <mdx n="0" f="v">
      <t c="3">
        <n x="365"/>
        <n x="443"/>
        <n x="231"/>
      </t>
    </mdx>
    <mdx n="0" f="v">
      <t c="3">
        <n x="365"/>
        <n x="433"/>
        <n x="231"/>
      </t>
    </mdx>
    <mdx n="0" f="v">
      <t c="3">
        <n x="365"/>
        <n x="272"/>
        <n x="231"/>
      </t>
    </mdx>
    <mdx n="0" f="v">
      <t c="3">
        <n x="367"/>
        <n x="445"/>
        <n x="231"/>
      </t>
    </mdx>
    <mdx n="0" f="v">
      <t c="2">
        <n x="367"/>
        <n x="231"/>
      </t>
    </mdx>
    <mdx n="0" f="v">
      <t c="2">
        <n x="367"/>
        <n x="193"/>
      </t>
    </mdx>
    <mdx n="0" f="v">
      <t c="3">
        <n x="367"/>
        <n x="443"/>
        <n x="231"/>
      </t>
    </mdx>
    <mdx n="0" f="v">
      <t c="3">
        <n x="367"/>
        <n x="433"/>
        <n x="231"/>
      </t>
    </mdx>
    <mdx n="0" f="v">
      <t c="3">
        <n x="367"/>
        <n x="272"/>
        <n x="231"/>
      </t>
    </mdx>
    <mdx n="0" f="v">
      <t c="3">
        <n x="369"/>
        <n x="445"/>
        <n x="231"/>
      </t>
    </mdx>
    <mdx n="0" f="v">
      <t c="2">
        <n x="369"/>
        <n x="231"/>
      </t>
    </mdx>
    <mdx n="0" f="v">
      <t c="2">
        <n x="369"/>
        <n x="193"/>
      </t>
    </mdx>
    <mdx n="0" f="v">
      <t c="3">
        <n x="369"/>
        <n x="443"/>
        <n x="231"/>
      </t>
    </mdx>
    <mdx n="0" f="v">
      <t c="3">
        <n x="369"/>
        <n x="433"/>
        <n x="231"/>
      </t>
    </mdx>
    <mdx n="0" f="v">
      <t c="3">
        <n x="369"/>
        <n x="272"/>
        <n x="231"/>
      </t>
    </mdx>
    <mdx n="0" f="v">
      <t c="2">
        <n x="371"/>
        <n x="231"/>
      </t>
    </mdx>
    <mdx n="0" f="v">
      <t c="3">
        <n x="371"/>
        <n x="445"/>
        <n x="231"/>
      </t>
    </mdx>
    <mdx n="0" f="v">
      <t c="2">
        <n x="371"/>
        <n x="193"/>
      </t>
    </mdx>
    <mdx n="0" f="v">
      <t c="3">
        <n x="371"/>
        <n x="443"/>
        <n x="231"/>
      </t>
    </mdx>
    <mdx n="0" f="v">
      <t c="3">
        <n x="371"/>
        <n x="433"/>
        <n x="231"/>
      </t>
    </mdx>
    <mdx n="0" f="v">
      <t c="3">
        <n x="371"/>
        <n x="272"/>
        <n x="231"/>
      </t>
    </mdx>
    <mdx n="0" f="v">
      <t c="3">
        <n x="373"/>
        <n x="445"/>
        <n x="231"/>
      </t>
    </mdx>
    <mdx n="0" f="v">
      <t c="2">
        <n x="373"/>
        <n x="193"/>
      </t>
    </mdx>
    <mdx n="0" f="v">
      <t c="3">
        <n x="373"/>
        <n x="443"/>
        <n x="231"/>
      </t>
    </mdx>
    <mdx n="0" f="v">
      <t c="2">
        <n x="373"/>
        <n x="231"/>
      </t>
    </mdx>
    <mdx n="0" f="v">
      <t c="3">
        <n x="373"/>
        <n x="433"/>
        <n x="231"/>
      </t>
    </mdx>
    <mdx n="0" f="v">
      <t c="3">
        <n x="373"/>
        <n x="272"/>
        <n x="231"/>
      </t>
    </mdx>
    <mdx n="0" f="v">
      <t c="3">
        <n x="375"/>
        <n x="445"/>
        <n x="231"/>
      </t>
    </mdx>
    <mdx n="0" f="v">
      <t c="2">
        <n x="375"/>
        <n x="193"/>
      </t>
    </mdx>
    <mdx n="0" f="v">
      <t c="2">
        <n x="375"/>
        <n x="231"/>
      </t>
    </mdx>
    <mdx n="0" f="v">
      <t c="3">
        <n x="375"/>
        <n x="443"/>
        <n x="231"/>
      </t>
    </mdx>
    <mdx n="0" f="v">
      <t c="3">
        <n x="375"/>
        <n x="433"/>
        <n x="231"/>
      </t>
    </mdx>
    <mdx n="0" f="v">
      <t c="3">
        <n x="375"/>
        <n x="272"/>
        <n x="231"/>
      </t>
    </mdx>
    <mdx n="0" f="v">
      <t c="3">
        <n x="377"/>
        <n x="445"/>
        <n x="231"/>
      </t>
    </mdx>
    <mdx n="0" f="v">
      <t c="2">
        <n x="377"/>
        <n x="193"/>
      </t>
    </mdx>
    <mdx n="0" f="v">
      <t c="2">
        <n x="377"/>
        <n x="231"/>
      </t>
    </mdx>
    <mdx n="0" f="v">
      <t c="3">
        <n x="377"/>
        <n x="443"/>
        <n x="231"/>
      </t>
    </mdx>
    <mdx n="0" f="v">
      <t c="3">
        <n x="377"/>
        <n x="433"/>
        <n x="231"/>
      </t>
    </mdx>
    <mdx n="0" f="v">
      <t c="3">
        <n x="377"/>
        <n x="272"/>
        <n x="231"/>
      </t>
    </mdx>
    <mdx n="0" f="v">
      <t c="3">
        <n x="379"/>
        <n x="445"/>
        <n x="231"/>
      </t>
    </mdx>
    <mdx n="0" f="v">
      <t c="2">
        <n x="379"/>
        <n x="193"/>
      </t>
    </mdx>
    <mdx n="0" f="v">
      <t c="2">
        <n x="379"/>
        <n x="231"/>
      </t>
    </mdx>
    <mdx n="0" f="v">
      <t c="3">
        <n x="379"/>
        <n x="443"/>
        <n x="231"/>
      </t>
    </mdx>
    <mdx n="0" f="v">
      <t c="3">
        <n x="379"/>
        <n x="433"/>
        <n x="231"/>
      </t>
    </mdx>
    <mdx n="0" f="v">
      <t c="3">
        <n x="379"/>
        <n x="272"/>
        <n x="231"/>
      </t>
    </mdx>
    <mdx n="0" f="v">
      <t c="2">
        <n x="381"/>
        <n x="193"/>
      </t>
    </mdx>
    <mdx n="0" f="v">
      <t c="3">
        <n x="381"/>
        <n x="433"/>
        <n x="231"/>
      </t>
    </mdx>
    <mdx n="0" f="v">
      <t c="2">
        <n x="381"/>
        <n x="231"/>
      </t>
    </mdx>
    <mdx n="0" f="v">
      <t c="3">
        <n x="381"/>
        <n x="445"/>
        <n x="231"/>
      </t>
    </mdx>
    <mdx n="0" f="v">
      <t c="3">
        <n x="381"/>
        <n x="443"/>
        <n x="231"/>
      </t>
    </mdx>
    <mdx n="0" f="v">
      <t c="3">
        <n x="381"/>
        <n x="272"/>
        <n x="231"/>
      </t>
    </mdx>
    <mdx n="0" f="v">
      <t c="2">
        <n x="383"/>
        <n x="231"/>
      </t>
    </mdx>
    <mdx n="0" f="v">
      <t c="2">
        <n x="383"/>
        <n x="193"/>
      </t>
    </mdx>
    <mdx n="0" f="v">
      <t c="3">
        <n x="383"/>
        <n x="445"/>
        <n x="231"/>
      </t>
    </mdx>
    <mdx n="0" f="v">
      <t c="3">
        <n x="383"/>
        <n x="443"/>
        <n x="231"/>
      </t>
    </mdx>
    <mdx n="0" f="v">
      <t c="3">
        <n x="383"/>
        <n x="433"/>
        <n x="231"/>
      </t>
    </mdx>
    <mdx n="0" f="v">
      <t c="3">
        <n x="383"/>
        <n x="272"/>
        <n x="231"/>
      </t>
    </mdx>
    <mdx n="0" f="v">
      <t c="3">
        <n x="267"/>
        <n x="445"/>
        <n x="231"/>
      </t>
    </mdx>
    <mdx n="0" f="v">
      <t c="3">
        <n x="267"/>
        <n x="443"/>
        <n x="231"/>
      </t>
    </mdx>
    <mdx n="0" f="v">
      <t c="2">
        <n x="267"/>
        <n x="193"/>
      </t>
    </mdx>
    <mdx n="0" f="v">
      <t c="2">
        <n x="267"/>
        <n x="231"/>
      </t>
    </mdx>
    <mdx n="0" f="v">
      <t c="3">
        <n x="267"/>
        <n x="433"/>
        <n x="231"/>
      </t>
    </mdx>
    <mdx n="0" f="v">
      <t c="3">
        <n x="267"/>
        <n x="272"/>
        <n x="231"/>
      </t>
    </mdx>
    <mdx n="0" f="v">
      <t c="3">
        <n x="200"/>
        <n x="272"/>
        <n x="231"/>
      </t>
    </mdx>
    <mdx n="0" f="v">
      <t c="3">
        <n x="200"/>
        <n x="433"/>
        <n x="231"/>
      </t>
    </mdx>
    <mdx n="0" f="v">
      <t c="2">
        <n x="200"/>
        <n x="193"/>
      </t>
    </mdx>
    <mdx n="0" f="v">
      <t c="3">
        <n x="200"/>
        <n x="445"/>
        <n x="231"/>
      </t>
    </mdx>
    <mdx n="0" f="v">
      <t c="2">
        <n x="200"/>
        <n x="231"/>
      </t>
    </mdx>
    <mdx n="0" f="v">
      <t c="3">
        <n x="200"/>
        <n x="443"/>
        <n x="231"/>
      </t>
    </mdx>
    <mdx n="0" f="v">
      <t c="3">
        <n x="45"/>
        <n x="433"/>
        <n x="231"/>
      </t>
    </mdx>
    <mdx n="0" f="v">
      <t c="3">
        <n x="45"/>
        <n x="272"/>
        <n x="231"/>
      </t>
    </mdx>
    <mdx n="0" f="v">
      <t c="2">
        <n x="45"/>
        <n x="193"/>
      </t>
    </mdx>
    <mdx n="0" f="v">
      <t c="3">
        <n x="45"/>
        <n x="445"/>
        <n x="231"/>
      </t>
    </mdx>
    <mdx n="0" f="v">
      <t c="2">
        <n x="45"/>
        <n x="231"/>
      </t>
    </mdx>
    <mdx n="0" f="v">
      <t c="3">
        <n x="45"/>
        <n x="443"/>
        <n x="231"/>
      </t>
    </mdx>
    <mdx n="0" f="v">
      <t c="3">
        <n x="239"/>
        <n x="433"/>
        <n x="231"/>
      </t>
    </mdx>
    <mdx n="0" f="v">
      <t c="3">
        <n x="239"/>
        <n x="272"/>
        <n x="231"/>
      </t>
    </mdx>
    <mdx n="0" f="v">
      <t c="2">
        <n x="239"/>
        <n x="231"/>
      </t>
    </mdx>
    <mdx n="0" f="v">
      <t c="3">
        <n x="239"/>
        <n x="445"/>
        <n x="231"/>
      </t>
    </mdx>
    <mdx n="0" f="v">
      <t c="2">
        <n x="239"/>
        <n x="193"/>
      </t>
    </mdx>
    <mdx n="0" f="v">
      <t c="3">
        <n x="239"/>
        <n x="443"/>
        <n x="231"/>
      </t>
    </mdx>
    <mdx n="0" f="v">
      <t c="3">
        <n x="167"/>
        <n x="433"/>
        <n x="231"/>
      </t>
    </mdx>
    <mdx n="0" f="v">
      <t c="3">
        <n x="167"/>
        <n x="272"/>
        <n x="231"/>
      </t>
    </mdx>
    <mdx n="0" f="v">
      <t c="2">
        <n x="167"/>
        <n x="193"/>
      </t>
    </mdx>
    <mdx n="0" f="v">
      <t c="3">
        <n x="167"/>
        <n x="445"/>
        <n x="231"/>
      </t>
    </mdx>
    <mdx n="0" f="v">
      <t c="2">
        <n x="167"/>
        <n x="231"/>
      </t>
    </mdx>
    <mdx n="0" f="v">
      <t c="3">
        <n x="167"/>
        <n x="443"/>
        <n x="231"/>
      </t>
    </mdx>
    <mdx n="0" f="v">
      <t c="3">
        <n x="37"/>
        <n x="443"/>
        <n x="231"/>
      </t>
    </mdx>
    <mdx n="0" f="v">
      <t c="3">
        <n x="37"/>
        <n x="433"/>
        <n x="231"/>
      </t>
    </mdx>
    <mdx n="0" f="v">
      <t c="3">
        <n x="37"/>
        <n x="272"/>
        <n x="231"/>
      </t>
    </mdx>
    <mdx n="0" f="v">
      <t c="2">
        <n x="37"/>
        <n x="193"/>
      </t>
    </mdx>
    <mdx n="0" f="v">
      <t c="3">
        <n x="37"/>
        <n x="445"/>
        <n x="231"/>
      </t>
    </mdx>
    <mdx n="0" f="v">
      <t c="2">
        <n x="37"/>
        <n x="231"/>
      </t>
    </mdx>
    <mdx n="0" f="v">
      <t c="2">
        <n x="208"/>
        <n x="193"/>
      </t>
    </mdx>
    <mdx n="0" f="v">
      <t c="3">
        <n x="208"/>
        <n x="272"/>
        <n x="231"/>
      </t>
    </mdx>
    <mdx n="0" f="v">
      <t c="3">
        <n x="208"/>
        <n x="445"/>
        <n x="231"/>
      </t>
    </mdx>
    <mdx n="0" f="v">
      <t c="2">
        <n x="208"/>
        <n x="231"/>
      </t>
    </mdx>
    <mdx n="0" f="v">
      <t c="3">
        <n x="208"/>
        <n x="443"/>
        <n x="231"/>
      </t>
    </mdx>
    <mdx n="0" f="v">
      <t c="3">
        <n x="208"/>
        <n x="433"/>
        <n x="231"/>
      </t>
    </mdx>
    <mdx n="0" f="v">
      <t c="2">
        <n x="53"/>
        <n x="193"/>
      </t>
    </mdx>
    <mdx n="0" f="v">
      <t c="3">
        <n x="53"/>
        <n x="272"/>
        <n x="231"/>
      </t>
    </mdx>
    <mdx n="0" f="v">
      <t c="3">
        <n x="53"/>
        <n x="445"/>
        <n x="231"/>
      </t>
    </mdx>
    <mdx n="0" f="v">
      <t c="2">
        <n x="53"/>
        <n x="231"/>
      </t>
    </mdx>
    <mdx n="0" f="v">
      <t c="3">
        <n x="53"/>
        <n x="443"/>
        <n x="231"/>
      </t>
    </mdx>
    <mdx n="0" f="v">
      <t c="3">
        <n x="53"/>
        <n x="433"/>
        <n x="231"/>
      </t>
    </mdx>
    <mdx n="0" f="v">
      <t c="3">
        <n x="247"/>
        <n x="445"/>
        <n x="231"/>
      </t>
    </mdx>
    <mdx n="0" f="v">
      <t c="3">
        <n x="247"/>
        <n x="443"/>
        <n x="231"/>
      </t>
    </mdx>
    <mdx n="0" f="v">
      <t c="3">
        <n x="247"/>
        <n x="433"/>
        <n x="231"/>
      </t>
    </mdx>
    <mdx n="0" f="v">
      <t c="2">
        <n x="247"/>
        <n x="231"/>
      </t>
    </mdx>
    <mdx n="0" f="v">
      <t c="3">
        <n x="247"/>
        <n x="272"/>
        <n x="231"/>
      </t>
    </mdx>
    <mdx n="0" f="v">
      <t c="2">
        <n x="247"/>
        <n x="193"/>
      </t>
    </mdx>
    <mdx n="0" f="v">
      <t c="3">
        <n x="175"/>
        <n x="445"/>
        <n x="231"/>
      </t>
    </mdx>
    <mdx n="0" f="v">
      <t c="2">
        <n x="175"/>
        <n x="231"/>
      </t>
    </mdx>
    <mdx n="0" f="v">
      <t c="2">
        <n x="175"/>
        <n x="193"/>
      </t>
    </mdx>
    <mdx n="0" f="v">
      <t c="3">
        <n x="175"/>
        <n x="443"/>
        <n x="231"/>
      </t>
    </mdx>
    <mdx n="0" f="v">
      <t c="3">
        <n x="175"/>
        <n x="433"/>
        <n x="231"/>
      </t>
    </mdx>
    <mdx n="0" f="v">
      <t c="3">
        <n x="175"/>
        <n x="272"/>
        <n x="231"/>
      </t>
    </mdx>
    <mdx n="0" f="v">
      <t c="3">
        <n x="116"/>
        <n x="445"/>
        <n x="231"/>
      </t>
    </mdx>
    <mdx n="0" f="v">
      <t c="3">
        <n x="116"/>
        <n x="433"/>
        <n x="231"/>
      </t>
    </mdx>
    <mdx n="0" f="v">
      <t c="3">
        <n x="116"/>
        <n x="272"/>
        <n x="231"/>
      </t>
    </mdx>
    <mdx n="0" f="v">
      <t c="2">
        <n x="116"/>
        <n x="231"/>
      </t>
    </mdx>
    <mdx n="0" f="v">
      <t c="2">
        <n x="116"/>
        <n x="193"/>
      </t>
    </mdx>
    <mdx n="0" f="v">
      <t c="3">
        <n x="116"/>
        <n x="443"/>
        <n x="231"/>
      </t>
    </mdx>
    <mdx n="0" f="v">
      <t c="3">
        <n x="216"/>
        <n x="445"/>
        <n x="231"/>
      </t>
    </mdx>
    <mdx n="0" f="v">
      <t c="3">
        <n x="216"/>
        <n x="443"/>
        <n x="231"/>
      </t>
    </mdx>
    <mdx n="0" f="v">
      <t c="3">
        <n x="216"/>
        <n x="433"/>
        <n x="231"/>
      </t>
    </mdx>
    <mdx n="0" f="v">
      <t c="2">
        <n x="216"/>
        <n x="231"/>
      </t>
    </mdx>
    <mdx n="0" f="v">
      <t c="3">
        <n x="216"/>
        <n x="272"/>
        <n x="231"/>
      </t>
    </mdx>
    <mdx n="0" f="v">
      <t c="2">
        <n x="216"/>
        <n x="193"/>
      </t>
    </mdx>
    <mdx n="0" f="v">
      <t c="3">
        <n x="61"/>
        <n x="433"/>
        <n x="231"/>
      </t>
    </mdx>
    <mdx n="0" f="v">
      <t c="2">
        <n x="61"/>
        <n x="231"/>
      </t>
    </mdx>
    <mdx n="0" f="v">
      <t c="3">
        <n x="61"/>
        <n x="445"/>
        <n x="231"/>
      </t>
    </mdx>
    <mdx n="0" f="v">
      <t c="3">
        <n x="61"/>
        <n x="272"/>
        <n x="231"/>
      </t>
    </mdx>
    <mdx n="0" f="v">
      <t c="2">
        <n x="61"/>
        <n x="193"/>
      </t>
    </mdx>
    <mdx n="0" f="v">
      <t c="3">
        <n x="255"/>
        <n x="433"/>
        <n x="231"/>
      </t>
    </mdx>
    <mdx n="0" f="v">
      <t c="3">
        <n x="255"/>
        <n x="272"/>
        <n x="231"/>
      </t>
    </mdx>
    <mdx n="0" f="v">
      <t c="3">
        <n x="255"/>
        <n x="443"/>
        <n x="231"/>
      </t>
    </mdx>
    <mdx n="0" f="v">
      <t c="2">
        <n x="255"/>
        <n x="193"/>
      </t>
    </mdx>
    <mdx n="0" f="v">
      <t c="3">
        <n x="255"/>
        <n x="445"/>
        <n x="231"/>
      </t>
    </mdx>
    <mdx n="0" f="v">
      <t c="2">
        <n x="255"/>
        <n x="231"/>
      </t>
    </mdx>
    <mdx n="0" f="v">
      <t c="3">
        <n x="183"/>
        <n x="443"/>
        <n x="231"/>
      </t>
    </mdx>
    <mdx n="0" f="v">
      <t c="3">
        <n x="183"/>
        <n x="272"/>
        <n x="231"/>
      </t>
    </mdx>
    <mdx n="0" f="v">
      <t c="2">
        <n x="183"/>
        <n x="231"/>
      </t>
    </mdx>
    <mdx n="0" f="v">
      <t c="3">
        <n x="183"/>
        <n x="445"/>
        <n x="231"/>
      </t>
    </mdx>
    <mdx n="0" f="v">
      <t c="2">
        <n x="183"/>
        <n x="193"/>
      </t>
    </mdx>
    <mdx n="0" f="v">
      <t c="3">
        <n x="183"/>
        <n x="433"/>
        <n x="231"/>
      </t>
    </mdx>
    <mdx n="0" f="v">
      <t c="3">
        <n x="118"/>
        <n x="272"/>
        <n x="231"/>
      </t>
    </mdx>
    <mdx n="0" f="v">
      <t c="2">
        <n x="118"/>
        <n x="193"/>
      </t>
    </mdx>
    <mdx n="0" f="v">
      <t c="3">
        <n x="118"/>
        <n x="445"/>
        <n x="231"/>
      </t>
    </mdx>
    <mdx n="0" f="v">
      <t c="2">
        <n x="118"/>
        <n x="231"/>
      </t>
    </mdx>
    <mdx n="0" f="v">
      <t c="3">
        <n x="118"/>
        <n x="443"/>
        <n x="231"/>
      </t>
    </mdx>
    <mdx n="0" f="v">
      <t c="3">
        <n x="118"/>
        <n x="433"/>
        <n x="231"/>
      </t>
    </mdx>
    <mdx n="0" f="v">
      <t c="3">
        <n x="224"/>
        <n x="443"/>
        <n x="231"/>
      </t>
    </mdx>
    <mdx n="0" f="v">
      <t c="3">
        <n x="224"/>
        <n x="433"/>
        <n x="231"/>
      </t>
    </mdx>
    <mdx n="0" f="v">
      <t c="3">
        <n x="224"/>
        <n x="272"/>
        <n x="231"/>
      </t>
    </mdx>
    <mdx n="0" f="v">
      <t c="2">
        <n x="224"/>
        <n x="193"/>
      </t>
    </mdx>
    <mdx n="0" f="v">
      <t c="3">
        <n x="224"/>
        <n x="445"/>
        <n x="231"/>
      </t>
    </mdx>
    <mdx n="0" f="v">
      <t c="2">
        <n x="224"/>
        <n x="231"/>
      </t>
    </mdx>
    <mdx n="0" f="v">
      <t c="3">
        <n x="69"/>
        <n x="443"/>
        <n x="231"/>
      </t>
    </mdx>
    <mdx n="0" f="v">
      <t c="3">
        <n x="69"/>
        <n x="433"/>
        <n x="231"/>
      </t>
    </mdx>
    <mdx n="0" f="v">
      <t c="3">
        <n x="69"/>
        <n x="272"/>
        <n x="231"/>
      </t>
    </mdx>
    <mdx n="0" f="v">
      <t c="2">
        <n x="69"/>
        <n x="193"/>
      </t>
    </mdx>
    <mdx n="0" f="v">
      <t c="3">
        <n x="69"/>
        <n x="445"/>
        <n x="231"/>
      </t>
    </mdx>
    <mdx n="0" f="v">
      <t c="2">
        <n x="69"/>
        <n x="231"/>
      </t>
    </mdx>
    <mdx n="0" f="v">
      <t c="3">
        <n x="263"/>
        <n x="433"/>
        <n x="231"/>
      </t>
    </mdx>
    <mdx n="0" f="v">
      <t c="3">
        <n x="263"/>
        <n x="272"/>
        <n x="231"/>
      </t>
    </mdx>
    <mdx n="0" f="v">
      <t c="2">
        <n x="263"/>
        <n x="193"/>
      </t>
    </mdx>
    <mdx n="0" f="v">
      <t c="3">
        <n x="263"/>
        <n x="445"/>
        <n x="231"/>
      </t>
    </mdx>
    <mdx n="0" f="v">
      <t c="2">
        <n x="263"/>
        <n x="231"/>
      </t>
    </mdx>
    <mdx n="0" f="v">
      <t c="3">
        <n x="263"/>
        <n x="443"/>
        <n x="231"/>
      </t>
    </mdx>
    <mdx n="0" f="v">
      <t c="2">
        <n x="191"/>
        <n x="193"/>
      </t>
    </mdx>
    <mdx n="0" f="v">
      <t c="2">
        <n x="191"/>
        <n x="231"/>
      </t>
    </mdx>
    <mdx n="0" f="v">
      <t c="3">
        <n x="191"/>
        <n x="443"/>
        <n x="231"/>
      </t>
    </mdx>
    <mdx n="0" f="v">
      <t c="3">
        <n x="191"/>
        <n x="433"/>
        <n x="231"/>
      </t>
    </mdx>
    <mdx n="0" f="v">
      <t c="3">
        <n x="191"/>
        <n x="272"/>
        <n x="231"/>
      </t>
    </mdx>
    <mdx n="0" f="v">
      <t c="3">
        <n x="159"/>
        <n x="272"/>
        <n x="231"/>
      </t>
    </mdx>
    <mdx n="0" f="v">
      <t c="2">
        <n x="159"/>
        <n x="193"/>
      </t>
    </mdx>
    <mdx n="0" f="v">
      <t c="3">
        <n x="159"/>
        <n x="445"/>
        <n x="231"/>
      </t>
    </mdx>
    <mdx n="0" f="v">
      <t c="2">
        <n x="159"/>
        <n x="231"/>
      </t>
    </mdx>
    <mdx n="0" f="v">
      <t c="3">
        <n x="159"/>
        <n x="443"/>
        <n x="231"/>
      </t>
    </mdx>
    <mdx n="0" f="v">
      <t c="3">
        <n x="159"/>
        <n x="433"/>
        <n x="231"/>
      </t>
    </mdx>
    <mdx n="0" f="v">
      <t c="2">
        <n x="33"/>
        <n x="193"/>
      </t>
    </mdx>
    <mdx n="0" f="v">
      <t c="2">
        <n x="70"/>
        <n x="193"/>
      </t>
    </mdx>
    <mdx n="0" f="v">
      <t c="2">
        <n x="187"/>
        <n x="193"/>
      </t>
    </mdx>
    <mdx n="0" f="v">
      <t c="2">
        <n x="34"/>
        <n x="193"/>
      </t>
    </mdx>
    <mdx n="0" f="v">
      <t c="2">
        <n x="29"/>
        <n x="193"/>
      </t>
    </mdx>
    <mdx n="0" f="v">
      <t c="2">
        <n x="27"/>
        <n x="193"/>
      </t>
    </mdx>
    <mdx n="0" f="v">
      <t c="2">
        <n x="228"/>
        <n x="193"/>
      </t>
    </mdx>
    <mdx n="0" f="v">
      <t c="2">
        <n x="35"/>
        <n x="193"/>
      </t>
    </mdx>
    <mdx n="0" f="v">
      <t c="2">
        <n x="31"/>
        <n x="193"/>
      </t>
    </mdx>
    <mdx n="0" f="v">
      <t c="2">
        <n x="153"/>
        <n x="193"/>
      </t>
    </mdx>
    <mdx n="0" f="v">
      <t c="2">
        <n x="152"/>
        <n x="193"/>
      </t>
    </mdx>
    <mdx n="0" f="v">
      <t c="2">
        <n x="151"/>
        <n x="193"/>
      </t>
    </mdx>
    <mdx n="0" f="v">
      <t c="2">
        <n x="150"/>
        <n x="193"/>
      </t>
    </mdx>
    <mdx n="0" f="v">
      <t c="2">
        <n x="149"/>
        <n x="193"/>
      </t>
    </mdx>
    <mdx n="0" f="v">
      <t c="2">
        <n x="148"/>
        <n x="193"/>
      </t>
    </mdx>
    <mdx n="0" f="v">
      <t c="2">
        <n x="147"/>
        <n x="193"/>
      </t>
    </mdx>
    <mdx n="0" f="v">
      <t c="2">
        <n x="146"/>
        <n x="193"/>
      </t>
    </mdx>
    <mdx n="0" f="v">
      <t c="2">
        <n x="145"/>
        <n x="193"/>
      </t>
    </mdx>
    <mdx n="0" f="v">
      <t c="2">
        <n x="113"/>
        <n x="193"/>
      </t>
    </mdx>
    <mdx n="0" f="v">
      <t c="2">
        <n x="112"/>
        <n x="193"/>
      </t>
    </mdx>
    <mdx n="0" f="v">
      <t c="2">
        <n x="111"/>
        <n x="193"/>
      </t>
    </mdx>
    <mdx n="0" f="v">
      <t c="2">
        <n x="110"/>
        <n x="193"/>
      </t>
    </mdx>
    <mdx n="0" f="v">
      <t c="2">
        <n x="109"/>
        <n x="193"/>
      </t>
    </mdx>
    <mdx n="0" f="v">
      <t c="2">
        <n x="108"/>
        <n x="193"/>
      </t>
    </mdx>
    <mdx n="0" f="v">
      <t c="2">
        <n x="107"/>
        <n x="193"/>
      </t>
    </mdx>
    <mdx n="0" f="v">
      <t c="2">
        <n x="106"/>
        <n x="193"/>
      </t>
    </mdx>
    <mdx n="0" f="v">
      <t c="2">
        <n x="105"/>
        <n x="193"/>
      </t>
    </mdx>
    <mdx n="0" f="v">
      <t c="2">
        <n x="412"/>
        <n x="193"/>
      </t>
    </mdx>
    <mdx n="0" f="v">
      <t c="3">
        <n x="412"/>
        <n x="272"/>
        <n x="231"/>
      </t>
    </mdx>
    <mdx n="0" f="v">
      <t c="3">
        <n x="412"/>
        <n x="445"/>
        <n x="231"/>
      </t>
    </mdx>
    <mdx n="0" f="v">
      <t c="2">
        <n x="412"/>
        <n x="231"/>
      </t>
    </mdx>
    <mdx n="0" f="v">
      <t c="3">
        <n x="412"/>
        <n x="443"/>
        <n x="231"/>
      </t>
    </mdx>
    <mdx n="0" f="v">
      <t c="3">
        <n x="412"/>
        <n x="433"/>
        <n x="231"/>
      </t>
    </mdx>
    <mdx n="0" f="v">
      <t c="2">
        <n x="426"/>
        <n x="193"/>
      </t>
    </mdx>
    <mdx n="0" f="v">
      <t c="3">
        <n x="426"/>
        <n x="272"/>
        <n x="231"/>
      </t>
    </mdx>
    <mdx n="0" f="v">
      <t c="3">
        <n x="426"/>
        <n x="445"/>
        <n x="231"/>
      </t>
    </mdx>
    <mdx n="0" f="v">
      <t c="2">
        <n x="426"/>
        <n x="231"/>
      </t>
    </mdx>
    <mdx n="0" f="v">
      <t c="3">
        <n x="426"/>
        <n x="443"/>
        <n x="231"/>
      </t>
    </mdx>
    <mdx n="0" f="v">
      <t c="3">
        <n x="426"/>
        <n x="433"/>
        <n x="231"/>
      </t>
    </mdx>
    <mdx n="0" f="v">
      <t c="2">
        <n x="405"/>
        <n x="193"/>
      </t>
    </mdx>
    <mdx n="0" f="v">
      <t c="3">
        <n x="405"/>
        <n x="272"/>
        <n x="231"/>
      </t>
    </mdx>
    <mdx n="0" f="v">
      <t c="3">
        <n x="405"/>
        <n x="445"/>
        <n x="231"/>
      </t>
    </mdx>
    <mdx n="0" f="v">
      <t c="2">
        <n x="405"/>
        <n x="231"/>
      </t>
    </mdx>
    <mdx n="0" f="v">
      <t c="3">
        <n x="405"/>
        <n x="443"/>
        <n x="231"/>
      </t>
    </mdx>
    <mdx n="0" f="v">
      <t c="3">
        <n x="405"/>
        <n x="433"/>
        <n x="231"/>
      </t>
    </mdx>
    <mdx n="0" f="v">
      <t c="2">
        <n x="386"/>
        <n x="193"/>
      </t>
    </mdx>
    <mdx n="0" f="v">
      <t c="3">
        <n x="386"/>
        <n x="272"/>
        <n x="231"/>
      </t>
    </mdx>
    <mdx n="0" f="v">
      <t c="3">
        <n x="386"/>
        <n x="445"/>
        <n x="231"/>
      </t>
    </mdx>
    <mdx n="0" f="v">
      <t c="2">
        <n x="386"/>
        <n x="231"/>
      </t>
    </mdx>
    <mdx n="0" f="v">
      <t c="3">
        <n x="386"/>
        <n x="443"/>
        <n x="231"/>
      </t>
    </mdx>
    <mdx n="0" f="v">
      <t c="3">
        <n x="386"/>
        <n x="433"/>
        <n x="231"/>
      </t>
    </mdx>
    <mdx n="0" f="v">
      <t c="3">
        <n x="413"/>
        <n x="272"/>
        <n x="231"/>
      </t>
    </mdx>
    <mdx n="0" f="v">
      <t c="2">
        <n x="413"/>
        <n x="193"/>
      </t>
    </mdx>
    <mdx n="0" f="v">
      <t c="3">
        <n x="413"/>
        <n x="445"/>
        <n x="231"/>
      </t>
    </mdx>
    <mdx n="0" f="v">
      <t c="2">
        <n x="413"/>
        <n x="231"/>
      </t>
    </mdx>
    <mdx n="0" f="v">
      <t c="3">
        <n x="413"/>
        <n x="443"/>
        <n x="231"/>
      </t>
    </mdx>
    <mdx n="0" f="v">
      <t c="3">
        <n x="413"/>
        <n x="433"/>
        <n x="231"/>
      </t>
    </mdx>
    <mdx n="0" f="v">
      <t c="3">
        <n x="429"/>
        <n x="272"/>
        <n x="231"/>
      </t>
    </mdx>
    <mdx n="0" f="v">
      <t c="2">
        <n x="429"/>
        <n x="193"/>
      </t>
    </mdx>
    <mdx n="0" f="v">
      <t c="2">
        <n x="429"/>
        <n x="231"/>
      </t>
    </mdx>
    <mdx n="0" f="v">
      <t c="3">
        <n x="429"/>
        <n x="445"/>
        <n x="231"/>
      </t>
    </mdx>
    <mdx n="0" f="v">
      <t c="3">
        <n x="429"/>
        <n x="443"/>
        <n x="231"/>
      </t>
    </mdx>
    <mdx n="0" f="v">
      <t c="3">
        <n x="429"/>
        <n x="433"/>
        <n x="231"/>
      </t>
    </mdx>
    <mdx n="0" f="v">
      <t c="3">
        <n x="408"/>
        <n x="272"/>
        <n x="231"/>
      </t>
    </mdx>
    <mdx n="0" f="v">
      <t c="2">
        <n x="408"/>
        <n x="193"/>
      </t>
    </mdx>
    <mdx n="0" f="v">
      <t c="3">
        <n x="408"/>
        <n x="445"/>
        <n x="231"/>
      </t>
    </mdx>
    <mdx n="0" f="v">
      <t c="2">
        <n x="408"/>
        <n x="231"/>
      </t>
    </mdx>
    <mdx n="0" f="v">
      <t c="3">
        <n x="408"/>
        <n x="443"/>
        <n x="231"/>
      </t>
    </mdx>
    <mdx n="0" f="v">
      <t c="3">
        <n x="408"/>
        <n x="433"/>
        <n x="231"/>
      </t>
    </mdx>
    <mdx n="0" f="v">
      <t c="3">
        <n x="389"/>
        <n x="272"/>
        <n x="231"/>
      </t>
    </mdx>
    <mdx n="0" f="v">
      <t c="2">
        <n x="389"/>
        <n x="193"/>
      </t>
    </mdx>
    <mdx n="0" f="v">
      <t c="3">
        <n x="389"/>
        <n x="445"/>
        <n x="231"/>
      </t>
    </mdx>
    <mdx n="0" f="v">
      <t c="2">
        <n x="389"/>
        <n x="231"/>
      </t>
    </mdx>
    <mdx n="0" f="v">
      <t c="3">
        <n x="389"/>
        <n x="443"/>
        <n x="231"/>
      </t>
    </mdx>
    <mdx n="0" f="v">
      <t c="3">
        <n x="389"/>
        <n x="433"/>
        <n x="231"/>
      </t>
    </mdx>
    <mdx n="0" f="v">
      <t c="3">
        <n x="444"/>
        <n x="272"/>
        <n x="231"/>
      </t>
    </mdx>
    <mdx n="0" f="v">
      <t c="2">
        <n x="444"/>
        <n x="193"/>
      </t>
    </mdx>
    <mdx n="0" f="v">
      <t c="3">
        <n x="444"/>
        <n x="445"/>
        <n x="231"/>
      </t>
    </mdx>
    <mdx n="0" f="v">
      <t c="2">
        <n x="444"/>
        <n x="231"/>
      </t>
    </mdx>
    <mdx n="0" f="v">
      <t c="3">
        <n x="444"/>
        <n x="443"/>
        <n x="231"/>
      </t>
    </mdx>
    <mdx n="0" f="v">
      <t c="3">
        <n x="444"/>
        <n x="433"/>
        <n x="231"/>
      </t>
    </mdx>
    <mdx n="0" f="v">
      <t c="3">
        <n x="432"/>
        <n x="443"/>
        <n x="231"/>
      </t>
    </mdx>
    <mdx n="0" f="v">
      <t c="3">
        <n x="432"/>
        <n x="272"/>
        <n x="231"/>
      </t>
    </mdx>
    <mdx n="0" f="v">
      <t c="2">
        <n x="432"/>
        <n x="193"/>
      </t>
    </mdx>
    <mdx n="0" f="v">
      <t c="3">
        <n x="432"/>
        <n x="445"/>
        <n x="231"/>
      </t>
    </mdx>
    <mdx n="0" f="v">
      <t c="2">
        <n x="432"/>
        <n x="231"/>
      </t>
    </mdx>
    <mdx n="0" f="v">
      <t c="3">
        <n x="432"/>
        <n x="433"/>
        <n x="231"/>
      </t>
    </mdx>
    <mdx n="0" f="v">
      <t c="3">
        <n x="411"/>
        <n x="443"/>
        <n x="231"/>
      </t>
    </mdx>
    <mdx n="0" f="v">
      <t c="3">
        <n x="411"/>
        <n x="433"/>
        <n x="231"/>
      </t>
    </mdx>
    <mdx n="0" f="v">
      <t c="3">
        <n x="411"/>
        <n x="272"/>
        <n x="231"/>
      </t>
    </mdx>
    <mdx n="0" f="v">
      <t c="2">
        <n x="411"/>
        <n x="193"/>
      </t>
    </mdx>
    <mdx n="0" f="v">
      <t c="3">
        <n x="411"/>
        <n x="445"/>
        <n x="231"/>
      </t>
    </mdx>
    <mdx n="0" f="v">
      <t c="2">
        <n x="411"/>
        <n x="231"/>
      </t>
    </mdx>
    <mdx n="0" f="v">
      <t c="3">
        <n x="42"/>
        <n x="433"/>
        <n x="231"/>
      </t>
    </mdx>
    <mdx n="0" f="v">
      <t c="3">
        <n x="42"/>
        <n x="272"/>
        <n x="231"/>
      </t>
    </mdx>
    <mdx n="0" f="v">
      <t c="2">
        <n x="42"/>
        <n x="193"/>
      </t>
    </mdx>
    <mdx n="0" f="v">
      <t c="3">
        <n x="42"/>
        <n x="445"/>
        <n x="231"/>
      </t>
    </mdx>
    <mdx n="0" f="v">
      <t c="2">
        <n x="42"/>
        <n x="231"/>
      </t>
    </mdx>
    <mdx n="0" f="v">
      <t c="3">
        <n x="42"/>
        <n x="443"/>
        <n x="231"/>
      </t>
    </mdx>
    <mdx n="0" f="v">
      <t c="3">
        <n x="236"/>
        <n x="445"/>
        <n x="231"/>
      </t>
    </mdx>
    <mdx n="0" f="v">
      <t c="3">
        <n x="236"/>
        <n x="272"/>
        <n x="231"/>
      </t>
    </mdx>
    <mdx n="0" f="v">
      <t c="2">
        <n x="236"/>
        <n x="231"/>
      </t>
    </mdx>
    <mdx n="0" f="v">
      <t c="2">
        <n x="236"/>
        <n x="193"/>
      </t>
    </mdx>
    <mdx n="0" f="v">
      <t c="3">
        <n x="236"/>
        <n x="443"/>
        <n x="231"/>
      </t>
    </mdx>
    <mdx n="0" f="v">
      <t c="3">
        <n x="236"/>
        <n x="433"/>
        <n x="231"/>
      </t>
    </mdx>
    <mdx n="0" f="v">
      <t c="3">
        <n x="164"/>
        <n x="433"/>
        <n x="231"/>
      </t>
    </mdx>
    <mdx n="0" f="v">
      <t c="3">
        <n x="164"/>
        <n x="443"/>
        <n x="231"/>
      </t>
    </mdx>
    <mdx n="0" f="v">
      <t c="3">
        <n x="164"/>
        <n x="272"/>
        <n x="231"/>
      </t>
    </mdx>
    <mdx n="0" f="v">
      <t c="2">
        <n x="164"/>
        <n x="193"/>
      </t>
    </mdx>
    <mdx n="0" f="v">
      <t c="3">
        <n x="164"/>
        <n x="445"/>
        <n x="231"/>
      </t>
    </mdx>
    <mdx n="0" f="v">
      <t c="2">
        <n x="164"/>
        <n x="231"/>
      </t>
    </mdx>
    <mdx n="0" f="v">
      <t c="3">
        <n x="114"/>
        <n x="272"/>
        <n x="231"/>
      </t>
    </mdx>
    <mdx n="0" f="v">
      <t c="2">
        <n x="114"/>
        <n x="193"/>
      </t>
    </mdx>
    <mdx n="0" f="v">
      <t c="2">
        <n x="114"/>
        <n x="231"/>
      </t>
    </mdx>
    <mdx n="0" f="v">
      <t c="3">
        <n x="114"/>
        <n x="445"/>
        <n x="231"/>
      </t>
    </mdx>
    <mdx n="0" f="v">
      <t c="3">
        <n x="114"/>
        <n x="443"/>
        <n x="231"/>
      </t>
    </mdx>
    <mdx n="0" f="v">
      <t c="3">
        <n x="114"/>
        <n x="433"/>
        <n x="231"/>
      </t>
    </mdx>
    <mdx n="0" f="v">
      <t c="2">
        <n x="205"/>
        <n x="193"/>
      </t>
    </mdx>
    <mdx n="0" f="v">
      <t c="3">
        <n x="205"/>
        <n x="272"/>
        <n x="231"/>
      </t>
    </mdx>
    <mdx n="0" f="v">
      <t c="3">
        <n x="205"/>
        <n x="445"/>
        <n x="231"/>
      </t>
    </mdx>
    <mdx n="0" f="v">
      <t c="2">
        <n x="205"/>
        <n x="231"/>
      </t>
    </mdx>
    <mdx n="0" f="v">
      <t c="3">
        <n x="205"/>
        <n x="443"/>
        <n x="231"/>
      </t>
    </mdx>
    <mdx n="0" f="v">
      <t c="3">
        <n x="205"/>
        <n x="433"/>
        <n x="231"/>
      </t>
    </mdx>
    <mdx n="0" f="v">
      <t c="2">
        <n x="50"/>
        <n x="193"/>
      </t>
    </mdx>
    <mdx n="0" f="v">
      <t c="3">
        <n x="50"/>
        <n x="272"/>
        <n x="231"/>
      </t>
    </mdx>
    <mdx n="0" f="v">
      <t c="3">
        <n x="50"/>
        <n x="445"/>
        <n x="231"/>
      </t>
    </mdx>
    <mdx n="0" f="v">
      <t c="2">
        <n x="50"/>
        <n x="231"/>
      </t>
    </mdx>
    <mdx n="0" f="v">
      <t c="3">
        <n x="50"/>
        <n x="443"/>
        <n x="231"/>
      </t>
    </mdx>
    <mdx n="0" f="v">
      <t c="3">
        <n x="50"/>
        <n x="433"/>
        <n x="231"/>
      </t>
    </mdx>
    <mdx n="0" f="v">
      <t c="3">
        <n x="244"/>
        <n x="445"/>
        <n x="231"/>
      </t>
    </mdx>
    <mdx n="0" f="v">
      <t c="2">
        <n x="244"/>
        <n x="231"/>
      </t>
    </mdx>
    <mdx n="0" f="v">
      <t c="3">
        <n x="244"/>
        <n x="443"/>
        <n x="231"/>
      </t>
    </mdx>
    <mdx n="0" f="v">
      <t c="3">
        <n x="244"/>
        <n x="433"/>
        <n x="231"/>
      </t>
    </mdx>
    <mdx n="0" f="v">
      <t c="3">
        <n x="244"/>
        <n x="272"/>
        <n x="231"/>
      </t>
    </mdx>
    <mdx n="0" f="v">
      <t c="2">
        <n x="244"/>
        <n x="193"/>
      </t>
    </mdx>
    <mdx n="0" f="v">
      <t c="3">
        <n x="172"/>
        <n x="433"/>
        <n x="231"/>
      </t>
    </mdx>
    <mdx n="0" f="v">
      <t c="3">
        <n x="172"/>
        <n x="272"/>
        <n x="231"/>
      </t>
    </mdx>
    <mdx n="0" f="v">
      <t c="2">
        <n x="172"/>
        <n x="193"/>
      </t>
    </mdx>
    <mdx n="0" f="v">
      <t c="3">
        <n x="172"/>
        <n x="445"/>
        <n x="231"/>
      </t>
    </mdx>
    <mdx n="0" f="v">
      <t c="2">
        <n x="172"/>
        <n x="231"/>
      </t>
    </mdx>
    <mdx n="0" f="v">
      <t c="3">
        <n x="172"/>
        <n x="443"/>
        <n x="231"/>
      </t>
    </mdx>
    <mdx n="0" f="v">
      <t c="2">
        <n x="155"/>
        <n x="193"/>
      </t>
    </mdx>
    <mdx n="0" f="v">
      <t c="3">
        <n x="155"/>
        <n x="272"/>
        <n x="231"/>
      </t>
    </mdx>
    <mdx n="0" f="v">
      <t c="3">
        <n x="155"/>
        <n x="443"/>
        <n x="231"/>
      </t>
    </mdx>
    <mdx n="0" f="v">
      <t c="3">
        <n x="155"/>
        <n x="433"/>
        <n x="231"/>
      </t>
    </mdx>
    <mdx n="0" f="v">
      <t c="3">
        <n x="155"/>
        <n x="445"/>
        <n x="231"/>
      </t>
    </mdx>
    <mdx n="0" f="v">
      <t c="2">
        <n x="155"/>
        <n x="231"/>
      </t>
    </mdx>
    <mdx n="0" f="v">
      <t c="3">
        <n x="213"/>
        <n x="443"/>
        <n x="231"/>
      </t>
    </mdx>
    <mdx n="0" f="v">
      <t c="3">
        <n x="213"/>
        <n x="433"/>
        <n x="231"/>
      </t>
    </mdx>
    <mdx n="0" f="v">
      <t c="3">
        <n x="213"/>
        <n x="272"/>
        <n x="231"/>
      </t>
    </mdx>
    <mdx n="0" f="v">
      <t c="2">
        <n x="213"/>
        <n x="193"/>
      </t>
    </mdx>
    <mdx n="0" f="v">
      <t c="3">
        <n x="213"/>
        <n x="445"/>
        <n x="231"/>
      </t>
    </mdx>
    <mdx n="0" f="v">
      <t c="2">
        <n x="213"/>
        <n x="231"/>
      </t>
    </mdx>
    <mdx n="0" f="v">
      <t c="3">
        <n x="58"/>
        <n x="445"/>
        <n x="231"/>
      </t>
    </mdx>
    <mdx n="0" f="v">
      <t c="3">
        <n x="58"/>
        <n x="443"/>
        <n x="231"/>
      </t>
    </mdx>
    <mdx n="0" f="v">
      <t c="3">
        <n x="58"/>
        <n x="433"/>
        <n x="231"/>
      </t>
    </mdx>
    <mdx n="0" f="v">
      <t c="2">
        <n x="58"/>
        <n x="231"/>
      </t>
    </mdx>
    <mdx n="0" f="v">
      <t c="3">
        <n x="58"/>
        <n x="272"/>
        <n x="231"/>
      </t>
    </mdx>
    <mdx n="0" f="v">
      <t c="2">
        <n x="58"/>
        <n x="193"/>
      </t>
    </mdx>
    <mdx n="0" f="v">
      <t c="3">
        <n x="252"/>
        <n x="443"/>
        <n x="231"/>
      </t>
    </mdx>
    <mdx n="0" f="v">
      <t c="3">
        <n x="252"/>
        <n x="433"/>
        <n x="231"/>
      </t>
    </mdx>
    <mdx n="0" f="v">
      <t c="3">
        <n x="252"/>
        <n x="272"/>
        <n x="231"/>
      </t>
    </mdx>
    <mdx n="0" f="v">
      <t c="2">
        <n x="252"/>
        <n x="193"/>
      </t>
    </mdx>
    <mdx n="0" f="v">
      <t c="3">
        <n x="252"/>
        <n x="445"/>
        <n x="231"/>
      </t>
    </mdx>
    <mdx n="0" f="v">
      <t c="2">
        <n x="252"/>
        <n x="231"/>
      </t>
    </mdx>
    <mdx n="0" f="v">
      <t c="3">
        <n x="180"/>
        <n x="445"/>
        <n x="231"/>
      </t>
    </mdx>
    <mdx n="0" f="v">
      <t c="3">
        <n x="180"/>
        <n x="443"/>
        <n x="231"/>
      </t>
    </mdx>
    <mdx n="0" f="v">
      <t c="3">
        <n x="180"/>
        <n x="272"/>
        <n x="231"/>
      </t>
    </mdx>
    <mdx n="0" f="v">
      <t c="2">
        <n x="180"/>
        <n x="231"/>
      </t>
    </mdx>
    <mdx n="0" f="v">
      <t c="2">
        <n x="180"/>
        <n x="193"/>
      </t>
    </mdx>
    <mdx n="0" f="v">
      <t c="3">
        <n x="180"/>
        <n x="433"/>
        <n x="231"/>
      </t>
    </mdx>
    <mdx n="0" f="v">
      <t c="3">
        <n x="270"/>
        <n x="445"/>
        <n x="231"/>
      </t>
    </mdx>
    <mdx n="0" f="v">
      <t c="3">
        <n x="270"/>
        <n x="433"/>
        <n x="231"/>
      </t>
    </mdx>
    <mdx n="0" f="v">
      <t c="3">
        <n x="270"/>
        <n x="272"/>
        <n x="231"/>
      </t>
    </mdx>
    <mdx n="0" f="v">
      <t c="2">
        <n x="270"/>
        <n x="231"/>
      </t>
    </mdx>
    <mdx n="0" f="v">
      <t c="2">
        <n x="270"/>
        <n x="193"/>
      </t>
    </mdx>
    <mdx n="0" f="v">
      <t c="3">
        <n x="270"/>
        <n x="443"/>
        <n x="231"/>
      </t>
    </mdx>
    <mdx n="0" f="v">
      <t c="3">
        <n x="221"/>
        <n x="445"/>
        <n x="231"/>
      </t>
    </mdx>
    <mdx n="0" f="v">
      <t c="3">
        <n x="221"/>
        <n x="443"/>
        <n x="231"/>
      </t>
    </mdx>
    <mdx n="0" f="v">
      <t c="3">
        <n x="221"/>
        <n x="433"/>
        <n x="231"/>
      </t>
    </mdx>
    <mdx n="0" f="v">
      <t c="2">
        <n x="221"/>
        <n x="231"/>
      </t>
    </mdx>
    <mdx n="0" f="v">
      <t c="3">
        <n x="221"/>
        <n x="272"/>
        <n x="231"/>
      </t>
    </mdx>
    <mdx n="0" f="v">
      <t c="2">
        <n x="221"/>
        <n x="193"/>
      </t>
    </mdx>
    <mdx n="0" f="v">
      <t c="3">
        <n x="66"/>
        <n x="443"/>
        <n x="231"/>
      </t>
    </mdx>
    <mdx n="0" f="v">
      <t c="3">
        <n x="66"/>
        <n x="433"/>
        <n x="231"/>
      </t>
    </mdx>
    <mdx n="0" f="v">
      <t c="3">
        <n x="66"/>
        <n x="272"/>
        <n x="231"/>
      </t>
    </mdx>
    <mdx n="0" f="v">
      <t c="2">
        <n x="66"/>
        <n x="193"/>
      </t>
    </mdx>
    <mdx n="0" f="v">
      <t c="3">
        <n x="66"/>
        <n x="445"/>
        <n x="231"/>
      </t>
    </mdx>
    <mdx n="0" f="v">
      <t c="2">
        <n x="66"/>
        <n x="231"/>
      </t>
    </mdx>
    <mdx n="0" f="v">
      <t c="3">
        <n x="260"/>
        <n x="433"/>
        <n x="231"/>
      </t>
    </mdx>
    <mdx n="0" f="v">
      <t c="3">
        <n x="260"/>
        <n x="272"/>
        <n x="231"/>
      </t>
    </mdx>
    <mdx n="0" f="v">
      <t c="2">
        <n x="260"/>
        <n x="193"/>
      </t>
    </mdx>
    <mdx n="0" f="v">
      <t c="3">
        <n x="260"/>
        <n x="445"/>
        <n x="231"/>
      </t>
    </mdx>
    <mdx n="0" f="v">
      <t c="2">
        <n x="260"/>
        <n x="231"/>
      </t>
    </mdx>
    <mdx n="0" f="v">
      <t c="3">
        <n x="260"/>
        <n x="443"/>
        <n x="231"/>
      </t>
    </mdx>
    <mdx n="0" f="v">
      <t c="3">
        <n x="188"/>
        <n x="445"/>
        <n x="231"/>
      </t>
    </mdx>
    <mdx n="0" f="v">
      <t c="2">
        <n x="188"/>
        <n x="193"/>
      </t>
    </mdx>
    <mdx n="0" f="v">
      <t c="2">
        <n x="188"/>
        <n x="231"/>
      </t>
    </mdx>
    <mdx n="0" f="v">
      <t c="3">
        <n x="188"/>
        <n x="443"/>
        <n x="231"/>
      </t>
    </mdx>
    <mdx n="0" f="v">
      <t c="3">
        <n x="188"/>
        <n x="433"/>
        <n x="231"/>
      </t>
    </mdx>
    <mdx n="0" f="v">
      <t c="3">
        <n x="188"/>
        <n x="272"/>
        <n x="231"/>
      </t>
    </mdx>
    <mdx n="0" f="v">
      <t c="3">
        <n x="79"/>
        <n x="272"/>
        <n x="231"/>
      </t>
    </mdx>
    <mdx n="0" f="v">
      <t c="2">
        <n x="79"/>
        <n x="193"/>
      </t>
    </mdx>
    <mdx n="0" f="v">
      <t c="3">
        <n x="79"/>
        <n x="445"/>
        <n x="231"/>
      </t>
    </mdx>
    <mdx n="0" f="v">
      <t c="2">
        <n x="79"/>
        <n x="231"/>
      </t>
    </mdx>
    <mdx n="0" f="v">
      <t c="3">
        <n x="79"/>
        <n x="443"/>
        <n x="231"/>
      </t>
    </mdx>
    <mdx n="0" f="v">
      <t c="3">
        <n x="79"/>
        <n x="433"/>
        <n x="231"/>
      </t>
    </mdx>
    <mdx n="0" f="v">
      <t c="3">
        <n x="229"/>
        <n x="443"/>
        <n x="231"/>
      </t>
    </mdx>
    <mdx n="0" f="v">
      <t c="2">
        <n x="229"/>
        <n x="193"/>
      </t>
    </mdx>
    <mdx n="0" f="v">
      <t c="3">
        <n x="229"/>
        <n x="433"/>
        <n x="231"/>
      </t>
    </mdx>
    <mdx n="0" f="v">
      <t c="3">
        <n x="229"/>
        <n x="272"/>
        <n x="231"/>
      </t>
    </mdx>
    <mdx n="0" f="v">
      <t c="3">
        <n x="229"/>
        <n x="445"/>
        <n x="231"/>
      </t>
    </mdx>
    <mdx n="0" f="v">
      <t c="2">
        <n x="229"/>
        <n x="231"/>
      </t>
    </mdx>
    <mdx n="0" f="v">
      <t c="3">
        <n x="74"/>
        <n x="443"/>
        <n x="231"/>
      </t>
    </mdx>
    <mdx n="0" f="v">
      <t c="2">
        <n x="74"/>
        <n x="193"/>
      </t>
    </mdx>
    <mdx n="0" f="v">
      <t c="3">
        <n x="74"/>
        <n x="433"/>
        <n x="231"/>
      </t>
    </mdx>
    <mdx n="0" f="v">
      <t c="3">
        <n x="74"/>
        <n x="272"/>
        <n x="231"/>
      </t>
    </mdx>
    <mdx n="0" f="v">
      <t c="3">
        <n x="74"/>
        <n x="445"/>
        <n x="231"/>
      </t>
    </mdx>
    <mdx n="0" f="v">
      <t c="2">
        <n x="74"/>
        <n x="231"/>
      </t>
    </mdx>
    <mdx n="0" f="v">
      <t c="3">
        <n x="2"/>
        <n x="443"/>
        <n x="231"/>
      </t>
    </mdx>
    <mdx n="0" f="v">
      <t c="3">
        <n x="2"/>
        <n x="433"/>
        <n x="231"/>
      </t>
    </mdx>
    <mdx n="0" f="v">
      <t c="3">
        <n x="2"/>
        <n x="272"/>
        <n x="231"/>
      </t>
    </mdx>
    <mdx n="0" f="v">
      <t c="2">
        <n x="2"/>
        <n x="193"/>
      </t>
    </mdx>
    <mdx n="0" f="v">
      <t c="3">
        <n x="2"/>
        <n x="445"/>
        <n x="231"/>
      </t>
    </mdx>
    <mdx n="0" f="v">
      <t c="2">
        <n x="2"/>
        <n x="231"/>
      </t>
    </mdx>
    <mdx n="0" f="v">
      <t c="3">
        <n x="318"/>
        <n x="443"/>
        <n x="231"/>
      </t>
    </mdx>
    <mdx n="0" f="v">
      <t c="3">
        <n x="318"/>
        <n x="433"/>
        <n x="231"/>
      </t>
    </mdx>
    <mdx n="0" f="v">
      <t c="3">
        <n x="318"/>
        <n x="272"/>
        <n x="231"/>
      </t>
    </mdx>
    <mdx n="0" f="v">
      <t c="2">
        <n x="318"/>
        <n x="193"/>
      </t>
    </mdx>
    <mdx n="0" f="v">
      <t c="3">
        <n x="318"/>
        <n x="445"/>
        <n x="231"/>
      </t>
    </mdx>
    <mdx n="0" f="v">
      <t c="2">
        <n x="318"/>
        <n x="231"/>
      </t>
    </mdx>
    <mdx n="0" f="v">
      <t c="3">
        <n x="320"/>
        <n x="443"/>
        <n x="231"/>
      </t>
    </mdx>
    <mdx n="0" f="v">
      <t c="3">
        <n x="320"/>
        <n x="433"/>
        <n x="231"/>
      </t>
    </mdx>
    <mdx n="0" f="v">
      <t c="3">
        <n x="320"/>
        <n x="272"/>
        <n x="231"/>
      </t>
    </mdx>
    <mdx n="0" f="v">
      <t c="2">
        <n x="320"/>
        <n x="193"/>
      </t>
    </mdx>
    <mdx n="0" f="v">
      <t c="3">
        <n x="320"/>
        <n x="445"/>
        <n x="231"/>
      </t>
    </mdx>
    <mdx n="0" f="v">
      <t c="2">
        <n x="320"/>
        <n x="231"/>
      </t>
    </mdx>
    <mdx n="0" f="v">
      <t c="3">
        <n x="322"/>
        <n x="443"/>
        <n x="231"/>
      </t>
    </mdx>
    <mdx n="0" f="v">
      <t c="3">
        <n x="322"/>
        <n x="433"/>
        <n x="231"/>
      </t>
    </mdx>
    <mdx n="0" f="v">
      <t c="3">
        <n x="322"/>
        <n x="272"/>
        <n x="231"/>
      </t>
    </mdx>
    <mdx n="0" f="v">
      <t c="2">
        <n x="322"/>
        <n x="193"/>
      </t>
    </mdx>
    <mdx n="0" f="v">
      <t c="3">
        <n x="322"/>
        <n x="445"/>
        <n x="231"/>
      </t>
    </mdx>
    <mdx n="0" f="v">
      <t c="2">
        <n x="322"/>
        <n x="231"/>
      </t>
    </mdx>
    <mdx n="0" f="v">
      <t c="3">
        <n x="324"/>
        <n x="443"/>
        <n x="231"/>
      </t>
    </mdx>
    <mdx n="0" f="v">
      <t c="3">
        <n x="324"/>
        <n x="433"/>
        <n x="231"/>
      </t>
    </mdx>
    <mdx n="0" f="v">
      <t c="3">
        <n x="324"/>
        <n x="272"/>
        <n x="231"/>
      </t>
    </mdx>
    <mdx n="0" f="v">
      <t c="2">
        <n x="324"/>
        <n x="193"/>
      </t>
    </mdx>
    <mdx n="0" f="v">
      <t c="3">
        <n x="324"/>
        <n x="445"/>
        <n x="231"/>
      </t>
    </mdx>
    <mdx n="0" f="v">
      <t c="2">
        <n x="324"/>
        <n x="231"/>
      </t>
    </mdx>
    <mdx n="0" f="v">
      <t c="3">
        <n x="326"/>
        <n x="443"/>
        <n x="231"/>
      </t>
    </mdx>
    <mdx n="0" f="v">
      <t c="2">
        <n x="326"/>
        <n x="193"/>
      </t>
    </mdx>
    <mdx n="0" f="v">
      <t c="3">
        <n x="326"/>
        <n x="433"/>
        <n x="231"/>
      </t>
    </mdx>
    <mdx n="0" f="v">
      <t c="3">
        <n x="326"/>
        <n x="272"/>
        <n x="231"/>
      </t>
    </mdx>
    <mdx n="0" f="v">
      <t c="3">
        <n x="326"/>
        <n x="445"/>
        <n x="231"/>
      </t>
    </mdx>
    <mdx n="0" f="v">
      <t c="2">
        <n x="326"/>
        <n x="231"/>
      </t>
    </mdx>
    <mdx n="0" f="v">
      <t c="3">
        <n x="328"/>
        <n x="433"/>
        <n x="231"/>
      </t>
    </mdx>
    <mdx n="0" f="v">
      <t c="3">
        <n x="328"/>
        <n x="443"/>
        <n x="231"/>
      </t>
    </mdx>
    <mdx n="0" f="v">
      <t c="2">
        <n x="328"/>
        <n x="193"/>
      </t>
    </mdx>
    <mdx n="0" f="v">
      <t c="3">
        <n x="328"/>
        <n x="272"/>
        <n x="231"/>
      </t>
    </mdx>
    <mdx n="0" f="v">
      <t c="3">
        <n x="328"/>
        <n x="445"/>
        <n x="231"/>
      </t>
    </mdx>
    <mdx n="0" f="v">
      <t c="2">
        <n x="328"/>
        <n x="231"/>
      </t>
    </mdx>
    <mdx n="0" f="v">
      <t c="3">
        <n x="330"/>
        <n x="443"/>
        <n x="231"/>
      </t>
    </mdx>
    <mdx n="0" f="v">
      <t c="3">
        <n x="330"/>
        <n x="433"/>
        <n x="231"/>
      </t>
    </mdx>
    <mdx n="0" f="v">
      <t c="3">
        <n x="330"/>
        <n x="272"/>
        <n x="231"/>
      </t>
    </mdx>
    <mdx n="0" f="v">
      <t c="2">
        <n x="330"/>
        <n x="193"/>
      </t>
    </mdx>
    <mdx n="0" f="v">
      <t c="3">
        <n x="330"/>
        <n x="445"/>
        <n x="231"/>
      </t>
    </mdx>
    <mdx n="0" f="v">
      <t c="2">
        <n x="330"/>
        <n x="231"/>
      </t>
    </mdx>
    <mdx n="0" f="v">
      <t c="3">
        <n x="332"/>
        <n x="443"/>
        <n x="231"/>
      </t>
    </mdx>
    <mdx n="0" f="v">
      <t c="3">
        <n x="332"/>
        <n x="433"/>
        <n x="231"/>
      </t>
    </mdx>
    <mdx n="0" f="v">
      <t c="3">
        <n x="332"/>
        <n x="272"/>
        <n x="231"/>
      </t>
    </mdx>
    <mdx n="0" f="v">
      <t c="2">
        <n x="332"/>
        <n x="193"/>
      </t>
    </mdx>
    <mdx n="0" f="v">
      <t c="3">
        <n x="332"/>
        <n x="445"/>
        <n x="231"/>
      </t>
    </mdx>
    <mdx n="0" f="v">
      <t c="2">
        <n x="332"/>
        <n x="231"/>
      </t>
    </mdx>
    <mdx n="0" f="v">
      <t c="3">
        <n x="334"/>
        <n x="443"/>
        <n x="231"/>
      </t>
    </mdx>
    <mdx n="0" f="v">
      <t c="3">
        <n x="334"/>
        <n x="433"/>
        <n x="231"/>
      </t>
    </mdx>
    <mdx n="0" f="v">
      <t c="3">
        <n x="334"/>
        <n x="272"/>
        <n x="231"/>
      </t>
    </mdx>
    <mdx n="0" f="v">
      <t c="2">
        <n x="334"/>
        <n x="193"/>
      </t>
    </mdx>
    <mdx n="0" f="v">
      <t c="3">
        <n x="334"/>
        <n x="445"/>
        <n x="231"/>
      </t>
    </mdx>
    <mdx n="0" f="v">
      <t c="2">
        <n x="334"/>
        <n x="231"/>
      </t>
    </mdx>
    <mdx n="0" f="v">
      <t c="3">
        <n x="336"/>
        <n x="272"/>
        <n x="231"/>
      </t>
    </mdx>
    <mdx n="0" f="v">
      <t c="3">
        <n x="336"/>
        <n x="443"/>
        <n x="231"/>
      </t>
    </mdx>
    <mdx n="0" f="v">
      <t c="3">
        <n x="336"/>
        <n x="433"/>
        <n x="231"/>
      </t>
    </mdx>
    <mdx n="0" f="v">
      <t c="2">
        <n x="336"/>
        <n x="193"/>
      </t>
    </mdx>
    <mdx n="0" f="v">
      <t c="3">
        <n x="336"/>
        <n x="445"/>
        <n x="231"/>
      </t>
    </mdx>
    <mdx n="0" f="v">
      <t c="2">
        <n x="336"/>
        <n x="231"/>
      </t>
    </mdx>
    <mdx n="0" f="v">
      <t c="2">
        <n x="338"/>
        <n x="231"/>
      </t>
    </mdx>
    <mdx n="0" f="v">
      <t c="3">
        <n x="338"/>
        <n x="445"/>
        <n x="231"/>
      </t>
    </mdx>
    <mdx n="0" f="v">
      <t c="3">
        <n x="338"/>
        <n x="272"/>
        <n x="231"/>
      </t>
    </mdx>
    <mdx n="0" f="v">
      <t c="2">
        <n x="338"/>
        <n x="193"/>
      </t>
    </mdx>
    <mdx n="0" f="v">
      <t c="3">
        <n x="338"/>
        <n x="443"/>
        <n x="231"/>
      </t>
    </mdx>
    <mdx n="0" f="v">
      <t c="3">
        <n x="338"/>
        <n x="433"/>
        <n x="231"/>
      </t>
    </mdx>
    <mdx n="0" f="v">
      <t c="3">
        <n x="161"/>
        <n x="443"/>
        <n x="231"/>
      </t>
    </mdx>
    <mdx n="0" f="v">
      <t c="3">
        <n x="161"/>
        <n x="433"/>
        <n x="231"/>
      </t>
    </mdx>
    <mdx n="0" f="v">
      <t c="3">
        <n x="161"/>
        <n x="272"/>
        <n x="231"/>
      </t>
    </mdx>
    <mdx n="0" f="v">
      <t c="2">
        <n x="161"/>
        <n x="193"/>
      </t>
    </mdx>
    <mdx n="0" f="v">
      <t c="3">
        <n x="161"/>
        <n x="445"/>
        <n x="231"/>
      </t>
    </mdx>
    <mdx n="0" f="v">
      <t c="2">
        <n x="161"/>
        <n x="231"/>
      </t>
    </mdx>
    <mdx n="0" f="v">
      <t c="2">
        <n x="75"/>
        <n x="193"/>
      </t>
    </mdx>
    <mdx n="0" f="v">
      <t c="3">
        <n x="75"/>
        <n x="443"/>
        <n x="231"/>
      </t>
    </mdx>
    <mdx n="0" f="v">
      <t c="2">
        <n x="75"/>
        <n x="231"/>
      </t>
    </mdx>
    <mdx n="0" f="v">
      <t c="3">
        <n x="75"/>
        <n x="445"/>
        <n x="231"/>
      </t>
    </mdx>
    <mdx n="0" f="v">
      <t c="3">
        <n x="75"/>
        <n x="433"/>
        <n x="231"/>
      </t>
    </mdx>
    <mdx n="0" f="v">
      <t c="3">
        <n x="75"/>
        <n x="272"/>
        <n x="231"/>
      </t>
    </mdx>
    <mdx n="0" f="v">
      <t c="3">
        <n x="202"/>
        <n x="433"/>
        <n x="231"/>
      </t>
    </mdx>
    <mdx n="0" f="v">
      <t c="3">
        <n x="202"/>
        <n x="272"/>
        <n x="231"/>
      </t>
    </mdx>
    <mdx n="0" f="v">
      <t c="2">
        <n x="202"/>
        <n x="193"/>
      </t>
    </mdx>
    <mdx n="0" f="v">
      <t c="3">
        <n x="202"/>
        <n x="445"/>
        <n x="231"/>
      </t>
    </mdx>
    <mdx n="0" f="v">
      <t c="2">
        <n x="202"/>
        <n x="231"/>
      </t>
    </mdx>
    <mdx n="0" f="v">
      <t c="3">
        <n x="202"/>
        <n x="443"/>
        <n x="231"/>
      </t>
    </mdx>
    <mdx n="0" f="v">
      <t c="2">
        <n x="47"/>
        <n x="193"/>
      </t>
    </mdx>
    <mdx n="0" f="v">
      <t c="3">
        <n x="47"/>
        <n x="272"/>
        <n x="231"/>
      </t>
    </mdx>
    <mdx n="0" f="v">
      <t c="3">
        <n x="47"/>
        <n x="445"/>
        <n x="231"/>
      </t>
    </mdx>
    <mdx n="0" f="v">
      <t c="2">
        <n x="47"/>
        <n x="231"/>
      </t>
    </mdx>
    <mdx n="0" f="v">
      <t c="3">
        <n x="47"/>
        <n x="443"/>
        <n x="231"/>
      </t>
    </mdx>
    <mdx n="0" f="v">
      <t c="3">
        <n x="47"/>
        <n x="433"/>
        <n x="231"/>
      </t>
    </mdx>
    <mdx n="0" f="v">
      <t c="3">
        <n x="241"/>
        <n x="445"/>
        <n x="231"/>
      </t>
    </mdx>
    <mdx n="0" f="v">
      <t c="2">
        <n x="241"/>
        <n x="231"/>
      </t>
    </mdx>
    <mdx n="0" f="v">
      <t c="3">
        <n x="241"/>
        <n x="443"/>
        <n x="231"/>
      </t>
    </mdx>
    <mdx n="0" f="v">
      <t c="3">
        <n x="241"/>
        <n x="433"/>
        <n x="231"/>
      </t>
    </mdx>
    <mdx n="0" f="v">
      <t c="3">
        <n x="241"/>
        <n x="272"/>
        <n x="231"/>
      </t>
    </mdx>
    <mdx n="0" f="v">
      <t c="2">
        <n x="241"/>
        <n x="193"/>
      </t>
    </mdx>
    <mdx n="0" f="v">
      <t c="3">
        <n x="169"/>
        <n x="433"/>
        <n x="231"/>
      </t>
    </mdx>
    <mdx n="0" f="v">
      <t c="3">
        <n x="169"/>
        <n x="272"/>
        <n x="231"/>
      </t>
    </mdx>
    <mdx n="0" f="v">
      <t c="2">
        <n x="169"/>
        <n x="193"/>
      </t>
    </mdx>
    <mdx n="0" f="v">
      <t c="3">
        <n x="169"/>
        <n x="445"/>
        <n x="231"/>
      </t>
    </mdx>
    <mdx n="0" f="v">
      <t c="2">
        <n x="169"/>
        <n x="231"/>
      </t>
    </mdx>
    <mdx n="0" f="v">
      <t c="3">
        <n x="169"/>
        <n x="443"/>
        <n x="231"/>
      </t>
    </mdx>
    <mdx n="0" f="v">
      <t c="3">
        <n x="195"/>
        <n x="443"/>
        <n x="231"/>
      </t>
    </mdx>
    <mdx n="0" f="v">
      <t c="3">
        <n x="195"/>
        <n x="433"/>
        <n x="231"/>
      </t>
    </mdx>
    <mdx n="0" f="v">
      <t c="3">
        <n x="195"/>
        <n x="272"/>
        <n x="231"/>
      </t>
    </mdx>
    <mdx n="0" f="v">
      <t c="2">
        <n x="195"/>
        <n x="193"/>
      </t>
    </mdx>
    <mdx n="0" f="v">
      <t c="3">
        <n x="195"/>
        <n x="445"/>
        <n x="231"/>
      </t>
    </mdx>
    <mdx n="0" f="v">
      <t c="2">
        <n x="195"/>
        <n x="231"/>
      </t>
    </mdx>
    <mdx n="0" f="v">
      <t c="2">
        <n x="210"/>
        <n x="193"/>
      </t>
    </mdx>
    <mdx n="0" f="v">
      <t c="3">
        <n x="210"/>
        <n x="272"/>
        <n x="231"/>
      </t>
    </mdx>
    <mdx n="0" f="v">
      <t c="2">
        <n x="210"/>
        <n x="231"/>
      </t>
    </mdx>
    <mdx n="0" f="v">
      <t c="3">
        <n x="210"/>
        <n x="445"/>
        <n x="231"/>
      </t>
    </mdx>
    <mdx n="0" f="v">
      <t c="3">
        <n x="210"/>
        <n x="443"/>
        <n x="231"/>
      </t>
    </mdx>
    <mdx n="0" f="v">
      <t c="3">
        <n x="210"/>
        <n x="433"/>
        <n x="231"/>
      </t>
    </mdx>
    <mdx n="0" f="v">
      <t c="3">
        <n x="55"/>
        <n x="443"/>
        <n x="231"/>
      </t>
    </mdx>
    <mdx n="0" f="v">
      <t c="3">
        <n x="55"/>
        <n x="433"/>
        <n x="231"/>
      </t>
    </mdx>
    <mdx n="0" f="v">
      <t c="3">
        <n x="55"/>
        <n x="272"/>
        <n x="231"/>
      </t>
    </mdx>
    <mdx n="0" f="v">
      <t c="2">
        <n x="55"/>
        <n x="193"/>
      </t>
    </mdx>
    <mdx n="0" f="v">
      <t c="3">
        <n x="55"/>
        <n x="445"/>
        <n x="231"/>
      </t>
    </mdx>
    <mdx n="0" f="v">
      <t c="2">
        <n x="55"/>
        <n x="231"/>
      </t>
    </mdx>
    <mdx n="0" f="v">
      <t c="3">
        <n x="249"/>
        <n x="433"/>
        <n x="231"/>
      </t>
    </mdx>
    <mdx n="0" f="v">
      <t c="3">
        <n x="249"/>
        <n x="272"/>
        <n x="231"/>
      </t>
    </mdx>
    <mdx n="0" f="v">
      <t c="2">
        <n x="249"/>
        <n x="193"/>
      </t>
    </mdx>
    <mdx n="0" f="v">
      <t c="3">
        <n x="249"/>
        <n x="445"/>
        <n x="231"/>
      </t>
    </mdx>
    <mdx n="0" f="v">
      <t c="2">
        <n x="249"/>
        <n x="231"/>
      </t>
    </mdx>
    <mdx n="0" f="v">
      <t c="3">
        <n x="249"/>
        <n x="443"/>
        <n x="231"/>
      </t>
    </mdx>
    <mdx n="0" f="v">
      <t c="3">
        <n x="177"/>
        <n x="272"/>
        <n x="231"/>
      </t>
    </mdx>
    <mdx n="0" f="v">
      <t c="2">
        <n x="177"/>
        <n x="231"/>
      </t>
    </mdx>
    <mdx n="0" f="v">
      <t c="3">
        <n x="177"/>
        <n x="445"/>
        <n x="231"/>
      </t>
    </mdx>
    <mdx n="0" f="v">
      <t c="3">
        <n x="177"/>
        <n x="443"/>
        <n x="231"/>
      </t>
    </mdx>
    <mdx n="0" f="v">
      <t c="2">
        <n x="177"/>
        <n x="193"/>
      </t>
    </mdx>
    <mdx n="0" f="v">
      <t c="3">
        <n x="177"/>
        <n x="433"/>
        <n x="231"/>
      </t>
    </mdx>
    <mdx n="0" f="v">
      <t c="2">
        <n x="117"/>
        <n x="231"/>
      </t>
    </mdx>
    <mdx n="0" f="v">
      <t c="3">
        <n x="117"/>
        <n x="445"/>
        <n x="231"/>
      </t>
    </mdx>
    <mdx n="0" f="v">
      <t c="3">
        <n x="117"/>
        <n x="433"/>
        <n x="231"/>
      </t>
    </mdx>
    <mdx n="0" f="v">
      <t c="3">
        <n x="117"/>
        <n x="272"/>
        <n x="231"/>
      </t>
    </mdx>
    <mdx n="0" f="v">
      <t c="2">
        <n x="117"/>
        <n x="193"/>
      </t>
    </mdx>
    <mdx n="0" f="v">
      <t c="3">
        <n x="117"/>
        <n x="443"/>
        <n x="231"/>
      </t>
    </mdx>
    <mdx n="0" f="v">
      <t c="3">
        <n x="218"/>
        <n x="445"/>
        <n x="231"/>
      </t>
    </mdx>
    <mdx n="0" f="v">
      <t c="3">
        <n x="218"/>
        <n x="443"/>
        <n x="231"/>
      </t>
    </mdx>
    <mdx n="0" f="v">
      <t c="3">
        <n x="218"/>
        <n x="433"/>
        <n x="231"/>
      </t>
    </mdx>
    <mdx n="0" f="v">
      <t c="2">
        <n x="218"/>
        <n x="231"/>
      </t>
    </mdx>
    <mdx n="0" f="v">
      <t c="3">
        <n x="218"/>
        <n x="272"/>
        <n x="231"/>
      </t>
    </mdx>
    <mdx n="0" f="v">
      <t c="2">
        <n x="218"/>
        <n x="193"/>
      </t>
    </mdx>
    <mdx n="0" f="v">
      <t c="3">
        <n x="63"/>
        <n x="445"/>
        <n x="231"/>
      </t>
    </mdx>
    <mdx n="0" f="v">
      <t c="3">
        <n x="63"/>
        <n x="443"/>
        <n x="231"/>
      </t>
    </mdx>
    <mdx n="0" f="v">
      <t c="3">
        <n x="63"/>
        <n x="433"/>
        <n x="231"/>
      </t>
    </mdx>
    <mdx n="0" f="v">
      <t c="2">
        <n x="63"/>
        <n x="231"/>
      </t>
    </mdx>
    <mdx n="0" f="v">
      <t c="3">
        <n x="63"/>
        <n x="272"/>
        <n x="231"/>
      </t>
    </mdx>
    <mdx n="0" f="v">
      <t c="2">
        <n x="63"/>
        <n x="193"/>
      </t>
    </mdx>
    <mdx n="0" f="v">
      <t c="3">
        <n x="257"/>
        <n x="272"/>
        <n x="231"/>
      </t>
    </mdx>
    <mdx n="0" f="v">
      <t c="3">
        <n x="257"/>
        <n x="443"/>
        <n x="231"/>
      </t>
    </mdx>
    <mdx n="0" f="v">
      <t c="3">
        <n x="257"/>
        <n x="433"/>
        <n x="231"/>
      </t>
    </mdx>
    <mdx n="0" f="v">
      <t c="2">
        <n x="257"/>
        <n x="193"/>
      </t>
    </mdx>
    <mdx n="0" f="v">
      <t c="3">
        <n x="257"/>
        <n x="445"/>
        <n x="231"/>
      </t>
    </mdx>
    <mdx n="0" f="v">
      <t c="2">
        <n x="257"/>
        <n x="231"/>
      </t>
    </mdx>
    <mdx n="0" f="v">
      <t c="3">
        <n x="185"/>
        <n x="445"/>
        <n x="231"/>
      </t>
    </mdx>
    <mdx n="0" f="v">
      <t c="2">
        <n x="185"/>
        <n x="193"/>
      </t>
    </mdx>
    <mdx n="0" f="v">
      <t c="2">
        <n x="185"/>
        <n x="231"/>
      </t>
    </mdx>
    <mdx n="0" f="v">
      <t c="3">
        <n x="185"/>
        <n x="443"/>
        <n x="231"/>
      </t>
    </mdx>
    <mdx n="0" f="v">
      <t c="3">
        <n x="185"/>
        <n x="433"/>
        <n x="231"/>
      </t>
    </mdx>
    <mdx n="0" f="v">
      <t c="3">
        <n x="185"/>
        <n x="272"/>
        <n x="231"/>
      </t>
    </mdx>
    <mdx n="0" f="v">
      <t c="3">
        <n x="197"/>
        <n x="272"/>
        <n x="231"/>
      </t>
    </mdx>
    <mdx n="0" f="v">
      <t c="2">
        <n x="197"/>
        <n x="193"/>
      </t>
    </mdx>
    <mdx n="0" f="v">
      <t c="3">
        <n x="197"/>
        <n x="445"/>
        <n x="231"/>
      </t>
    </mdx>
    <mdx n="0" f="v">
      <t c="2">
        <n x="197"/>
        <n x="231"/>
      </t>
    </mdx>
    <mdx n="0" f="v">
      <t c="3">
        <n x="197"/>
        <n x="443"/>
        <n x="231"/>
      </t>
    </mdx>
    <mdx n="0" f="v">
      <t c="3">
        <n x="197"/>
        <n x="433"/>
        <n x="231"/>
      </t>
    </mdx>
    <mdx n="0" f="v">
      <t c="3">
        <n x="226"/>
        <n x="443"/>
        <n x="231"/>
      </t>
    </mdx>
    <mdx n="0" f="v">
      <t c="2">
        <n x="226"/>
        <n x="193"/>
      </t>
    </mdx>
    <mdx n="0" f="v">
      <t c="3">
        <n x="226"/>
        <n x="433"/>
        <n x="231"/>
      </t>
    </mdx>
    <mdx n="0" f="v">
      <t c="3">
        <n x="226"/>
        <n x="272"/>
        <n x="231"/>
      </t>
    </mdx>
    <mdx n="0" f="v">
      <t c="3">
        <n x="226"/>
        <n x="445"/>
        <n x="231"/>
      </t>
    </mdx>
    <mdx n="0" f="v">
      <t c="2">
        <n x="226"/>
        <n x="231"/>
      </t>
    </mdx>
    <mdx n="0" f="v">
      <t c="3">
        <n x="71"/>
        <n x="443"/>
        <n x="231"/>
      </t>
    </mdx>
    <mdx n="0" f="v">
      <t c="2">
        <n x="71"/>
        <n x="193"/>
      </t>
    </mdx>
    <mdx n="0" f="v">
      <t c="3">
        <n x="71"/>
        <n x="433"/>
        <n x="231"/>
      </t>
    </mdx>
    <mdx n="0" f="v">
      <t c="3">
        <n x="71"/>
        <n x="272"/>
        <n x="231"/>
      </t>
    </mdx>
    <mdx n="0" f="v">
      <t c="3">
        <n x="71"/>
        <n x="445"/>
        <n x="231"/>
      </t>
    </mdx>
    <mdx n="0" f="v">
      <t c="2">
        <n x="71"/>
        <n x="231"/>
      </t>
    </mdx>
    <mdx n="0" f="v">
      <t c="3">
        <n x="265"/>
        <n x="433"/>
        <n x="231"/>
      </t>
    </mdx>
    <mdx n="0" f="v">
      <t c="3">
        <n x="265"/>
        <n x="272"/>
        <n x="231"/>
      </t>
    </mdx>
    <mdx n="0" f="v">
      <t c="2">
        <n x="265"/>
        <n x="193"/>
      </t>
    </mdx>
    <mdx n="0" f="v">
      <t c="3">
        <n x="265"/>
        <n x="445"/>
        <n x="231"/>
      </t>
    </mdx>
    <mdx n="0" f="v">
      <t c="2">
        <n x="265"/>
        <n x="231"/>
      </t>
    </mdx>
    <mdx n="0" f="v">
      <t c="3">
        <n x="265"/>
        <n x="443"/>
        <n x="231"/>
      </t>
    </mdx>
    <mdx n="0" f="v">
      <t c="3">
        <n x="40"/>
        <n x="272"/>
        <n x="231"/>
      </t>
    </mdx>
    <mdx n="0" f="v">
      <t c="3">
        <n x="101"/>
        <n x="272"/>
        <n x="231"/>
      </t>
    </mdx>
    <mdx n="0" f="v">
      <t c="3">
        <n x="152"/>
        <n x="272"/>
        <n x="231"/>
      </t>
    </mdx>
    <mdx n="0" f="v">
      <t c="3">
        <n x="148"/>
        <n x="272"/>
        <n x="231"/>
      </t>
    </mdx>
    <mdx n="0" f="v">
      <t c="3">
        <n x="146"/>
        <n x="272"/>
        <n x="231"/>
      </t>
    </mdx>
    <mdx n="0" f="v">
      <t c="3">
        <n x="77"/>
        <n x="272"/>
        <n x="231"/>
      </t>
    </mdx>
    <mdx n="0" f="v">
      <t c="3">
        <n x="271"/>
        <n x="272"/>
        <n x="231"/>
      </t>
    </mdx>
    <mdx n="0" f="v">
      <t c="3">
        <n x="153"/>
        <n x="272"/>
        <n x="231"/>
      </t>
    </mdx>
    <mdx n="0" f="v">
      <t c="3">
        <n x="149"/>
        <n x="272"/>
        <n x="231"/>
      </t>
    </mdx>
    <mdx n="0" f="v">
      <t c="3">
        <n x="158"/>
        <n x="272"/>
        <n x="231"/>
      </t>
    </mdx>
    <mdx n="0" f="v">
      <t c="3">
        <n x="24"/>
        <n x="272"/>
        <n x="231"/>
      </t>
    </mdx>
    <mdx n="0" f="v">
      <t c="3">
        <n x="251"/>
        <n x="272"/>
        <n x="231"/>
      </t>
    </mdx>
    <mdx n="0" f="v">
      <t c="3">
        <n x="20"/>
        <n x="272"/>
        <n x="231"/>
      </t>
    </mdx>
    <mdx n="0" f="v">
      <t c="3">
        <n x="150"/>
        <n x="272"/>
        <n x="231"/>
      </t>
    </mdx>
    <mdx n="0" f="v">
      <t c="3">
        <n x="147"/>
        <n x="272"/>
        <n x="231"/>
      </t>
    </mdx>
    <mdx n="0" f="v">
      <t c="3">
        <n x="145"/>
        <n x="272"/>
        <n x="231"/>
      </t>
    </mdx>
    <mdx n="0" f="v">
      <t c="3">
        <n x="136"/>
        <n x="272"/>
        <n x="231"/>
      </t>
    </mdx>
    <mdx n="0" f="v">
      <t c="3">
        <n x="139"/>
        <n x="272"/>
        <n x="231"/>
      </t>
    </mdx>
    <mdx n="0" f="v">
      <t c="3">
        <n x="97"/>
        <n x="272"/>
        <n x="231"/>
      </t>
    </mdx>
    <mdx n="0" f="v">
      <t c="3">
        <n x="151"/>
        <n x="272"/>
        <n x="231"/>
      </t>
    </mdx>
    <mdx n="0" f="v">
      <t c="3">
        <n x="102"/>
        <n x="272"/>
        <n x="231"/>
      </t>
    </mdx>
    <mdx n="0" f="v">
      <t c="3">
        <n x="140"/>
        <n x="272"/>
        <n x="231"/>
      </t>
    </mdx>
    <mdx n="0" f="v">
      <t c="3">
        <n x="98"/>
        <n x="272"/>
        <n x="231"/>
      </t>
    </mdx>
    <mdx n="0" f="v">
      <t c="3">
        <n x="113"/>
        <n x="272"/>
        <n x="231"/>
      </t>
    </mdx>
    <mdx n="0" f="v">
      <t c="3">
        <n x="112"/>
        <n x="272"/>
        <n x="231"/>
      </t>
    </mdx>
    <mdx n="0" f="v">
      <t c="3">
        <n x="111"/>
        <n x="272"/>
        <n x="231"/>
      </t>
    </mdx>
    <mdx n="0" f="v">
      <t c="3">
        <n x="110"/>
        <n x="272"/>
        <n x="231"/>
      </t>
    </mdx>
    <mdx n="0" f="v">
      <t c="3">
        <n x="109"/>
        <n x="272"/>
        <n x="231"/>
      </t>
    </mdx>
    <mdx n="0" f="v">
      <t c="3">
        <n x="108"/>
        <n x="272"/>
        <n x="231"/>
      </t>
    </mdx>
    <mdx n="0" f="v">
      <t c="3">
        <n x="107"/>
        <n x="272"/>
        <n x="231"/>
      </t>
    </mdx>
    <mdx n="0" f="v">
      <t c="3">
        <n x="106"/>
        <n x="272"/>
        <n x="231"/>
      </t>
    </mdx>
    <mdx n="0" f="v">
      <t c="3">
        <n x="105"/>
        <n x="272"/>
        <n x="231"/>
      </t>
    </mdx>
    <mdx n="0" f="v">
      <t c="3">
        <n x="25"/>
        <n x="272"/>
        <n x="231"/>
      </t>
    </mdx>
    <mdx n="0" f="v">
      <t c="3">
        <n x="21"/>
        <n x="272"/>
        <n x="231"/>
      </t>
    </mdx>
    <mdx n="0" f="v">
      <t c="3">
        <n x="104"/>
        <n x="272"/>
        <n x="231"/>
      </t>
    </mdx>
    <mdx n="0" f="v">
      <t c="3">
        <n x="103"/>
        <n x="272"/>
        <n x="231"/>
      </t>
    </mdx>
    <mdx n="0" f="v">
      <t c="3">
        <n x="99"/>
        <n x="272"/>
        <n x="231"/>
      </t>
    </mdx>
    <mdx n="0" f="v">
      <t c="3">
        <n x="26"/>
        <n x="272"/>
        <n x="231"/>
      </t>
    </mdx>
    <mdx n="0" f="v">
      <t c="3">
        <n x="22"/>
        <n x="272"/>
        <n x="231"/>
      </t>
    </mdx>
    <mdx n="0" f="v">
      <t c="3">
        <n x="35"/>
        <n x="272"/>
        <n x="231"/>
      </t>
    </mdx>
    <mdx n="0" f="v">
      <t c="3">
        <n x="34"/>
        <n x="272"/>
        <n x="231"/>
      </t>
    </mdx>
    <mdx n="0" f="v">
      <t c="3">
        <n x="33"/>
        <n x="272"/>
        <n x="231"/>
      </t>
    </mdx>
    <mdx n="0" f="v">
      <t c="3">
        <n x="32"/>
        <n x="272"/>
        <n x="231"/>
      </t>
    </mdx>
    <mdx n="0" f="v">
      <t c="3">
        <n x="31"/>
        <n x="272"/>
        <n x="231"/>
      </t>
    </mdx>
    <mdx n="0" f="v">
      <t c="3">
        <n x="30"/>
        <n x="272"/>
        <n x="231"/>
      </t>
    </mdx>
    <mdx n="0" f="v">
      <t c="3">
        <n x="29"/>
        <n x="272"/>
        <n x="231"/>
      </t>
    </mdx>
    <mdx n="0" f="v">
      <t c="3">
        <n x="28"/>
        <n x="272"/>
        <n x="231"/>
      </t>
    </mdx>
    <mdx n="0" f="v">
      <t c="3">
        <n x="27"/>
        <n x="272"/>
        <n x="231"/>
      </t>
    </mdx>
  </mdxMetadata>
  <valueMetadata count="4921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  <bk>
      <rc t="1" v="64"/>
    </bk>
    <bk>
      <rc t="1" v="65"/>
    </bk>
    <bk>
      <rc t="1" v="66"/>
    </bk>
    <bk>
      <rc t="1" v="67"/>
    </bk>
    <bk>
      <rc t="1" v="68"/>
    </bk>
    <bk>
      <rc t="1" v="69"/>
    </bk>
    <bk>
      <rc t="1" v="70"/>
    </bk>
    <bk>
      <rc t="1" v="71"/>
    </bk>
    <bk>
      <rc t="1" v="72"/>
    </bk>
    <bk>
      <rc t="1" v="73"/>
    </bk>
    <bk>
      <rc t="1" v="74"/>
    </bk>
    <bk>
      <rc t="1" v="75"/>
    </bk>
    <bk>
      <rc t="1" v="76"/>
    </bk>
    <bk>
      <rc t="1" v="77"/>
    </bk>
    <bk>
      <rc t="1" v="78"/>
    </bk>
    <bk>
      <rc t="1" v="79"/>
    </bk>
    <bk>
      <rc t="1" v="80"/>
    </bk>
    <bk>
      <rc t="1" v="81"/>
    </bk>
    <bk>
      <rc t="1" v="82"/>
    </bk>
    <bk>
      <rc t="1" v="83"/>
    </bk>
    <bk>
      <rc t="1" v="84"/>
    </bk>
    <bk>
      <rc t="1" v="85"/>
    </bk>
    <bk>
      <rc t="1" v="86"/>
    </bk>
    <bk>
      <rc t="1" v="87"/>
    </bk>
    <bk>
      <rc t="1" v="88"/>
    </bk>
    <bk>
      <rc t="1" v="89"/>
    </bk>
    <bk>
      <rc t="1" v="90"/>
    </bk>
    <bk>
      <rc t="1" v="91"/>
    </bk>
    <bk>
      <rc t="1" v="92"/>
    </bk>
    <bk>
      <rc t="1" v="93"/>
    </bk>
    <bk>
      <rc t="1" v="94"/>
    </bk>
    <bk>
      <rc t="1" v="95"/>
    </bk>
    <bk>
      <rc t="1" v="96"/>
    </bk>
    <bk>
      <rc t="1" v="97"/>
    </bk>
    <bk>
      <rc t="1" v="98"/>
    </bk>
    <bk>
      <rc t="1" v="99"/>
    </bk>
    <bk>
      <rc t="1" v="100"/>
    </bk>
    <bk>
      <rc t="1" v="101"/>
    </bk>
    <bk>
      <rc t="1" v="102"/>
    </bk>
    <bk>
      <rc t="1" v="103"/>
    </bk>
    <bk>
      <rc t="1" v="104"/>
    </bk>
    <bk>
      <rc t="1" v="105"/>
    </bk>
    <bk>
      <rc t="1" v="106"/>
    </bk>
    <bk>
      <rc t="1" v="107"/>
    </bk>
    <bk>
      <rc t="1" v="108"/>
    </bk>
    <bk>
      <rc t="1" v="109"/>
    </bk>
    <bk>
      <rc t="1" v="110"/>
    </bk>
    <bk>
      <rc t="1" v="111"/>
    </bk>
    <bk>
      <rc t="1" v="112"/>
    </bk>
    <bk>
      <rc t="1" v="113"/>
    </bk>
    <bk>
      <rc t="1" v="114"/>
    </bk>
    <bk>
      <rc t="1" v="115"/>
    </bk>
    <bk>
      <rc t="1" v="116"/>
    </bk>
    <bk>
      <rc t="1" v="117"/>
    </bk>
    <bk>
      <rc t="1" v="118"/>
    </bk>
    <bk>
      <rc t="1" v="119"/>
    </bk>
    <bk>
      <rc t="1" v="120"/>
    </bk>
    <bk>
      <rc t="1" v="121"/>
    </bk>
    <bk>
      <rc t="1" v="122"/>
    </bk>
    <bk>
      <rc t="1" v="123"/>
    </bk>
    <bk>
      <rc t="1" v="124"/>
    </bk>
    <bk>
      <rc t="1" v="125"/>
    </bk>
    <bk>
      <rc t="1" v="126"/>
    </bk>
    <bk>
      <rc t="1" v="127"/>
    </bk>
    <bk>
      <rc t="1" v="128"/>
    </bk>
    <bk>
      <rc t="1" v="129"/>
    </bk>
    <bk>
      <rc t="1" v="130"/>
    </bk>
    <bk>
      <rc t="1" v="131"/>
    </bk>
    <bk>
      <rc t="1" v="132"/>
    </bk>
    <bk>
      <rc t="1" v="133"/>
    </bk>
    <bk>
      <rc t="1" v="134"/>
    </bk>
    <bk>
      <rc t="1" v="135"/>
    </bk>
    <bk>
      <rc t="1" v="136"/>
    </bk>
    <bk>
      <rc t="1" v="137"/>
    </bk>
    <bk>
      <rc t="1" v="138"/>
    </bk>
    <bk>
      <rc t="1" v="139"/>
    </bk>
    <bk>
      <rc t="1" v="140"/>
    </bk>
    <bk>
      <rc t="1" v="141"/>
    </bk>
    <bk>
      <rc t="1" v="142"/>
    </bk>
    <bk>
      <rc t="1" v="143"/>
    </bk>
    <bk>
      <rc t="1" v="144"/>
    </bk>
    <bk>
      <rc t="1" v="145"/>
    </bk>
    <bk>
      <rc t="1" v="146"/>
    </bk>
    <bk>
      <rc t="1" v="147"/>
    </bk>
    <bk>
      <rc t="1" v="148"/>
    </bk>
    <bk>
      <rc t="1" v="149"/>
    </bk>
    <bk>
      <rc t="1" v="150"/>
    </bk>
    <bk>
      <rc t="1" v="151"/>
    </bk>
    <bk>
      <rc t="1" v="152"/>
    </bk>
    <bk>
      <rc t="1" v="153"/>
    </bk>
    <bk>
      <rc t="1" v="154"/>
    </bk>
    <bk>
      <rc t="1" v="155"/>
    </bk>
    <bk>
      <rc t="1" v="156"/>
    </bk>
    <bk>
      <rc t="1" v="157"/>
    </bk>
    <bk>
      <rc t="1" v="158"/>
    </bk>
    <bk>
      <rc t="1" v="159"/>
    </bk>
    <bk>
      <rc t="1" v="160"/>
    </bk>
    <bk>
      <rc t="1" v="161"/>
    </bk>
    <bk>
      <rc t="1" v="162"/>
    </bk>
    <bk>
      <rc t="1" v="163"/>
    </bk>
    <bk>
      <rc t="1" v="164"/>
    </bk>
    <bk>
      <rc t="1" v="165"/>
    </bk>
    <bk>
      <rc t="1" v="166"/>
    </bk>
    <bk>
      <rc t="1" v="167"/>
    </bk>
    <bk>
      <rc t="1" v="168"/>
    </bk>
    <bk>
      <rc t="1" v="169"/>
    </bk>
    <bk>
      <rc t="1" v="170"/>
    </bk>
    <bk>
      <rc t="1" v="171"/>
    </bk>
    <bk>
      <rc t="1" v="172"/>
    </bk>
    <bk>
      <rc t="1" v="173"/>
    </bk>
    <bk>
      <rc t="1" v="174"/>
    </bk>
    <bk>
      <rc t="1" v="175"/>
    </bk>
    <bk>
      <rc t="1" v="176"/>
    </bk>
    <bk>
      <rc t="1" v="177"/>
    </bk>
    <bk>
      <rc t="1" v="178"/>
    </bk>
    <bk>
      <rc t="1" v="179"/>
    </bk>
    <bk>
      <rc t="1" v="180"/>
    </bk>
    <bk>
      <rc t="1" v="181"/>
    </bk>
    <bk>
      <rc t="1" v="182"/>
    </bk>
    <bk>
      <rc t="1" v="183"/>
    </bk>
    <bk>
      <rc t="1" v="184"/>
    </bk>
    <bk>
      <rc t="1" v="185"/>
    </bk>
    <bk>
      <rc t="1" v="186"/>
    </bk>
    <bk>
      <rc t="1" v="187"/>
    </bk>
    <bk>
      <rc t="1" v="188"/>
    </bk>
    <bk>
      <rc t="1" v="189"/>
    </bk>
    <bk>
      <rc t="1" v="190"/>
    </bk>
    <bk>
      <rc t="1" v="191"/>
    </bk>
    <bk>
      <rc t="1" v="192"/>
    </bk>
    <bk>
      <rc t="1" v="193"/>
    </bk>
    <bk>
      <rc t="1" v="194"/>
    </bk>
    <bk>
      <rc t="1" v="195"/>
    </bk>
    <bk>
      <rc t="1" v="196"/>
    </bk>
    <bk>
      <rc t="1" v="197"/>
    </bk>
    <bk>
      <rc t="1" v="198"/>
    </bk>
    <bk>
      <rc t="1" v="199"/>
    </bk>
    <bk>
      <rc t="1" v="200"/>
    </bk>
    <bk>
      <rc t="1" v="201"/>
    </bk>
    <bk>
      <rc t="1" v="202"/>
    </bk>
    <bk>
      <rc t="1" v="203"/>
    </bk>
    <bk>
      <rc t="1" v="204"/>
    </bk>
    <bk>
      <rc t="1" v="205"/>
    </bk>
    <bk>
      <rc t="1" v="206"/>
    </bk>
    <bk>
      <rc t="1" v="207"/>
    </bk>
    <bk>
      <rc t="1" v="208"/>
    </bk>
    <bk>
      <rc t="1" v="209"/>
    </bk>
    <bk>
      <rc t="1" v="210"/>
    </bk>
    <bk>
      <rc t="1" v="211"/>
    </bk>
    <bk>
      <rc t="1" v="212"/>
    </bk>
    <bk>
      <rc t="1" v="213"/>
    </bk>
    <bk>
      <rc t="1" v="214"/>
    </bk>
    <bk>
      <rc t="1" v="215"/>
    </bk>
    <bk>
      <rc t="1" v="216"/>
    </bk>
    <bk>
      <rc t="1" v="217"/>
    </bk>
    <bk>
      <rc t="1" v="218"/>
    </bk>
    <bk>
      <rc t="1" v="219"/>
    </bk>
    <bk>
      <rc t="1" v="220"/>
    </bk>
    <bk>
      <rc t="1" v="221"/>
    </bk>
    <bk>
      <rc t="1" v="222"/>
    </bk>
    <bk>
      <rc t="1" v="223"/>
    </bk>
    <bk>
      <rc t="1" v="224"/>
    </bk>
    <bk>
      <rc t="1" v="225"/>
    </bk>
    <bk>
      <rc t="1" v="226"/>
    </bk>
    <bk>
      <rc t="1" v="227"/>
    </bk>
    <bk>
      <rc t="1" v="228"/>
    </bk>
    <bk>
      <rc t="1" v="229"/>
    </bk>
    <bk>
      <rc t="1" v="230"/>
    </bk>
    <bk>
      <rc t="1" v="231"/>
    </bk>
    <bk>
      <rc t="1" v="232"/>
    </bk>
    <bk>
      <rc t="1" v="233"/>
    </bk>
    <bk>
      <rc t="1" v="234"/>
    </bk>
    <bk>
      <rc t="1" v="235"/>
    </bk>
    <bk>
      <rc t="1" v="236"/>
    </bk>
    <bk>
      <rc t="1" v="237"/>
    </bk>
    <bk>
      <rc t="1" v="238"/>
    </bk>
    <bk>
      <rc t="1" v="239"/>
    </bk>
    <bk>
      <rc t="1" v="240"/>
    </bk>
    <bk>
      <rc t="1" v="241"/>
    </bk>
    <bk>
      <rc t="1" v="242"/>
    </bk>
    <bk>
      <rc t="1" v="243"/>
    </bk>
    <bk>
      <rc t="1" v="244"/>
    </bk>
    <bk>
      <rc t="1" v="245"/>
    </bk>
    <bk>
      <rc t="1" v="246"/>
    </bk>
    <bk>
      <rc t="1" v="247"/>
    </bk>
    <bk>
      <rc t="1" v="248"/>
    </bk>
    <bk>
      <rc t="1" v="249"/>
    </bk>
    <bk>
      <rc t="1" v="250"/>
    </bk>
    <bk>
      <rc t="1" v="251"/>
    </bk>
    <bk>
      <rc t="1" v="252"/>
    </bk>
    <bk>
      <rc t="1" v="253"/>
    </bk>
    <bk>
      <rc t="1" v="254"/>
    </bk>
    <bk>
      <rc t="1" v="255"/>
    </bk>
    <bk>
      <rc t="1" v="256"/>
    </bk>
    <bk>
      <rc t="1" v="257"/>
    </bk>
    <bk>
      <rc t="1" v="258"/>
    </bk>
    <bk>
      <rc t="1" v="259"/>
    </bk>
    <bk>
      <rc t="1" v="260"/>
    </bk>
    <bk>
      <rc t="1" v="261"/>
    </bk>
    <bk>
      <rc t="1" v="262"/>
    </bk>
    <bk>
      <rc t="1" v="263"/>
    </bk>
    <bk>
      <rc t="1" v="264"/>
    </bk>
    <bk>
      <rc t="1" v="265"/>
    </bk>
    <bk>
      <rc t="1" v="266"/>
    </bk>
    <bk>
      <rc t="1" v="267"/>
    </bk>
    <bk>
      <rc t="1" v="268"/>
    </bk>
    <bk>
      <rc t="1" v="269"/>
    </bk>
    <bk>
      <rc t="1" v="270"/>
    </bk>
    <bk>
      <rc t="1" v="271"/>
    </bk>
    <bk>
      <rc t="1" v="272"/>
    </bk>
    <bk>
      <rc t="1" v="273"/>
    </bk>
    <bk>
      <rc t="1" v="274"/>
    </bk>
    <bk>
      <rc t="1" v="275"/>
    </bk>
    <bk>
      <rc t="1" v="276"/>
    </bk>
    <bk>
      <rc t="1" v="277"/>
    </bk>
    <bk>
      <rc t="1" v="278"/>
    </bk>
    <bk>
      <rc t="1" v="279"/>
    </bk>
    <bk>
      <rc t="1" v="280"/>
    </bk>
    <bk>
      <rc t="1" v="281"/>
    </bk>
    <bk>
      <rc t="1" v="282"/>
    </bk>
    <bk>
      <rc t="1" v="283"/>
    </bk>
    <bk>
      <rc t="1" v="284"/>
    </bk>
    <bk>
      <rc t="1" v="285"/>
    </bk>
    <bk>
      <rc t="1" v="286"/>
    </bk>
    <bk>
      <rc t="1" v="287"/>
    </bk>
    <bk>
      <rc t="1" v="288"/>
    </bk>
    <bk>
      <rc t="1" v="289"/>
    </bk>
    <bk>
      <rc t="1" v="290"/>
    </bk>
    <bk>
      <rc t="1" v="291"/>
    </bk>
    <bk>
      <rc t="1" v="292"/>
    </bk>
    <bk>
      <rc t="1" v="293"/>
    </bk>
    <bk>
      <rc t="1" v="294"/>
    </bk>
    <bk>
      <rc t="1" v="295"/>
    </bk>
    <bk>
      <rc t="1" v="296"/>
    </bk>
    <bk>
      <rc t="1" v="297"/>
    </bk>
    <bk>
      <rc t="1" v="298"/>
    </bk>
    <bk>
      <rc t="1" v="299"/>
    </bk>
    <bk>
      <rc t="1" v="300"/>
    </bk>
    <bk>
      <rc t="1" v="301"/>
    </bk>
    <bk>
      <rc t="1" v="302"/>
    </bk>
    <bk>
      <rc t="1" v="303"/>
    </bk>
    <bk>
      <rc t="1" v="304"/>
    </bk>
    <bk>
      <rc t="1" v="305"/>
    </bk>
    <bk>
      <rc t="1" v="306"/>
    </bk>
    <bk>
      <rc t="1" v="307"/>
    </bk>
    <bk>
      <rc t="1" v="308"/>
    </bk>
    <bk>
      <rc t="1" v="309"/>
    </bk>
    <bk>
      <rc t="1" v="310"/>
    </bk>
    <bk>
      <rc t="1" v="311"/>
    </bk>
    <bk>
      <rc t="1" v="312"/>
    </bk>
    <bk>
      <rc t="1" v="313"/>
    </bk>
    <bk>
      <rc t="1" v="314"/>
    </bk>
    <bk>
      <rc t="1" v="315"/>
    </bk>
    <bk>
      <rc t="1" v="316"/>
    </bk>
    <bk>
      <rc t="1" v="317"/>
    </bk>
    <bk>
      <rc t="1" v="318"/>
    </bk>
    <bk>
      <rc t="1" v="319"/>
    </bk>
    <bk>
      <rc t="1" v="320"/>
    </bk>
    <bk>
      <rc t="1" v="321"/>
    </bk>
    <bk>
      <rc t="1" v="322"/>
    </bk>
    <bk>
      <rc t="1" v="323"/>
    </bk>
    <bk>
      <rc t="1" v="324"/>
    </bk>
    <bk>
      <rc t="1" v="325"/>
    </bk>
    <bk>
      <rc t="1" v="326"/>
    </bk>
    <bk>
      <rc t="1" v="327"/>
    </bk>
    <bk>
      <rc t="1" v="328"/>
    </bk>
    <bk>
      <rc t="1" v="329"/>
    </bk>
    <bk>
      <rc t="1" v="330"/>
    </bk>
    <bk>
      <rc t="1" v="331"/>
    </bk>
    <bk>
      <rc t="1" v="332"/>
    </bk>
    <bk>
      <rc t="1" v="333"/>
    </bk>
    <bk>
      <rc t="1" v="334"/>
    </bk>
    <bk>
      <rc t="1" v="335"/>
    </bk>
    <bk>
      <rc t="1" v="336"/>
    </bk>
    <bk>
      <rc t="1" v="337"/>
    </bk>
    <bk>
      <rc t="1" v="338"/>
    </bk>
    <bk>
      <rc t="1" v="339"/>
    </bk>
    <bk>
      <rc t="1" v="340"/>
    </bk>
    <bk>
      <rc t="1" v="341"/>
    </bk>
    <bk>
      <rc t="1" v="342"/>
    </bk>
    <bk>
      <rc t="1" v="343"/>
    </bk>
    <bk>
      <rc t="1" v="344"/>
    </bk>
    <bk>
      <rc t="1" v="345"/>
    </bk>
    <bk>
      <rc t="1" v="346"/>
    </bk>
    <bk>
      <rc t="1" v="347"/>
    </bk>
    <bk>
      <rc t="1" v="348"/>
    </bk>
    <bk>
      <rc t="1" v="349"/>
    </bk>
    <bk>
      <rc t="1" v="350"/>
    </bk>
    <bk>
      <rc t="1" v="351"/>
    </bk>
    <bk>
      <rc t="1" v="352"/>
    </bk>
    <bk>
      <rc t="1" v="353"/>
    </bk>
    <bk>
      <rc t="1" v="354"/>
    </bk>
    <bk>
      <rc t="1" v="355"/>
    </bk>
    <bk>
      <rc t="1" v="356"/>
    </bk>
    <bk>
      <rc t="1" v="357"/>
    </bk>
    <bk>
      <rc t="1" v="358"/>
    </bk>
    <bk>
      <rc t="1" v="359"/>
    </bk>
    <bk>
      <rc t="1" v="360"/>
    </bk>
    <bk>
      <rc t="1" v="361"/>
    </bk>
    <bk>
      <rc t="1" v="362"/>
    </bk>
    <bk>
      <rc t="1" v="363"/>
    </bk>
    <bk>
      <rc t="1" v="364"/>
    </bk>
    <bk>
      <rc t="1" v="365"/>
    </bk>
    <bk>
      <rc t="1" v="366"/>
    </bk>
    <bk>
      <rc t="1" v="367"/>
    </bk>
    <bk>
      <rc t="1" v="368"/>
    </bk>
    <bk>
      <rc t="1" v="369"/>
    </bk>
    <bk>
      <rc t="1" v="370"/>
    </bk>
    <bk>
      <rc t="1" v="371"/>
    </bk>
    <bk>
      <rc t="1" v="372"/>
    </bk>
    <bk>
      <rc t="1" v="373"/>
    </bk>
    <bk>
      <rc t="1" v="374"/>
    </bk>
    <bk>
      <rc t="1" v="375"/>
    </bk>
    <bk>
      <rc t="1" v="376"/>
    </bk>
    <bk>
      <rc t="1" v="377"/>
    </bk>
    <bk>
      <rc t="1" v="378"/>
    </bk>
    <bk>
      <rc t="1" v="379"/>
    </bk>
    <bk>
      <rc t="1" v="380"/>
    </bk>
    <bk>
      <rc t="1" v="381"/>
    </bk>
    <bk>
      <rc t="1" v="382"/>
    </bk>
    <bk>
      <rc t="1" v="383"/>
    </bk>
    <bk>
      <rc t="1" v="384"/>
    </bk>
    <bk>
      <rc t="1" v="385"/>
    </bk>
    <bk>
      <rc t="1" v="386"/>
    </bk>
    <bk>
      <rc t="1" v="387"/>
    </bk>
    <bk>
      <rc t="1" v="388"/>
    </bk>
    <bk>
      <rc t="1" v="389"/>
    </bk>
    <bk>
      <rc t="1" v="390"/>
    </bk>
    <bk>
      <rc t="1" v="391"/>
    </bk>
    <bk>
      <rc t="1" v="392"/>
    </bk>
    <bk>
      <rc t="1" v="393"/>
    </bk>
    <bk>
      <rc t="1" v="394"/>
    </bk>
    <bk>
      <rc t="1" v="395"/>
    </bk>
    <bk>
      <rc t="1" v="396"/>
    </bk>
    <bk>
      <rc t="1" v="397"/>
    </bk>
    <bk>
      <rc t="1" v="398"/>
    </bk>
    <bk>
      <rc t="1" v="399"/>
    </bk>
    <bk>
      <rc t="1" v="400"/>
    </bk>
    <bk>
      <rc t="1" v="401"/>
    </bk>
    <bk>
      <rc t="1" v="402"/>
    </bk>
    <bk>
      <rc t="1" v="403"/>
    </bk>
    <bk>
      <rc t="1" v="404"/>
    </bk>
    <bk>
      <rc t="1" v="405"/>
    </bk>
    <bk>
      <rc t="1" v="406"/>
    </bk>
    <bk>
      <rc t="1" v="407"/>
    </bk>
    <bk>
      <rc t="1" v="408"/>
    </bk>
    <bk>
      <rc t="1" v="409"/>
    </bk>
    <bk>
      <rc t="1" v="410"/>
    </bk>
    <bk>
      <rc t="1" v="411"/>
    </bk>
    <bk>
      <rc t="1" v="412"/>
    </bk>
    <bk>
      <rc t="1" v="413"/>
    </bk>
    <bk>
      <rc t="1" v="414"/>
    </bk>
    <bk>
      <rc t="1" v="415"/>
    </bk>
    <bk>
      <rc t="1" v="416"/>
    </bk>
    <bk>
      <rc t="1" v="417"/>
    </bk>
    <bk>
      <rc t="1" v="418"/>
    </bk>
    <bk>
      <rc t="1" v="419"/>
    </bk>
    <bk>
      <rc t="1" v="420"/>
    </bk>
    <bk>
      <rc t="1" v="421"/>
    </bk>
    <bk>
      <rc t="1" v="422"/>
    </bk>
    <bk>
      <rc t="1" v="423"/>
    </bk>
    <bk>
      <rc t="1" v="424"/>
    </bk>
    <bk>
      <rc t="1" v="425"/>
    </bk>
    <bk>
      <rc t="1" v="426"/>
    </bk>
    <bk>
      <rc t="1" v="427"/>
    </bk>
    <bk>
      <rc t="1" v="428"/>
    </bk>
    <bk>
      <rc t="1" v="429"/>
    </bk>
    <bk>
      <rc t="1" v="430"/>
    </bk>
    <bk>
      <rc t="1" v="431"/>
    </bk>
    <bk>
      <rc t="1" v="432"/>
    </bk>
    <bk>
      <rc t="1" v="433"/>
    </bk>
    <bk>
      <rc t="1" v="434"/>
    </bk>
    <bk>
      <rc t="1" v="435"/>
    </bk>
    <bk>
      <rc t="1" v="436"/>
    </bk>
    <bk>
      <rc t="1" v="437"/>
    </bk>
    <bk>
      <rc t="1" v="438"/>
    </bk>
    <bk>
      <rc t="1" v="439"/>
    </bk>
    <bk>
      <rc t="1" v="440"/>
    </bk>
    <bk>
      <rc t="1" v="441"/>
    </bk>
    <bk>
      <rc t="1" v="442"/>
    </bk>
    <bk>
      <rc t="1" v="443"/>
    </bk>
    <bk>
      <rc t="1" v="444"/>
    </bk>
    <bk>
      <rc t="1" v="445"/>
    </bk>
    <bk>
      <rc t="1" v="446"/>
    </bk>
    <bk>
      <rc t="1" v="447"/>
    </bk>
    <bk>
      <rc t="1" v="448"/>
    </bk>
    <bk>
      <rc t="1" v="449"/>
    </bk>
    <bk>
      <rc t="1" v="450"/>
    </bk>
    <bk>
      <rc t="1" v="451"/>
    </bk>
    <bk>
      <rc t="1" v="452"/>
    </bk>
    <bk>
      <rc t="1" v="453"/>
    </bk>
    <bk>
      <rc t="1" v="454"/>
    </bk>
    <bk>
      <rc t="1" v="455"/>
    </bk>
    <bk>
      <rc t="1" v="456"/>
    </bk>
    <bk>
      <rc t="1" v="457"/>
    </bk>
    <bk>
      <rc t="1" v="458"/>
    </bk>
    <bk>
      <rc t="1" v="459"/>
    </bk>
    <bk>
      <rc t="1" v="460"/>
    </bk>
    <bk>
      <rc t="1" v="461"/>
    </bk>
    <bk>
      <rc t="1" v="462"/>
    </bk>
    <bk>
      <rc t="1" v="463"/>
    </bk>
    <bk>
      <rc t="1" v="464"/>
    </bk>
    <bk>
      <rc t="1" v="465"/>
    </bk>
    <bk>
      <rc t="1" v="466"/>
    </bk>
    <bk>
      <rc t="1" v="467"/>
    </bk>
    <bk>
      <rc t="1" v="468"/>
    </bk>
    <bk>
      <rc t="1" v="469"/>
    </bk>
    <bk>
      <rc t="1" v="470"/>
    </bk>
    <bk>
      <rc t="1" v="471"/>
    </bk>
    <bk>
      <rc t="1" v="472"/>
    </bk>
    <bk>
      <rc t="1" v="473"/>
    </bk>
    <bk>
      <rc t="1" v="474"/>
    </bk>
    <bk>
      <rc t="1" v="475"/>
    </bk>
    <bk>
      <rc t="1" v="476"/>
    </bk>
    <bk>
      <rc t="1" v="477"/>
    </bk>
    <bk>
      <rc t="1" v="478"/>
    </bk>
    <bk>
      <rc t="1" v="479"/>
    </bk>
    <bk>
      <rc t="1" v="480"/>
    </bk>
    <bk>
      <rc t="1" v="481"/>
    </bk>
    <bk>
      <rc t="1" v="482"/>
    </bk>
    <bk>
      <rc t="1" v="483"/>
    </bk>
    <bk>
      <rc t="1" v="484"/>
    </bk>
    <bk>
      <rc t="1" v="485"/>
    </bk>
    <bk>
      <rc t="1" v="486"/>
    </bk>
    <bk>
      <rc t="1" v="487"/>
    </bk>
    <bk>
      <rc t="1" v="488"/>
    </bk>
    <bk>
      <rc t="1" v="489"/>
    </bk>
    <bk>
      <rc t="1" v="490"/>
    </bk>
    <bk>
      <rc t="1" v="491"/>
    </bk>
    <bk>
      <rc t="1" v="492"/>
    </bk>
    <bk>
      <rc t="1" v="493"/>
    </bk>
    <bk>
      <rc t="1" v="494"/>
    </bk>
    <bk>
      <rc t="1" v="495"/>
    </bk>
    <bk>
      <rc t="1" v="496"/>
    </bk>
    <bk>
      <rc t="1" v="497"/>
    </bk>
    <bk>
      <rc t="1" v="498"/>
    </bk>
    <bk>
      <rc t="1" v="499"/>
    </bk>
    <bk>
      <rc t="1" v="500"/>
    </bk>
    <bk>
      <rc t="1" v="501"/>
    </bk>
    <bk>
      <rc t="1" v="502"/>
    </bk>
    <bk>
      <rc t="1" v="503"/>
    </bk>
    <bk>
      <rc t="1" v="504"/>
    </bk>
    <bk>
      <rc t="1" v="505"/>
    </bk>
    <bk>
      <rc t="1" v="506"/>
    </bk>
    <bk>
      <rc t="1" v="507"/>
    </bk>
    <bk>
      <rc t="1" v="508"/>
    </bk>
    <bk>
      <rc t="1" v="509"/>
    </bk>
    <bk>
      <rc t="1" v="510"/>
    </bk>
    <bk>
      <rc t="1" v="511"/>
    </bk>
    <bk>
      <rc t="1" v="512"/>
    </bk>
    <bk>
      <rc t="1" v="513"/>
    </bk>
    <bk>
      <rc t="1" v="514"/>
    </bk>
    <bk>
      <rc t="1" v="515"/>
    </bk>
    <bk>
      <rc t="1" v="516"/>
    </bk>
    <bk>
      <rc t="1" v="517"/>
    </bk>
    <bk>
      <rc t="1" v="518"/>
    </bk>
    <bk>
      <rc t="1" v="519"/>
    </bk>
    <bk>
      <rc t="1" v="520"/>
    </bk>
    <bk>
      <rc t="1" v="521"/>
    </bk>
    <bk>
      <rc t="1" v="522"/>
    </bk>
    <bk>
      <rc t="1" v="523"/>
    </bk>
    <bk>
      <rc t="1" v="524"/>
    </bk>
    <bk>
      <rc t="1" v="525"/>
    </bk>
    <bk>
      <rc t="1" v="526"/>
    </bk>
    <bk>
      <rc t="1" v="527"/>
    </bk>
    <bk>
      <rc t="1" v="528"/>
    </bk>
    <bk>
      <rc t="1" v="529"/>
    </bk>
    <bk>
      <rc t="1" v="530"/>
    </bk>
    <bk>
      <rc t="1" v="531"/>
    </bk>
    <bk>
      <rc t="1" v="532"/>
    </bk>
    <bk>
      <rc t="1" v="533"/>
    </bk>
    <bk>
      <rc t="1" v="534"/>
    </bk>
    <bk>
      <rc t="1" v="535"/>
    </bk>
    <bk>
      <rc t="1" v="536"/>
    </bk>
    <bk>
      <rc t="1" v="537"/>
    </bk>
    <bk>
      <rc t="1" v="538"/>
    </bk>
    <bk>
      <rc t="1" v="539"/>
    </bk>
    <bk>
      <rc t="1" v="540"/>
    </bk>
    <bk>
      <rc t="1" v="541"/>
    </bk>
    <bk>
      <rc t="1" v="542"/>
    </bk>
    <bk>
      <rc t="1" v="543"/>
    </bk>
    <bk>
      <rc t="1" v="544"/>
    </bk>
    <bk>
      <rc t="1" v="545"/>
    </bk>
    <bk>
      <rc t="1" v="546"/>
    </bk>
    <bk>
      <rc t="1" v="547"/>
    </bk>
    <bk>
      <rc t="1" v="548"/>
    </bk>
    <bk>
      <rc t="1" v="549"/>
    </bk>
    <bk>
      <rc t="1" v="550"/>
    </bk>
    <bk>
      <rc t="1" v="551"/>
    </bk>
    <bk>
      <rc t="1" v="552"/>
    </bk>
    <bk>
      <rc t="1" v="553"/>
    </bk>
    <bk>
      <rc t="1" v="554"/>
    </bk>
    <bk>
      <rc t="1" v="555"/>
    </bk>
    <bk>
      <rc t="1" v="556"/>
    </bk>
    <bk>
      <rc t="1" v="557"/>
    </bk>
    <bk>
      <rc t="1" v="558"/>
    </bk>
    <bk>
      <rc t="1" v="559"/>
    </bk>
    <bk>
      <rc t="1" v="560"/>
    </bk>
    <bk>
      <rc t="1" v="561"/>
    </bk>
    <bk>
      <rc t="1" v="562"/>
    </bk>
    <bk>
      <rc t="1" v="563"/>
    </bk>
    <bk>
      <rc t="1" v="564"/>
    </bk>
    <bk>
      <rc t="1" v="565"/>
    </bk>
    <bk>
      <rc t="1" v="566"/>
    </bk>
    <bk>
      <rc t="1" v="567"/>
    </bk>
    <bk>
      <rc t="1" v="568"/>
    </bk>
    <bk>
      <rc t="1" v="569"/>
    </bk>
    <bk>
      <rc t="1" v="570"/>
    </bk>
    <bk>
      <rc t="1" v="571"/>
    </bk>
    <bk>
      <rc t="1" v="572"/>
    </bk>
    <bk>
      <rc t="1" v="573"/>
    </bk>
    <bk>
      <rc t="1" v="574"/>
    </bk>
    <bk>
      <rc t="1" v="575"/>
    </bk>
    <bk>
      <rc t="1" v="576"/>
    </bk>
    <bk>
      <rc t="1" v="577"/>
    </bk>
    <bk>
      <rc t="1" v="578"/>
    </bk>
    <bk>
      <rc t="1" v="579"/>
    </bk>
    <bk>
      <rc t="1" v="580"/>
    </bk>
    <bk>
      <rc t="1" v="581"/>
    </bk>
    <bk>
      <rc t="1" v="582"/>
    </bk>
    <bk>
      <rc t="1" v="583"/>
    </bk>
    <bk>
      <rc t="1" v="584"/>
    </bk>
    <bk>
      <rc t="1" v="585"/>
    </bk>
    <bk>
      <rc t="1" v="586"/>
    </bk>
    <bk>
      <rc t="1" v="587"/>
    </bk>
    <bk>
      <rc t="1" v="588"/>
    </bk>
    <bk>
      <rc t="1" v="589"/>
    </bk>
    <bk>
      <rc t="1" v="590"/>
    </bk>
    <bk>
      <rc t="1" v="591"/>
    </bk>
    <bk>
      <rc t="1" v="592"/>
    </bk>
    <bk>
      <rc t="1" v="593"/>
    </bk>
    <bk>
      <rc t="1" v="594"/>
    </bk>
    <bk>
      <rc t="1" v="595"/>
    </bk>
    <bk>
      <rc t="1" v="596"/>
    </bk>
    <bk>
      <rc t="1" v="597"/>
    </bk>
    <bk>
      <rc t="1" v="598"/>
    </bk>
    <bk>
      <rc t="1" v="599"/>
    </bk>
    <bk>
      <rc t="1" v="600"/>
    </bk>
    <bk>
      <rc t="1" v="601"/>
    </bk>
    <bk>
      <rc t="1" v="602"/>
    </bk>
    <bk>
      <rc t="1" v="603"/>
    </bk>
    <bk>
      <rc t="1" v="604"/>
    </bk>
    <bk>
      <rc t="1" v="605"/>
    </bk>
    <bk>
      <rc t="1" v="606"/>
    </bk>
    <bk>
      <rc t="1" v="607"/>
    </bk>
    <bk>
      <rc t="1" v="608"/>
    </bk>
    <bk>
      <rc t="1" v="609"/>
    </bk>
    <bk>
      <rc t="1" v="610"/>
    </bk>
    <bk>
      <rc t="1" v="611"/>
    </bk>
    <bk>
      <rc t="1" v="612"/>
    </bk>
    <bk>
      <rc t="1" v="613"/>
    </bk>
    <bk>
      <rc t="1" v="614"/>
    </bk>
    <bk>
      <rc t="1" v="615"/>
    </bk>
    <bk>
      <rc t="1" v="616"/>
    </bk>
    <bk>
      <rc t="1" v="617"/>
    </bk>
    <bk>
      <rc t="1" v="618"/>
    </bk>
    <bk>
      <rc t="1" v="619"/>
    </bk>
    <bk>
      <rc t="1" v="620"/>
    </bk>
    <bk>
      <rc t="1" v="621"/>
    </bk>
    <bk>
      <rc t="1" v="622"/>
    </bk>
    <bk>
      <rc t="1" v="623"/>
    </bk>
    <bk>
      <rc t="1" v="624"/>
    </bk>
    <bk>
      <rc t="1" v="625"/>
    </bk>
    <bk>
      <rc t="1" v="626"/>
    </bk>
    <bk>
      <rc t="1" v="627"/>
    </bk>
    <bk>
      <rc t="1" v="628"/>
    </bk>
    <bk>
      <rc t="1" v="629"/>
    </bk>
    <bk>
      <rc t="1" v="630"/>
    </bk>
    <bk>
      <rc t="1" v="631"/>
    </bk>
    <bk>
      <rc t="1" v="632"/>
    </bk>
    <bk>
      <rc t="1" v="633"/>
    </bk>
    <bk>
      <rc t="1" v="634"/>
    </bk>
    <bk>
      <rc t="1" v="635"/>
    </bk>
    <bk>
      <rc t="1" v="636"/>
    </bk>
    <bk>
      <rc t="1" v="637"/>
    </bk>
    <bk>
      <rc t="1" v="638"/>
    </bk>
    <bk>
      <rc t="1" v="639"/>
    </bk>
    <bk>
      <rc t="1" v="640"/>
    </bk>
    <bk>
      <rc t="1" v="641"/>
    </bk>
    <bk>
      <rc t="1" v="642"/>
    </bk>
    <bk>
      <rc t="1" v="643"/>
    </bk>
    <bk>
      <rc t="1" v="644"/>
    </bk>
    <bk>
      <rc t="1" v="645"/>
    </bk>
    <bk>
      <rc t="1" v="646"/>
    </bk>
    <bk>
      <rc t="1" v="647"/>
    </bk>
    <bk>
      <rc t="1" v="648"/>
    </bk>
    <bk>
      <rc t="1" v="649"/>
    </bk>
    <bk>
      <rc t="1" v="650"/>
    </bk>
    <bk>
      <rc t="1" v="651"/>
    </bk>
    <bk>
      <rc t="1" v="652"/>
    </bk>
    <bk>
      <rc t="1" v="653"/>
    </bk>
    <bk>
      <rc t="1" v="654"/>
    </bk>
    <bk>
      <rc t="1" v="655"/>
    </bk>
    <bk>
      <rc t="1" v="656"/>
    </bk>
    <bk>
      <rc t="1" v="657"/>
    </bk>
    <bk>
      <rc t="1" v="658"/>
    </bk>
    <bk>
      <rc t="1" v="659"/>
    </bk>
    <bk>
      <rc t="1" v="660"/>
    </bk>
    <bk>
      <rc t="1" v="661"/>
    </bk>
    <bk>
      <rc t="1" v="662"/>
    </bk>
    <bk>
      <rc t="1" v="663"/>
    </bk>
    <bk>
      <rc t="1" v="664"/>
    </bk>
    <bk>
      <rc t="1" v="665"/>
    </bk>
    <bk>
      <rc t="1" v="666"/>
    </bk>
    <bk>
      <rc t="1" v="667"/>
    </bk>
    <bk>
      <rc t="1" v="668"/>
    </bk>
    <bk>
      <rc t="1" v="669"/>
    </bk>
    <bk>
      <rc t="1" v="670"/>
    </bk>
    <bk>
      <rc t="1" v="671"/>
    </bk>
    <bk>
      <rc t="1" v="672"/>
    </bk>
    <bk>
      <rc t="1" v="673"/>
    </bk>
    <bk>
      <rc t="1" v="674"/>
    </bk>
    <bk>
      <rc t="1" v="675"/>
    </bk>
    <bk>
      <rc t="1" v="676"/>
    </bk>
    <bk>
      <rc t="1" v="677"/>
    </bk>
    <bk>
      <rc t="1" v="678"/>
    </bk>
    <bk>
      <rc t="1" v="679"/>
    </bk>
    <bk>
      <rc t="1" v="680"/>
    </bk>
    <bk>
      <rc t="1" v="681"/>
    </bk>
    <bk>
      <rc t="1" v="682"/>
    </bk>
    <bk>
      <rc t="1" v="683"/>
    </bk>
    <bk>
      <rc t="1" v="684"/>
    </bk>
    <bk>
      <rc t="1" v="685"/>
    </bk>
    <bk>
      <rc t="1" v="686"/>
    </bk>
    <bk>
      <rc t="1" v="687"/>
    </bk>
    <bk>
      <rc t="1" v="688"/>
    </bk>
    <bk>
      <rc t="1" v="689"/>
    </bk>
    <bk>
      <rc t="1" v="690"/>
    </bk>
    <bk>
      <rc t="1" v="691"/>
    </bk>
    <bk>
      <rc t="1" v="692"/>
    </bk>
    <bk>
      <rc t="1" v="693"/>
    </bk>
    <bk>
      <rc t="1" v="694"/>
    </bk>
    <bk>
      <rc t="1" v="695"/>
    </bk>
    <bk>
      <rc t="1" v="696"/>
    </bk>
    <bk>
      <rc t="1" v="697"/>
    </bk>
    <bk>
      <rc t="1" v="698"/>
    </bk>
    <bk>
      <rc t="1" v="699"/>
    </bk>
    <bk>
      <rc t="1" v="700"/>
    </bk>
    <bk>
      <rc t="1" v="701"/>
    </bk>
    <bk>
      <rc t="1" v="702"/>
    </bk>
    <bk>
      <rc t="1" v="703"/>
    </bk>
    <bk>
      <rc t="1" v="704"/>
    </bk>
    <bk>
      <rc t="1" v="705"/>
    </bk>
    <bk>
      <rc t="1" v="706"/>
    </bk>
    <bk>
      <rc t="1" v="707"/>
    </bk>
    <bk>
      <rc t="1" v="708"/>
    </bk>
    <bk>
      <rc t="1" v="709"/>
    </bk>
    <bk>
      <rc t="1" v="710"/>
    </bk>
    <bk>
      <rc t="1" v="711"/>
    </bk>
    <bk>
      <rc t="1" v="712"/>
    </bk>
    <bk>
      <rc t="1" v="713"/>
    </bk>
    <bk>
      <rc t="1" v="714"/>
    </bk>
    <bk>
      <rc t="1" v="715"/>
    </bk>
    <bk>
      <rc t="1" v="716"/>
    </bk>
    <bk>
      <rc t="1" v="717"/>
    </bk>
    <bk>
      <rc t="1" v="718"/>
    </bk>
    <bk>
      <rc t="1" v="719"/>
    </bk>
    <bk>
      <rc t="1" v="720"/>
    </bk>
    <bk>
      <rc t="1" v="721"/>
    </bk>
    <bk>
      <rc t="1" v="722"/>
    </bk>
    <bk>
      <rc t="1" v="723"/>
    </bk>
    <bk>
      <rc t="1" v="724"/>
    </bk>
    <bk>
      <rc t="1" v="725"/>
    </bk>
    <bk>
      <rc t="1" v="726"/>
    </bk>
    <bk>
      <rc t="1" v="727"/>
    </bk>
    <bk>
      <rc t="1" v="728"/>
    </bk>
    <bk>
      <rc t="1" v="729"/>
    </bk>
    <bk>
      <rc t="1" v="730"/>
    </bk>
    <bk>
      <rc t="1" v="731"/>
    </bk>
    <bk>
      <rc t="1" v="732"/>
    </bk>
    <bk>
      <rc t="1" v="733"/>
    </bk>
    <bk>
      <rc t="1" v="734"/>
    </bk>
    <bk>
      <rc t="1" v="735"/>
    </bk>
    <bk>
      <rc t="1" v="736"/>
    </bk>
    <bk>
      <rc t="1" v="737"/>
    </bk>
    <bk>
      <rc t="1" v="738"/>
    </bk>
    <bk>
      <rc t="1" v="739"/>
    </bk>
    <bk>
      <rc t="1" v="740"/>
    </bk>
    <bk>
      <rc t="1" v="741"/>
    </bk>
    <bk>
      <rc t="1" v="742"/>
    </bk>
    <bk>
      <rc t="1" v="743"/>
    </bk>
    <bk>
      <rc t="1" v="744"/>
    </bk>
    <bk>
      <rc t="1" v="745"/>
    </bk>
    <bk>
      <rc t="1" v="746"/>
    </bk>
    <bk>
      <rc t="1" v="747"/>
    </bk>
    <bk>
      <rc t="1" v="748"/>
    </bk>
    <bk>
      <rc t="1" v="749"/>
    </bk>
    <bk>
      <rc t="1" v="750"/>
    </bk>
    <bk>
      <rc t="1" v="751"/>
    </bk>
    <bk>
      <rc t="1" v="752"/>
    </bk>
    <bk>
      <rc t="1" v="753"/>
    </bk>
    <bk>
      <rc t="1" v="754"/>
    </bk>
    <bk>
      <rc t="1" v="755"/>
    </bk>
    <bk>
      <rc t="1" v="756"/>
    </bk>
    <bk>
      <rc t="1" v="757"/>
    </bk>
    <bk>
      <rc t="1" v="758"/>
    </bk>
    <bk>
      <rc t="1" v="759"/>
    </bk>
    <bk>
      <rc t="1" v="760"/>
    </bk>
    <bk>
      <rc t="1" v="761"/>
    </bk>
    <bk>
      <rc t="1" v="762"/>
    </bk>
    <bk>
      <rc t="1" v="763"/>
    </bk>
    <bk>
      <rc t="1" v="764"/>
    </bk>
    <bk>
      <rc t="1" v="765"/>
    </bk>
    <bk>
      <rc t="1" v="766"/>
    </bk>
    <bk>
      <rc t="1" v="767"/>
    </bk>
    <bk>
      <rc t="1" v="768"/>
    </bk>
    <bk>
      <rc t="1" v="769"/>
    </bk>
    <bk>
      <rc t="1" v="770"/>
    </bk>
    <bk>
      <rc t="1" v="771"/>
    </bk>
    <bk>
      <rc t="1" v="772"/>
    </bk>
    <bk>
      <rc t="1" v="773"/>
    </bk>
    <bk>
      <rc t="1" v="774"/>
    </bk>
    <bk>
      <rc t="1" v="775"/>
    </bk>
    <bk>
      <rc t="1" v="776"/>
    </bk>
    <bk>
      <rc t="1" v="777"/>
    </bk>
    <bk>
      <rc t="1" v="778"/>
    </bk>
    <bk>
      <rc t="1" v="779"/>
    </bk>
    <bk>
      <rc t="1" v="780"/>
    </bk>
    <bk>
      <rc t="1" v="781"/>
    </bk>
    <bk>
      <rc t="1" v="782"/>
    </bk>
    <bk>
      <rc t="1" v="783"/>
    </bk>
    <bk>
      <rc t="1" v="784"/>
    </bk>
    <bk>
      <rc t="1" v="785"/>
    </bk>
    <bk>
      <rc t="1" v="786"/>
    </bk>
    <bk>
      <rc t="1" v="787"/>
    </bk>
    <bk>
      <rc t="1" v="788"/>
    </bk>
    <bk>
      <rc t="1" v="789"/>
    </bk>
    <bk>
      <rc t="1" v="790"/>
    </bk>
    <bk>
      <rc t="1" v="791"/>
    </bk>
    <bk>
      <rc t="1" v="792"/>
    </bk>
    <bk>
      <rc t="1" v="793"/>
    </bk>
    <bk>
      <rc t="1" v="794"/>
    </bk>
    <bk>
      <rc t="1" v="795"/>
    </bk>
    <bk>
      <rc t="1" v="796"/>
    </bk>
    <bk>
      <rc t="1" v="797"/>
    </bk>
    <bk>
      <rc t="1" v="798"/>
    </bk>
    <bk>
      <rc t="1" v="799"/>
    </bk>
    <bk>
      <rc t="1" v="800"/>
    </bk>
    <bk>
      <rc t="1" v="801"/>
    </bk>
    <bk>
      <rc t="1" v="802"/>
    </bk>
    <bk>
      <rc t="1" v="803"/>
    </bk>
    <bk>
      <rc t="1" v="804"/>
    </bk>
    <bk>
      <rc t="1" v="805"/>
    </bk>
    <bk>
      <rc t="1" v="806"/>
    </bk>
    <bk>
      <rc t="1" v="807"/>
    </bk>
    <bk>
      <rc t="1" v="808"/>
    </bk>
    <bk>
      <rc t="1" v="809"/>
    </bk>
    <bk>
      <rc t="1" v="810"/>
    </bk>
    <bk>
      <rc t="1" v="811"/>
    </bk>
    <bk>
      <rc t="1" v="812"/>
    </bk>
    <bk>
      <rc t="1" v="813"/>
    </bk>
    <bk>
      <rc t="1" v="814"/>
    </bk>
    <bk>
      <rc t="1" v="815"/>
    </bk>
    <bk>
      <rc t="1" v="816"/>
    </bk>
    <bk>
      <rc t="1" v="817"/>
    </bk>
    <bk>
      <rc t="1" v="818"/>
    </bk>
    <bk>
      <rc t="1" v="819"/>
    </bk>
    <bk>
      <rc t="1" v="820"/>
    </bk>
    <bk>
      <rc t="1" v="821"/>
    </bk>
    <bk>
      <rc t="1" v="822"/>
    </bk>
    <bk>
      <rc t="1" v="823"/>
    </bk>
    <bk>
      <rc t="1" v="824"/>
    </bk>
    <bk>
      <rc t="1" v="825"/>
    </bk>
    <bk>
      <rc t="1" v="826"/>
    </bk>
    <bk>
      <rc t="1" v="827"/>
    </bk>
    <bk>
      <rc t="1" v="828"/>
    </bk>
    <bk>
      <rc t="1" v="829"/>
    </bk>
    <bk>
      <rc t="1" v="830"/>
    </bk>
    <bk>
      <rc t="1" v="831"/>
    </bk>
    <bk>
      <rc t="1" v="832"/>
    </bk>
    <bk>
      <rc t="1" v="833"/>
    </bk>
    <bk>
      <rc t="1" v="834"/>
    </bk>
    <bk>
      <rc t="1" v="835"/>
    </bk>
    <bk>
      <rc t="1" v="836"/>
    </bk>
    <bk>
      <rc t="1" v="837"/>
    </bk>
    <bk>
      <rc t="1" v="838"/>
    </bk>
    <bk>
      <rc t="1" v="839"/>
    </bk>
    <bk>
      <rc t="1" v="840"/>
    </bk>
    <bk>
      <rc t="1" v="841"/>
    </bk>
    <bk>
      <rc t="1" v="842"/>
    </bk>
    <bk>
      <rc t="1" v="843"/>
    </bk>
    <bk>
      <rc t="1" v="844"/>
    </bk>
    <bk>
      <rc t="1" v="845"/>
    </bk>
    <bk>
      <rc t="1" v="846"/>
    </bk>
    <bk>
      <rc t="1" v="847"/>
    </bk>
    <bk>
      <rc t="1" v="848"/>
    </bk>
    <bk>
      <rc t="1" v="849"/>
    </bk>
    <bk>
      <rc t="1" v="850"/>
    </bk>
    <bk>
      <rc t="1" v="851"/>
    </bk>
    <bk>
      <rc t="1" v="852"/>
    </bk>
    <bk>
      <rc t="1" v="853"/>
    </bk>
    <bk>
      <rc t="1" v="854"/>
    </bk>
    <bk>
      <rc t="1" v="855"/>
    </bk>
    <bk>
      <rc t="1" v="856"/>
    </bk>
    <bk>
      <rc t="1" v="857"/>
    </bk>
    <bk>
      <rc t="1" v="858"/>
    </bk>
    <bk>
      <rc t="1" v="859"/>
    </bk>
    <bk>
      <rc t="1" v="860"/>
    </bk>
    <bk>
      <rc t="1" v="861"/>
    </bk>
    <bk>
      <rc t="1" v="862"/>
    </bk>
    <bk>
      <rc t="1" v="863"/>
    </bk>
    <bk>
      <rc t="1" v="864"/>
    </bk>
    <bk>
      <rc t="1" v="865"/>
    </bk>
    <bk>
      <rc t="1" v="866"/>
    </bk>
    <bk>
      <rc t="1" v="867"/>
    </bk>
    <bk>
      <rc t="1" v="868"/>
    </bk>
    <bk>
      <rc t="1" v="869"/>
    </bk>
    <bk>
      <rc t="1" v="870"/>
    </bk>
    <bk>
      <rc t="1" v="871"/>
    </bk>
    <bk>
      <rc t="1" v="872"/>
    </bk>
    <bk>
      <rc t="1" v="873"/>
    </bk>
    <bk>
      <rc t="1" v="874"/>
    </bk>
    <bk>
      <rc t="1" v="875"/>
    </bk>
    <bk>
      <rc t="1" v="876"/>
    </bk>
    <bk>
      <rc t="1" v="877"/>
    </bk>
    <bk>
      <rc t="1" v="878"/>
    </bk>
    <bk>
      <rc t="1" v="879"/>
    </bk>
    <bk>
      <rc t="1" v="880"/>
    </bk>
    <bk>
      <rc t="1" v="881"/>
    </bk>
    <bk>
      <rc t="1" v="882"/>
    </bk>
    <bk>
      <rc t="1" v="883"/>
    </bk>
    <bk>
      <rc t="1" v="884"/>
    </bk>
    <bk>
      <rc t="1" v="885"/>
    </bk>
    <bk>
      <rc t="1" v="886"/>
    </bk>
    <bk>
      <rc t="1" v="887"/>
    </bk>
    <bk>
      <rc t="1" v="888"/>
    </bk>
    <bk>
      <rc t="1" v="889"/>
    </bk>
    <bk>
      <rc t="1" v="890"/>
    </bk>
    <bk>
      <rc t="1" v="891"/>
    </bk>
    <bk>
      <rc t="1" v="892"/>
    </bk>
    <bk>
      <rc t="1" v="893"/>
    </bk>
    <bk>
      <rc t="1" v="894"/>
    </bk>
    <bk>
      <rc t="1" v="895"/>
    </bk>
    <bk>
      <rc t="1" v="896"/>
    </bk>
    <bk>
      <rc t="1" v="897"/>
    </bk>
    <bk>
      <rc t="1" v="898"/>
    </bk>
    <bk>
      <rc t="1" v="899"/>
    </bk>
    <bk>
      <rc t="1" v="900"/>
    </bk>
    <bk>
      <rc t="1" v="901"/>
    </bk>
    <bk>
      <rc t="1" v="902"/>
    </bk>
    <bk>
      <rc t="1" v="903"/>
    </bk>
    <bk>
      <rc t="1" v="904"/>
    </bk>
    <bk>
      <rc t="1" v="905"/>
    </bk>
    <bk>
      <rc t="1" v="906"/>
    </bk>
    <bk>
      <rc t="1" v="907"/>
    </bk>
    <bk>
      <rc t="1" v="908"/>
    </bk>
    <bk>
      <rc t="1" v="909"/>
    </bk>
    <bk>
      <rc t="1" v="910"/>
    </bk>
    <bk>
      <rc t="1" v="911"/>
    </bk>
    <bk>
      <rc t="1" v="912"/>
    </bk>
    <bk>
      <rc t="1" v="913"/>
    </bk>
    <bk>
      <rc t="1" v="914"/>
    </bk>
    <bk>
      <rc t="1" v="915"/>
    </bk>
    <bk>
      <rc t="1" v="916"/>
    </bk>
    <bk>
      <rc t="1" v="917"/>
    </bk>
    <bk>
      <rc t="1" v="918"/>
    </bk>
    <bk>
      <rc t="1" v="919"/>
    </bk>
    <bk>
      <rc t="1" v="920"/>
    </bk>
    <bk>
      <rc t="1" v="921"/>
    </bk>
    <bk>
      <rc t="1" v="922"/>
    </bk>
    <bk>
      <rc t="1" v="923"/>
    </bk>
    <bk>
      <rc t="1" v="924"/>
    </bk>
    <bk>
      <rc t="1" v="925"/>
    </bk>
    <bk>
      <rc t="1" v="926"/>
    </bk>
    <bk>
      <rc t="1" v="927"/>
    </bk>
    <bk>
      <rc t="1" v="928"/>
    </bk>
    <bk>
      <rc t="1" v="929"/>
    </bk>
    <bk>
      <rc t="1" v="930"/>
    </bk>
    <bk>
      <rc t="1" v="931"/>
    </bk>
    <bk>
      <rc t="1" v="932"/>
    </bk>
    <bk>
      <rc t="1" v="933"/>
    </bk>
    <bk>
      <rc t="1" v="934"/>
    </bk>
    <bk>
      <rc t="1" v="935"/>
    </bk>
    <bk>
      <rc t="1" v="936"/>
    </bk>
    <bk>
      <rc t="1" v="937"/>
    </bk>
    <bk>
      <rc t="1" v="938"/>
    </bk>
    <bk>
      <rc t="1" v="939"/>
    </bk>
    <bk>
      <rc t="1" v="940"/>
    </bk>
    <bk>
      <rc t="1" v="941"/>
    </bk>
    <bk>
      <rc t="1" v="942"/>
    </bk>
    <bk>
      <rc t="1" v="943"/>
    </bk>
    <bk>
      <rc t="1" v="944"/>
    </bk>
    <bk>
      <rc t="1" v="945"/>
    </bk>
    <bk>
      <rc t="1" v="946"/>
    </bk>
    <bk>
      <rc t="1" v="947"/>
    </bk>
    <bk>
      <rc t="1" v="948"/>
    </bk>
    <bk>
      <rc t="1" v="949"/>
    </bk>
    <bk>
      <rc t="1" v="950"/>
    </bk>
    <bk>
      <rc t="1" v="951"/>
    </bk>
    <bk>
      <rc t="1" v="952"/>
    </bk>
    <bk>
      <rc t="1" v="953"/>
    </bk>
    <bk>
      <rc t="1" v="954"/>
    </bk>
    <bk>
      <rc t="1" v="955"/>
    </bk>
    <bk>
      <rc t="1" v="956"/>
    </bk>
    <bk>
      <rc t="1" v="957"/>
    </bk>
    <bk>
      <rc t="1" v="958"/>
    </bk>
    <bk>
      <rc t="1" v="959"/>
    </bk>
    <bk>
      <rc t="1" v="960"/>
    </bk>
    <bk>
      <rc t="1" v="961"/>
    </bk>
    <bk>
      <rc t="1" v="962"/>
    </bk>
    <bk>
      <rc t="1" v="963"/>
    </bk>
    <bk>
      <rc t="1" v="964"/>
    </bk>
    <bk>
      <rc t="1" v="965"/>
    </bk>
    <bk>
      <rc t="1" v="966"/>
    </bk>
    <bk>
      <rc t="1" v="967"/>
    </bk>
    <bk>
      <rc t="1" v="968"/>
    </bk>
    <bk>
      <rc t="1" v="969"/>
    </bk>
    <bk>
      <rc t="1" v="970"/>
    </bk>
    <bk>
      <rc t="1" v="971"/>
    </bk>
    <bk>
      <rc t="1" v="972"/>
    </bk>
    <bk>
      <rc t="1" v="973"/>
    </bk>
    <bk>
      <rc t="1" v="974"/>
    </bk>
    <bk>
      <rc t="1" v="975"/>
    </bk>
    <bk>
      <rc t="1" v="976"/>
    </bk>
    <bk>
      <rc t="1" v="977"/>
    </bk>
    <bk>
      <rc t="1" v="978"/>
    </bk>
    <bk>
      <rc t="1" v="979"/>
    </bk>
    <bk>
      <rc t="1" v="980"/>
    </bk>
    <bk>
      <rc t="1" v="981"/>
    </bk>
    <bk>
      <rc t="1" v="982"/>
    </bk>
    <bk>
      <rc t="1" v="983"/>
    </bk>
    <bk>
      <rc t="1" v="984"/>
    </bk>
    <bk>
      <rc t="1" v="985"/>
    </bk>
    <bk>
      <rc t="1" v="986"/>
    </bk>
    <bk>
      <rc t="1" v="987"/>
    </bk>
    <bk>
      <rc t="1" v="988"/>
    </bk>
    <bk>
      <rc t="1" v="989"/>
    </bk>
    <bk>
      <rc t="1" v="990"/>
    </bk>
    <bk>
      <rc t="1" v="991"/>
    </bk>
    <bk>
      <rc t="1" v="992"/>
    </bk>
    <bk>
      <rc t="1" v="993"/>
    </bk>
    <bk>
      <rc t="1" v="994"/>
    </bk>
    <bk>
      <rc t="1" v="995"/>
    </bk>
    <bk>
      <rc t="1" v="996"/>
    </bk>
    <bk>
      <rc t="1" v="997"/>
    </bk>
    <bk>
      <rc t="1" v="998"/>
    </bk>
    <bk>
      <rc t="1" v="999"/>
    </bk>
    <bk>
      <rc t="1" v="1000"/>
    </bk>
    <bk>
      <rc t="1" v="1001"/>
    </bk>
    <bk>
      <rc t="1" v="1002"/>
    </bk>
    <bk>
      <rc t="1" v="1003"/>
    </bk>
    <bk>
      <rc t="1" v="1004"/>
    </bk>
    <bk>
      <rc t="1" v="1005"/>
    </bk>
    <bk>
      <rc t="1" v="1006"/>
    </bk>
    <bk>
      <rc t="1" v="1007"/>
    </bk>
    <bk>
      <rc t="1" v="1008"/>
    </bk>
    <bk>
      <rc t="1" v="1009"/>
    </bk>
    <bk>
      <rc t="1" v="1010"/>
    </bk>
    <bk>
      <rc t="1" v="1011"/>
    </bk>
    <bk>
      <rc t="1" v="1012"/>
    </bk>
    <bk>
      <rc t="1" v="1013"/>
    </bk>
    <bk>
      <rc t="1" v="1014"/>
    </bk>
    <bk>
      <rc t="1" v="1015"/>
    </bk>
    <bk>
      <rc t="1" v="1016"/>
    </bk>
    <bk>
      <rc t="1" v="1017"/>
    </bk>
    <bk>
      <rc t="1" v="1018"/>
    </bk>
    <bk>
      <rc t="1" v="1019"/>
    </bk>
    <bk>
      <rc t="1" v="1020"/>
    </bk>
    <bk>
      <rc t="1" v="1021"/>
    </bk>
    <bk>
      <rc t="1" v="1022"/>
    </bk>
    <bk>
      <rc t="1" v="1023"/>
    </bk>
    <bk>
      <rc t="1" v="1024"/>
    </bk>
    <bk>
      <rc t="1" v="1025"/>
    </bk>
    <bk>
      <rc t="1" v="1026"/>
    </bk>
    <bk>
      <rc t="1" v="1027"/>
    </bk>
    <bk>
      <rc t="1" v="1028"/>
    </bk>
    <bk>
      <rc t="1" v="1029"/>
    </bk>
    <bk>
      <rc t="1" v="1030"/>
    </bk>
    <bk>
      <rc t="1" v="1031"/>
    </bk>
    <bk>
      <rc t="1" v="1032"/>
    </bk>
    <bk>
      <rc t="1" v="1033"/>
    </bk>
    <bk>
      <rc t="1" v="1034"/>
    </bk>
    <bk>
      <rc t="1" v="1035"/>
    </bk>
    <bk>
      <rc t="1" v="1036"/>
    </bk>
    <bk>
      <rc t="1" v="1037"/>
    </bk>
    <bk>
      <rc t="1" v="1038"/>
    </bk>
    <bk>
      <rc t="1" v="1039"/>
    </bk>
    <bk>
      <rc t="1" v="1040"/>
    </bk>
    <bk>
      <rc t="1" v="1041"/>
    </bk>
    <bk>
      <rc t="1" v="1042"/>
    </bk>
    <bk>
      <rc t="1" v="1043"/>
    </bk>
    <bk>
      <rc t="1" v="1044"/>
    </bk>
    <bk>
      <rc t="1" v="1045"/>
    </bk>
    <bk>
      <rc t="1" v="1046"/>
    </bk>
    <bk>
      <rc t="1" v="1047"/>
    </bk>
    <bk>
      <rc t="1" v="1048"/>
    </bk>
    <bk>
      <rc t="1" v="1049"/>
    </bk>
    <bk>
      <rc t="1" v="1050"/>
    </bk>
    <bk>
      <rc t="1" v="1051"/>
    </bk>
    <bk>
      <rc t="1" v="1052"/>
    </bk>
    <bk>
      <rc t="1" v="1053"/>
    </bk>
    <bk>
      <rc t="1" v="1054"/>
    </bk>
    <bk>
      <rc t="1" v="1055"/>
    </bk>
    <bk>
      <rc t="1" v="1056"/>
    </bk>
    <bk>
      <rc t="1" v="1057"/>
    </bk>
    <bk>
      <rc t="1" v="1058"/>
    </bk>
    <bk>
      <rc t="1" v="1059"/>
    </bk>
    <bk>
      <rc t="1" v="1060"/>
    </bk>
    <bk>
      <rc t="1" v="1061"/>
    </bk>
    <bk>
      <rc t="1" v="1062"/>
    </bk>
    <bk>
      <rc t="1" v="1063"/>
    </bk>
    <bk>
      <rc t="1" v="1064"/>
    </bk>
    <bk>
      <rc t="1" v="1065"/>
    </bk>
    <bk>
      <rc t="1" v="1066"/>
    </bk>
    <bk>
      <rc t="1" v="1067"/>
    </bk>
    <bk>
      <rc t="1" v="1068"/>
    </bk>
    <bk>
      <rc t="1" v="1069"/>
    </bk>
    <bk>
      <rc t="1" v="1070"/>
    </bk>
    <bk>
      <rc t="1" v="1071"/>
    </bk>
    <bk>
      <rc t="1" v="1072"/>
    </bk>
    <bk>
      <rc t="1" v="1073"/>
    </bk>
    <bk>
      <rc t="1" v="1074"/>
    </bk>
    <bk>
      <rc t="1" v="1075"/>
    </bk>
    <bk>
      <rc t="1" v="1076"/>
    </bk>
    <bk>
      <rc t="1" v="1077"/>
    </bk>
    <bk>
      <rc t="1" v="1078"/>
    </bk>
    <bk>
      <rc t="1" v="1079"/>
    </bk>
    <bk>
      <rc t="1" v="1080"/>
    </bk>
    <bk>
      <rc t="1" v="1081"/>
    </bk>
    <bk>
      <rc t="1" v="1082"/>
    </bk>
    <bk>
      <rc t="1" v="1083"/>
    </bk>
    <bk>
      <rc t="1" v="1084"/>
    </bk>
    <bk>
      <rc t="1" v="1085"/>
    </bk>
    <bk>
      <rc t="1" v="1086"/>
    </bk>
    <bk>
      <rc t="1" v="1087"/>
    </bk>
    <bk>
      <rc t="1" v="1088"/>
    </bk>
    <bk>
      <rc t="1" v="1089"/>
    </bk>
    <bk>
      <rc t="1" v="1090"/>
    </bk>
    <bk>
      <rc t="1" v="1091"/>
    </bk>
    <bk>
      <rc t="1" v="1092"/>
    </bk>
    <bk>
      <rc t="1" v="1093"/>
    </bk>
    <bk>
      <rc t="1" v="1094"/>
    </bk>
    <bk>
      <rc t="1" v="1095"/>
    </bk>
    <bk>
      <rc t="1" v="1096"/>
    </bk>
    <bk>
      <rc t="1" v="1097"/>
    </bk>
    <bk>
      <rc t="1" v="1098"/>
    </bk>
    <bk>
      <rc t="1" v="1099"/>
    </bk>
    <bk>
      <rc t="1" v="1100"/>
    </bk>
    <bk>
      <rc t="1" v="1101"/>
    </bk>
    <bk>
      <rc t="1" v="1102"/>
    </bk>
    <bk>
      <rc t="1" v="1103"/>
    </bk>
    <bk>
      <rc t="1" v="1104"/>
    </bk>
    <bk>
      <rc t="1" v="1105"/>
    </bk>
    <bk>
      <rc t="1" v="1106"/>
    </bk>
    <bk>
      <rc t="1" v="1107"/>
    </bk>
    <bk>
      <rc t="1" v="1108"/>
    </bk>
    <bk>
      <rc t="1" v="1109"/>
    </bk>
    <bk>
      <rc t="1" v="1110"/>
    </bk>
    <bk>
      <rc t="1" v="1111"/>
    </bk>
    <bk>
      <rc t="1" v="1112"/>
    </bk>
    <bk>
      <rc t="1" v="1113"/>
    </bk>
    <bk>
      <rc t="1" v="1114"/>
    </bk>
    <bk>
      <rc t="1" v="1115"/>
    </bk>
    <bk>
      <rc t="1" v="1116"/>
    </bk>
    <bk>
      <rc t="1" v="1117"/>
    </bk>
    <bk>
      <rc t="1" v="1118"/>
    </bk>
    <bk>
      <rc t="1" v="1119"/>
    </bk>
    <bk>
      <rc t="1" v="1120"/>
    </bk>
    <bk>
      <rc t="1" v="1121"/>
    </bk>
    <bk>
      <rc t="1" v="1122"/>
    </bk>
    <bk>
      <rc t="1" v="1123"/>
    </bk>
    <bk>
      <rc t="1" v="1124"/>
    </bk>
    <bk>
      <rc t="1" v="1125"/>
    </bk>
    <bk>
      <rc t="1" v="1126"/>
    </bk>
    <bk>
      <rc t="1" v="1127"/>
    </bk>
    <bk>
      <rc t="1" v="1128"/>
    </bk>
    <bk>
      <rc t="1" v="1129"/>
    </bk>
    <bk>
      <rc t="1" v="1130"/>
    </bk>
    <bk>
      <rc t="1" v="1131"/>
    </bk>
    <bk>
      <rc t="1" v="1132"/>
    </bk>
    <bk>
      <rc t="1" v="1133"/>
    </bk>
    <bk>
      <rc t="1" v="1134"/>
    </bk>
    <bk>
      <rc t="1" v="1135"/>
    </bk>
    <bk>
      <rc t="1" v="1136"/>
    </bk>
    <bk>
      <rc t="1" v="1137"/>
    </bk>
    <bk>
      <rc t="1" v="1138"/>
    </bk>
    <bk>
      <rc t="1" v="1139"/>
    </bk>
    <bk>
      <rc t="1" v="1140"/>
    </bk>
    <bk>
      <rc t="1" v="1141"/>
    </bk>
    <bk>
      <rc t="1" v="1142"/>
    </bk>
    <bk>
      <rc t="1" v="1143"/>
    </bk>
    <bk>
      <rc t="1" v="1144"/>
    </bk>
    <bk>
      <rc t="1" v="1145"/>
    </bk>
    <bk>
      <rc t="1" v="1146"/>
    </bk>
    <bk>
      <rc t="1" v="1147"/>
    </bk>
    <bk>
      <rc t="1" v="1148"/>
    </bk>
    <bk>
      <rc t="1" v="1149"/>
    </bk>
    <bk>
      <rc t="1" v="1150"/>
    </bk>
    <bk>
      <rc t="1" v="1151"/>
    </bk>
    <bk>
      <rc t="1" v="1152"/>
    </bk>
    <bk>
      <rc t="1" v="1153"/>
    </bk>
    <bk>
      <rc t="1" v="1154"/>
    </bk>
    <bk>
      <rc t="1" v="1155"/>
    </bk>
    <bk>
      <rc t="1" v="1156"/>
    </bk>
    <bk>
      <rc t="1" v="1157"/>
    </bk>
    <bk>
      <rc t="1" v="1158"/>
    </bk>
    <bk>
      <rc t="1" v="1159"/>
    </bk>
    <bk>
      <rc t="1" v="1160"/>
    </bk>
    <bk>
      <rc t="1" v="1161"/>
    </bk>
    <bk>
      <rc t="1" v="1162"/>
    </bk>
    <bk>
      <rc t="1" v="1163"/>
    </bk>
    <bk>
      <rc t="1" v="1164"/>
    </bk>
    <bk>
      <rc t="1" v="1165"/>
    </bk>
    <bk>
      <rc t="1" v="1166"/>
    </bk>
    <bk>
      <rc t="1" v="1167"/>
    </bk>
    <bk>
      <rc t="1" v="1168"/>
    </bk>
    <bk>
      <rc t="1" v="1169"/>
    </bk>
    <bk>
      <rc t="1" v="1170"/>
    </bk>
    <bk>
      <rc t="1" v="1171"/>
    </bk>
    <bk>
      <rc t="1" v="1172"/>
    </bk>
    <bk>
      <rc t="1" v="1173"/>
    </bk>
    <bk>
      <rc t="1" v="1174"/>
    </bk>
    <bk>
      <rc t="1" v="1175"/>
    </bk>
    <bk>
      <rc t="1" v="1176"/>
    </bk>
    <bk>
      <rc t="1" v="1177"/>
    </bk>
    <bk>
      <rc t="1" v="1178"/>
    </bk>
    <bk>
      <rc t="1" v="1179"/>
    </bk>
    <bk>
      <rc t="1" v="1180"/>
    </bk>
    <bk>
      <rc t="1" v="1181"/>
    </bk>
    <bk>
      <rc t="1" v="1182"/>
    </bk>
    <bk>
      <rc t="1" v="1183"/>
    </bk>
    <bk>
      <rc t="1" v="1184"/>
    </bk>
    <bk>
      <rc t="1" v="1185"/>
    </bk>
    <bk>
      <rc t="1" v="1186"/>
    </bk>
    <bk>
      <rc t="1" v="1187"/>
    </bk>
    <bk>
      <rc t="1" v="1188"/>
    </bk>
    <bk>
      <rc t="1" v="1189"/>
    </bk>
    <bk>
      <rc t="1" v="1190"/>
    </bk>
    <bk>
      <rc t="1" v="1191"/>
    </bk>
    <bk>
      <rc t="1" v="1192"/>
    </bk>
    <bk>
      <rc t="1" v="1193"/>
    </bk>
    <bk>
      <rc t="1" v="1194"/>
    </bk>
    <bk>
      <rc t="1" v="1195"/>
    </bk>
    <bk>
      <rc t="1" v="1196"/>
    </bk>
    <bk>
      <rc t="1" v="1197"/>
    </bk>
    <bk>
      <rc t="1" v="1198"/>
    </bk>
    <bk>
      <rc t="1" v="1199"/>
    </bk>
    <bk>
      <rc t="1" v="1200"/>
    </bk>
    <bk>
      <rc t="1" v="1201"/>
    </bk>
    <bk>
      <rc t="1" v="1202"/>
    </bk>
    <bk>
      <rc t="1" v="1203"/>
    </bk>
    <bk>
      <rc t="1" v="1204"/>
    </bk>
    <bk>
      <rc t="1" v="1205"/>
    </bk>
    <bk>
      <rc t="1" v="1206"/>
    </bk>
    <bk>
      <rc t="1" v="1207"/>
    </bk>
    <bk>
      <rc t="1" v="1208"/>
    </bk>
    <bk>
      <rc t="1" v="1209"/>
    </bk>
    <bk>
      <rc t="1" v="1210"/>
    </bk>
    <bk>
      <rc t="1" v="1211"/>
    </bk>
    <bk>
      <rc t="1" v="1212"/>
    </bk>
    <bk>
      <rc t="1" v="1213"/>
    </bk>
    <bk>
      <rc t="1" v="1214"/>
    </bk>
    <bk>
      <rc t="1" v="1215"/>
    </bk>
    <bk>
      <rc t="1" v="1216"/>
    </bk>
    <bk>
      <rc t="1" v="1217"/>
    </bk>
    <bk>
      <rc t="1" v="1218"/>
    </bk>
    <bk>
      <rc t="1" v="1219"/>
    </bk>
    <bk>
      <rc t="1" v="1220"/>
    </bk>
    <bk>
      <rc t="1" v="1221"/>
    </bk>
    <bk>
      <rc t="1" v="1222"/>
    </bk>
    <bk>
      <rc t="1" v="1223"/>
    </bk>
    <bk>
      <rc t="1" v="1224"/>
    </bk>
    <bk>
      <rc t="1" v="1225"/>
    </bk>
    <bk>
      <rc t="1" v="1226"/>
    </bk>
    <bk>
      <rc t="1" v="1227"/>
    </bk>
    <bk>
      <rc t="1" v="1228"/>
    </bk>
    <bk>
      <rc t="1" v="1229"/>
    </bk>
    <bk>
      <rc t="1" v="1230"/>
    </bk>
    <bk>
      <rc t="1" v="1231"/>
    </bk>
    <bk>
      <rc t="1" v="1232"/>
    </bk>
    <bk>
      <rc t="1" v="1233"/>
    </bk>
    <bk>
      <rc t="1" v="1234"/>
    </bk>
    <bk>
      <rc t="1" v="1235"/>
    </bk>
    <bk>
      <rc t="1" v="1236"/>
    </bk>
    <bk>
      <rc t="1" v="1237"/>
    </bk>
    <bk>
      <rc t="1" v="1238"/>
    </bk>
    <bk>
      <rc t="1" v="1239"/>
    </bk>
    <bk>
      <rc t="1" v="1240"/>
    </bk>
    <bk>
      <rc t="1" v="1241"/>
    </bk>
    <bk>
      <rc t="1" v="1242"/>
    </bk>
    <bk>
      <rc t="1" v="1243"/>
    </bk>
    <bk>
      <rc t="1" v="1244"/>
    </bk>
    <bk>
      <rc t="1" v="1245"/>
    </bk>
    <bk>
      <rc t="1" v="1246"/>
    </bk>
    <bk>
      <rc t="1" v="1247"/>
    </bk>
    <bk>
      <rc t="1" v="1248"/>
    </bk>
    <bk>
      <rc t="1" v="1249"/>
    </bk>
    <bk>
      <rc t="1" v="1250"/>
    </bk>
    <bk>
      <rc t="1" v="1251"/>
    </bk>
    <bk>
      <rc t="1" v="1252"/>
    </bk>
    <bk>
      <rc t="1" v="1253"/>
    </bk>
    <bk>
      <rc t="1" v="1254"/>
    </bk>
    <bk>
      <rc t="1" v="1255"/>
    </bk>
    <bk>
      <rc t="1" v="1256"/>
    </bk>
    <bk>
      <rc t="1" v="1257"/>
    </bk>
    <bk>
      <rc t="1" v="1258"/>
    </bk>
    <bk>
      <rc t="1" v="1259"/>
    </bk>
    <bk>
      <rc t="1" v="1260"/>
    </bk>
    <bk>
      <rc t="1" v="1261"/>
    </bk>
    <bk>
      <rc t="1" v="1262"/>
    </bk>
    <bk>
      <rc t="1" v="1263"/>
    </bk>
    <bk>
      <rc t="1" v="1264"/>
    </bk>
    <bk>
      <rc t="1" v="1265"/>
    </bk>
    <bk>
      <rc t="1" v="1266"/>
    </bk>
    <bk>
      <rc t="1" v="1267"/>
    </bk>
    <bk>
      <rc t="1" v="1268"/>
    </bk>
    <bk>
      <rc t="1" v="1269"/>
    </bk>
    <bk>
      <rc t="1" v="1270"/>
    </bk>
    <bk>
      <rc t="1" v="1271"/>
    </bk>
    <bk>
      <rc t="1" v="1272"/>
    </bk>
    <bk>
      <rc t="1" v="1273"/>
    </bk>
    <bk>
      <rc t="1" v="1274"/>
    </bk>
    <bk>
      <rc t="1" v="1275"/>
    </bk>
    <bk>
      <rc t="1" v="1276"/>
    </bk>
    <bk>
      <rc t="1" v="1277"/>
    </bk>
    <bk>
      <rc t="1" v="1278"/>
    </bk>
    <bk>
      <rc t="1" v="1279"/>
    </bk>
    <bk>
      <rc t="1" v="1280"/>
    </bk>
    <bk>
      <rc t="1" v="1281"/>
    </bk>
    <bk>
      <rc t="1" v="1282"/>
    </bk>
    <bk>
      <rc t="1" v="1283"/>
    </bk>
    <bk>
      <rc t="1" v="1284"/>
    </bk>
    <bk>
      <rc t="1" v="1285"/>
    </bk>
    <bk>
      <rc t="1" v="1286"/>
    </bk>
    <bk>
      <rc t="1" v="1287"/>
    </bk>
    <bk>
      <rc t="1" v="1288"/>
    </bk>
    <bk>
      <rc t="1" v="1289"/>
    </bk>
    <bk>
      <rc t="1" v="1290"/>
    </bk>
    <bk>
      <rc t="1" v="1291"/>
    </bk>
    <bk>
      <rc t="1" v="1292"/>
    </bk>
    <bk>
      <rc t="1" v="1293"/>
    </bk>
    <bk>
      <rc t="1" v="1294"/>
    </bk>
    <bk>
      <rc t="1" v="1295"/>
    </bk>
    <bk>
      <rc t="1" v="1296"/>
    </bk>
    <bk>
      <rc t="1" v="1297"/>
    </bk>
    <bk>
      <rc t="1" v="1298"/>
    </bk>
    <bk>
      <rc t="1" v="1299"/>
    </bk>
    <bk>
      <rc t="1" v="1300"/>
    </bk>
    <bk>
      <rc t="1" v="1301"/>
    </bk>
    <bk>
      <rc t="1" v="1302"/>
    </bk>
    <bk>
      <rc t="1" v="1303"/>
    </bk>
    <bk>
      <rc t="1" v="1304"/>
    </bk>
    <bk>
      <rc t="1" v="1305"/>
    </bk>
    <bk>
      <rc t="1" v="1306"/>
    </bk>
    <bk>
      <rc t="1" v="1307"/>
    </bk>
    <bk>
      <rc t="1" v="1308"/>
    </bk>
    <bk>
      <rc t="1" v="1309"/>
    </bk>
    <bk>
      <rc t="1" v="1310"/>
    </bk>
    <bk>
      <rc t="1" v="1311"/>
    </bk>
    <bk>
      <rc t="1" v="1312"/>
    </bk>
    <bk>
      <rc t="1" v="1313"/>
    </bk>
    <bk>
      <rc t="1" v="1314"/>
    </bk>
    <bk>
      <rc t="1" v="1315"/>
    </bk>
    <bk>
      <rc t="1" v="1316"/>
    </bk>
    <bk>
      <rc t="1" v="1317"/>
    </bk>
    <bk>
      <rc t="1" v="1318"/>
    </bk>
    <bk>
      <rc t="1" v="1319"/>
    </bk>
    <bk>
      <rc t="1" v="1320"/>
    </bk>
    <bk>
      <rc t="1" v="1321"/>
    </bk>
    <bk>
      <rc t="1" v="1322"/>
    </bk>
    <bk>
      <rc t="1" v="1323"/>
    </bk>
    <bk>
      <rc t="1" v="1324"/>
    </bk>
    <bk>
      <rc t="1" v="1325"/>
    </bk>
    <bk>
      <rc t="1" v="1326"/>
    </bk>
    <bk>
      <rc t="1" v="1327"/>
    </bk>
    <bk>
      <rc t="1" v="1328"/>
    </bk>
    <bk>
      <rc t="1" v="1329"/>
    </bk>
    <bk>
      <rc t="1" v="1330"/>
    </bk>
    <bk>
      <rc t="1" v="1331"/>
    </bk>
    <bk>
      <rc t="1" v="1332"/>
    </bk>
    <bk>
      <rc t="1" v="1333"/>
    </bk>
    <bk>
      <rc t="1" v="1334"/>
    </bk>
    <bk>
      <rc t="1" v="1335"/>
    </bk>
    <bk>
      <rc t="1" v="1336"/>
    </bk>
    <bk>
      <rc t="1" v="1337"/>
    </bk>
    <bk>
      <rc t="1" v="1338"/>
    </bk>
    <bk>
      <rc t="1" v="1339"/>
    </bk>
    <bk>
      <rc t="1" v="1340"/>
    </bk>
    <bk>
      <rc t="1" v="1341"/>
    </bk>
    <bk>
      <rc t="1" v="1342"/>
    </bk>
    <bk>
      <rc t="1" v="1343"/>
    </bk>
    <bk>
      <rc t="1" v="1344"/>
    </bk>
    <bk>
      <rc t="1" v="1345"/>
    </bk>
    <bk>
      <rc t="1" v="1346"/>
    </bk>
    <bk>
      <rc t="1" v="1347"/>
    </bk>
    <bk>
      <rc t="1" v="1348"/>
    </bk>
    <bk>
      <rc t="1" v="1349"/>
    </bk>
    <bk>
      <rc t="1" v="1350"/>
    </bk>
    <bk>
      <rc t="1" v="1351"/>
    </bk>
    <bk>
      <rc t="1" v="1352"/>
    </bk>
    <bk>
      <rc t="1" v="1353"/>
    </bk>
    <bk>
      <rc t="1" v="1354"/>
    </bk>
    <bk>
      <rc t="1" v="1355"/>
    </bk>
    <bk>
      <rc t="1" v="1356"/>
    </bk>
    <bk>
      <rc t="1" v="1357"/>
    </bk>
    <bk>
      <rc t="1" v="1358"/>
    </bk>
    <bk>
      <rc t="1" v="1359"/>
    </bk>
    <bk>
      <rc t="1" v="1360"/>
    </bk>
    <bk>
      <rc t="1" v="1361"/>
    </bk>
    <bk>
      <rc t="1" v="1362"/>
    </bk>
    <bk>
      <rc t="1" v="1363"/>
    </bk>
    <bk>
      <rc t="1" v="1364"/>
    </bk>
    <bk>
      <rc t="1" v="1365"/>
    </bk>
    <bk>
      <rc t="1" v="1366"/>
    </bk>
    <bk>
      <rc t="1" v="1367"/>
    </bk>
    <bk>
      <rc t="1" v="1368"/>
    </bk>
    <bk>
      <rc t="1" v="1369"/>
    </bk>
    <bk>
      <rc t="1" v="1370"/>
    </bk>
    <bk>
      <rc t="1" v="1371"/>
    </bk>
    <bk>
      <rc t="1" v="1372"/>
    </bk>
    <bk>
      <rc t="1" v="1373"/>
    </bk>
    <bk>
      <rc t="1" v="1374"/>
    </bk>
    <bk>
      <rc t="1" v="1375"/>
    </bk>
    <bk>
      <rc t="1" v="1376"/>
    </bk>
    <bk>
      <rc t="1" v="1377"/>
    </bk>
    <bk>
      <rc t="1" v="1378"/>
    </bk>
    <bk>
      <rc t="1" v="1379"/>
    </bk>
    <bk>
      <rc t="1" v="1380"/>
    </bk>
    <bk>
      <rc t="1" v="1381"/>
    </bk>
    <bk>
      <rc t="1" v="1382"/>
    </bk>
    <bk>
      <rc t="1" v="1383"/>
    </bk>
    <bk>
      <rc t="1" v="1384"/>
    </bk>
    <bk>
      <rc t="1" v="1385"/>
    </bk>
    <bk>
      <rc t="1" v="1386"/>
    </bk>
    <bk>
      <rc t="1" v="1387"/>
    </bk>
    <bk>
      <rc t="1" v="1388"/>
    </bk>
    <bk>
      <rc t="1" v="1389"/>
    </bk>
    <bk>
      <rc t="1" v="1390"/>
    </bk>
    <bk>
      <rc t="1" v="1391"/>
    </bk>
    <bk>
      <rc t="1" v="1392"/>
    </bk>
    <bk>
      <rc t="1" v="1393"/>
    </bk>
    <bk>
      <rc t="1" v="1394"/>
    </bk>
    <bk>
      <rc t="1" v="1395"/>
    </bk>
    <bk>
      <rc t="1" v="1396"/>
    </bk>
    <bk>
      <rc t="1" v="1397"/>
    </bk>
    <bk>
      <rc t="1" v="1398"/>
    </bk>
    <bk>
      <rc t="1" v="1399"/>
    </bk>
    <bk>
      <rc t="1" v="1400"/>
    </bk>
    <bk>
      <rc t="1" v="1401"/>
    </bk>
    <bk>
      <rc t="1" v="1402"/>
    </bk>
    <bk>
      <rc t="1" v="1403"/>
    </bk>
    <bk>
      <rc t="1" v="1404"/>
    </bk>
    <bk>
      <rc t="1" v="1405"/>
    </bk>
    <bk>
      <rc t="1" v="1406"/>
    </bk>
    <bk>
      <rc t="1" v="1407"/>
    </bk>
    <bk>
      <rc t="1" v="1408"/>
    </bk>
    <bk>
      <rc t="1" v="1409"/>
    </bk>
    <bk>
      <rc t="1" v="1410"/>
    </bk>
    <bk>
      <rc t="1" v="1411"/>
    </bk>
    <bk>
      <rc t="1" v="1412"/>
    </bk>
    <bk>
      <rc t="1" v="1413"/>
    </bk>
    <bk>
      <rc t="1" v="1414"/>
    </bk>
    <bk>
      <rc t="1" v="1415"/>
    </bk>
    <bk>
      <rc t="1" v="1416"/>
    </bk>
    <bk>
      <rc t="1" v="1417"/>
    </bk>
    <bk>
      <rc t="1" v="1418"/>
    </bk>
    <bk>
      <rc t="1" v="1419"/>
    </bk>
    <bk>
      <rc t="1" v="1420"/>
    </bk>
    <bk>
      <rc t="1" v="1421"/>
    </bk>
    <bk>
      <rc t="1" v="1422"/>
    </bk>
    <bk>
      <rc t="1" v="1423"/>
    </bk>
    <bk>
      <rc t="1" v="1424"/>
    </bk>
    <bk>
      <rc t="1" v="1425"/>
    </bk>
    <bk>
      <rc t="1" v="1426"/>
    </bk>
    <bk>
      <rc t="1" v="1427"/>
    </bk>
    <bk>
      <rc t="1" v="1428"/>
    </bk>
    <bk>
      <rc t="1" v="1429"/>
    </bk>
    <bk>
      <rc t="1" v="1430"/>
    </bk>
    <bk>
      <rc t="1" v="1431"/>
    </bk>
    <bk>
      <rc t="1" v="1432"/>
    </bk>
    <bk>
      <rc t="1" v="1433"/>
    </bk>
    <bk>
      <rc t="1" v="1434"/>
    </bk>
    <bk>
      <rc t="1" v="1435"/>
    </bk>
    <bk>
      <rc t="1" v="1436"/>
    </bk>
    <bk>
      <rc t="1" v="1437"/>
    </bk>
    <bk>
      <rc t="1" v="1438"/>
    </bk>
    <bk>
      <rc t="1" v="1439"/>
    </bk>
    <bk>
      <rc t="1" v="1440"/>
    </bk>
    <bk>
      <rc t="1" v="1441"/>
    </bk>
    <bk>
      <rc t="1" v="1442"/>
    </bk>
    <bk>
      <rc t="1" v="1443"/>
    </bk>
    <bk>
      <rc t="1" v="1444"/>
    </bk>
    <bk>
      <rc t="1" v="1445"/>
    </bk>
    <bk>
      <rc t="1" v="1446"/>
    </bk>
    <bk>
      <rc t="1" v="1447"/>
    </bk>
    <bk>
      <rc t="1" v="1448"/>
    </bk>
    <bk>
      <rc t="1" v="1449"/>
    </bk>
    <bk>
      <rc t="1" v="1450"/>
    </bk>
    <bk>
      <rc t="1" v="1451"/>
    </bk>
    <bk>
      <rc t="1" v="1452"/>
    </bk>
    <bk>
      <rc t="1" v="1453"/>
    </bk>
    <bk>
      <rc t="1" v="1454"/>
    </bk>
    <bk>
      <rc t="1" v="1455"/>
    </bk>
    <bk>
      <rc t="1" v="1456"/>
    </bk>
    <bk>
      <rc t="1" v="1457"/>
    </bk>
    <bk>
      <rc t="1" v="1458"/>
    </bk>
    <bk>
      <rc t="1" v="1459"/>
    </bk>
    <bk>
      <rc t="1" v="1460"/>
    </bk>
    <bk>
      <rc t="1" v="1461"/>
    </bk>
    <bk>
      <rc t="1" v="1462"/>
    </bk>
    <bk>
      <rc t="1" v="1463"/>
    </bk>
    <bk>
      <rc t="1" v="1464"/>
    </bk>
    <bk>
      <rc t="1" v="1465"/>
    </bk>
    <bk>
      <rc t="1" v="1466"/>
    </bk>
    <bk>
      <rc t="1" v="1467"/>
    </bk>
    <bk>
      <rc t="1" v="1468"/>
    </bk>
    <bk>
      <rc t="1" v="1469"/>
    </bk>
    <bk>
      <rc t="1" v="1470"/>
    </bk>
    <bk>
      <rc t="1" v="1471"/>
    </bk>
    <bk>
      <rc t="1" v="1472"/>
    </bk>
    <bk>
      <rc t="1" v="1473"/>
    </bk>
    <bk>
      <rc t="1" v="1474"/>
    </bk>
    <bk>
      <rc t="1" v="1475"/>
    </bk>
    <bk>
      <rc t="1" v="1476"/>
    </bk>
    <bk>
      <rc t="1" v="1477"/>
    </bk>
    <bk>
      <rc t="1" v="1478"/>
    </bk>
    <bk>
      <rc t="1" v="1479"/>
    </bk>
    <bk>
      <rc t="1" v="1480"/>
    </bk>
    <bk>
      <rc t="1" v="1481"/>
    </bk>
    <bk>
      <rc t="1" v="1482"/>
    </bk>
    <bk>
      <rc t="1" v="1483"/>
    </bk>
    <bk>
      <rc t="1" v="1484"/>
    </bk>
    <bk>
      <rc t="1" v="1485"/>
    </bk>
    <bk>
      <rc t="1" v="1486"/>
    </bk>
    <bk>
      <rc t="1" v="1487"/>
    </bk>
    <bk>
      <rc t="1" v="1488"/>
    </bk>
    <bk>
      <rc t="1" v="1489"/>
    </bk>
    <bk>
      <rc t="1" v="1490"/>
    </bk>
    <bk>
      <rc t="1" v="1491"/>
    </bk>
    <bk>
      <rc t="1" v="1492"/>
    </bk>
    <bk>
      <rc t="1" v="1493"/>
    </bk>
    <bk>
      <rc t="1" v="1494"/>
    </bk>
    <bk>
      <rc t="1" v="1495"/>
    </bk>
    <bk>
      <rc t="1" v="1496"/>
    </bk>
    <bk>
      <rc t="1" v="1497"/>
    </bk>
    <bk>
      <rc t="1" v="1498"/>
    </bk>
    <bk>
      <rc t="1" v="1499"/>
    </bk>
    <bk>
      <rc t="1" v="1500"/>
    </bk>
    <bk>
      <rc t="1" v="1501"/>
    </bk>
    <bk>
      <rc t="1" v="1502"/>
    </bk>
    <bk>
      <rc t="1" v="1503"/>
    </bk>
    <bk>
      <rc t="1" v="1504"/>
    </bk>
    <bk>
      <rc t="1" v="1505"/>
    </bk>
    <bk>
      <rc t="1" v="1506"/>
    </bk>
    <bk>
      <rc t="1" v="1507"/>
    </bk>
    <bk>
      <rc t="1" v="1508"/>
    </bk>
    <bk>
      <rc t="1" v="1509"/>
    </bk>
    <bk>
      <rc t="1" v="1510"/>
    </bk>
    <bk>
      <rc t="1" v="1511"/>
    </bk>
    <bk>
      <rc t="1" v="1512"/>
    </bk>
    <bk>
      <rc t="1" v="1513"/>
    </bk>
    <bk>
      <rc t="1" v="1514"/>
    </bk>
    <bk>
      <rc t="1" v="1515"/>
    </bk>
    <bk>
      <rc t="1" v="1516"/>
    </bk>
    <bk>
      <rc t="1" v="1517"/>
    </bk>
    <bk>
      <rc t="1" v="1518"/>
    </bk>
    <bk>
      <rc t="1" v="1519"/>
    </bk>
    <bk>
      <rc t="1" v="1520"/>
    </bk>
    <bk>
      <rc t="1" v="1521"/>
    </bk>
    <bk>
      <rc t="1" v="1522"/>
    </bk>
    <bk>
      <rc t="1" v="1523"/>
    </bk>
    <bk>
      <rc t="1" v="1524"/>
    </bk>
    <bk>
      <rc t="1" v="1525"/>
    </bk>
    <bk>
      <rc t="1" v="1526"/>
    </bk>
    <bk>
      <rc t="1" v="1527"/>
    </bk>
    <bk>
      <rc t="1" v="1528"/>
    </bk>
    <bk>
      <rc t="1" v="1529"/>
    </bk>
    <bk>
      <rc t="1" v="1530"/>
    </bk>
    <bk>
      <rc t="1" v="1531"/>
    </bk>
    <bk>
      <rc t="1" v="1532"/>
    </bk>
    <bk>
      <rc t="1" v="1533"/>
    </bk>
    <bk>
      <rc t="1" v="1534"/>
    </bk>
    <bk>
      <rc t="1" v="1535"/>
    </bk>
    <bk>
      <rc t="1" v="1536"/>
    </bk>
    <bk>
      <rc t="1" v="1537"/>
    </bk>
    <bk>
      <rc t="1" v="1538"/>
    </bk>
    <bk>
      <rc t="1" v="1539"/>
    </bk>
    <bk>
      <rc t="1" v="1540"/>
    </bk>
    <bk>
      <rc t="1" v="1541"/>
    </bk>
    <bk>
      <rc t="1" v="1542"/>
    </bk>
    <bk>
      <rc t="1" v="1543"/>
    </bk>
    <bk>
      <rc t="1" v="1544"/>
    </bk>
    <bk>
      <rc t="1" v="1545"/>
    </bk>
    <bk>
      <rc t="1" v="1546"/>
    </bk>
    <bk>
      <rc t="1" v="1547"/>
    </bk>
    <bk>
      <rc t="1" v="1548"/>
    </bk>
    <bk>
      <rc t="1" v="1549"/>
    </bk>
    <bk>
      <rc t="1" v="1550"/>
    </bk>
    <bk>
      <rc t="1" v="1551"/>
    </bk>
    <bk>
      <rc t="1" v="1552"/>
    </bk>
    <bk>
      <rc t="1" v="1553"/>
    </bk>
    <bk>
      <rc t="1" v="1554"/>
    </bk>
    <bk>
      <rc t="1" v="1555"/>
    </bk>
    <bk>
      <rc t="1" v="1556"/>
    </bk>
    <bk>
      <rc t="1" v="1557"/>
    </bk>
    <bk>
      <rc t="1" v="1558"/>
    </bk>
    <bk>
      <rc t="1" v="1559"/>
    </bk>
    <bk>
      <rc t="1" v="1560"/>
    </bk>
    <bk>
      <rc t="1" v="1561"/>
    </bk>
    <bk>
      <rc t="1" v="1562"/>
    </bk>
    <bk>
      <rc t="1" v="1563"/>
    </bk>
    <bk>
      <rc t="1" v="1564"/>
    </bk>
    <bk>
      <rc t="1" v="1565"/>
    </bk>
    <bk>
      <rc t="1" v="1566"/>
    </bk>
    <bk>
      <rc t="1" v="1567"/>
    </bk>
    <bk>
      <rc t="1" v="1568"/>
    </bk>
    <bk>
      <rc t="1" v="1569"/>
    </bk>
    <bk>
      <rc t="1" v="1570"/>
    </bk>
    <bk>
      <rc t="1" v="1571"/>
    </bk>
    <bk>
      <rc t="1" v="1572"/>
    </bk>
    <bk>
      <rc t="1" v="1573"/>
    </bk>
    <bk>
      <rc t="1" v="1574"/>
    </bk>
    <bk>
      <rc t="1" v="1575"/>
    </bk>
    <bk>
      <rc t="1" v="1576"/>
    </bk>
    <bk>
      <rc t="1" v="1577"/>
    </bk>
    <bk>
      <rc t="1" v="1578"/>
    </bk>
    <bk>
      <rc t="1" v="1579"/>
    </bk>
    <bk>
      <rc t="1" v="1580"/>
    </bk>
    <bk>
      <rc t="1" v="1581"/>
    </bk>
    <bk>
      <rc t="1" v="1582"/>
    </bk>
    <bk>
      <rc t="1" v="1583"/>
    </bk>
    <bk>
      <rc t="1" v="1584"/>
    </bk>
    <bk>
      <rc t="1" v="1585"/>
    </bk>
    <bk>
      <rc t="1" v="1586"/>
    </bk>
    <bk>
      <rc t="1" v="1587"/>
    </bk>
    <bk>
      <rc t="1" v="1588"/>
    </bk>
    <bk>
      <rc t="1" v="1589"/>
    </bk>
    <bk>
      <rc t="1" v="1590"/>
    </bk>
    <bk>
      <rc t="1" v="1591"/>
    </bk>
    <bk>
      <rc t="1" v="1592"/>
    </bk>
    <bk>
      <rc t="1" v="1593"/>
    </bk>
    <bk>
      <rc t="1" v="1594"/>
    </bk>
    <bk>
      <rc t="1" v="1595"/>
    </bk>
    <bk>
      <rc t="1" v="1596"/>
    </bk>
    <bk>
      <rc t="1" v="1597"/>
    </bk>
    <bk>
      <rc t="1" v="1598"/>
    </bk>
    <bk>
      <rc t="1" v="1599"/>
    </bk>
    <bk>
      <rc t="1" v="1600"/>
    </bk>
    <bk>
      <rc t="1" v="1601"/>
    </bk>
    <bk>
      <rc t="1" v="1602"/>
    </bk>
    <bk>
      <rc t="1" v="1603"/>
    </bk>
    <bk>
      <rc t="1" v="1604"/>
    </bk>
    <bk>
      <rc t="1" v="1605"/>
    </bk>
    <bk>
      <rc t="1" v="1606"/>
    </bk>
    <bk>
      <rc t="1" v="1607"/>
    </bk>
    <bk>
      <rc t="1" v="1608"/>
    </bk>
    <bk>
      <rc t="1" v="1609"/>
    </bk>
    <bk>
      <rc t="1" v="1610"/>
    </bk>
    <bk>
      <rc t="1" v="1611"/>
    </bk>
    <bk>
      <rc t="1" v="1612"/>
    </bk>
    <bk>
      <rc t="1" v="1613"/>
    </bk>
    <bk>
      <rc t="1" v="1614"/>
    </bk>
    <bk>
      <rc t="1" v="1615"/>
    </bk>
    <bk>
      <rc t="1" v="1616"/>
    </bk>
    <bk>
      <rc t="1" v="1617"/>
    </bk>
    <bk>
      <rc t="1" v="1618"/>
    </bk>
    <bk>
      <rc t="1" v="1619"/>
    </bk>
    <bk>
      <rc t="1" v="1620"/>
    </bk>
    <bk>
      <rc t="1" v="1621"/>
    </bk>
    <bk>
      <rc t="1" v="1622"/>
    </bk>
    <bk>
      <rc t="1" v="1623"/>
    </bk>
    <bk>
      <rc t="1" v="1624"/>
    </bk>
    <bk>
      <rc t="1" v="1625"/>
    </bk>
    <bk>
      <rc t="1" v="1626"/>
    </bk>
    <bk>
      <rc t="1" v="1627"/>
    </bk>
    <bk>
      <rc t="1" v="1628"/>
    </bk>
    <bk>
      <rc t="1" v="1629"/>
    </bk>
    <bk>
      <rc t="1" v="1630"/>
    </bk>
    <bk>
      <rc t="1" v="1631"/>
    </bk>
    <bk>
      <rc t="1" v="1632"/>
    </bk>
    <bk>
      <rc t="1" v="1633"/>
    </bk>
    <bk>
      <rc t="1" v="1634"/>
    </bk>
    <bk>
      <rc t="1" v="1635"/>
    </bk>
    <bk>
      <rc t="1" v="1636"/>
    </bk>
    <bk>
      <rc t="1" v="1637"/>
    </bk>
    <bk>
      <rc t="1" v="1638"/>
    </bk>
    <bk>
      <rc t="1" v="1639"/>
    </bk>
    <bk>
      <rc t="1" v="1640"/>
    </bk>
    <bk>
      <rc t="1" v="1641"/>
    </bk>
    <bk>
      <rc t="1" v="1642"/>
    </bk>
    <bk>
      <rc t="1" v="1643"/>
    </bk>
    <bk>
      <rc t="1" v="1644"/>
    </bk>
    <bk>
      <rc t="1" v="1645"/>
    </bk>
    <bk>
      <rc t="1" v="1646"/>
    </bk>
    <bk>
      <rc t="1" v="1647"/>
    </bk>
    <bk>
      <rc t="1" v="1648"/>
    </bk>
    <bk>
      <rc t="1" v="1649"/>
    </bk>
    <bk>
      <rc t="1" v="1650"/>
    </bk>
    <bk>
      <rc t="1" v="1651"/>
    </bk>
    <bk>
      <rc t="1" v="1652"/>
    </bk>
    <bk>
      <rc t="1" v="1653"/>
    </bk>
    <bk>
      <rc t="1" v="1654"/>
    </bk>
    <bk>
      <rc t="1" v="1655"/>
    </bk>
    <bk>
      <rc t="1" v="1656"/>
    </bk>
    <bk>
      <rc t="1" v="1657"/>
    </bk>
    <bk>
      <rc t="1" v="1658"/>
    </bk>
    <bk>
      <rc t="1" v="1659"/>
    </bk>
    <bk>
      <rc t="1" v="1660"/>
    </bk>
    <bk>
      <rc t="1" v="1661"/>
    </bk>
    <bk>
      <rc t="1" v="1662"/>
    </bk>
    <bk>
      <rc t="1" v="1663"/>
    </bk>
    <bk>
      <rc t="1" v="1664"/>
    </bk>
    <bk>
      <rc t="1" v="1665"/>
    </bk>
    <bk>
      <rc t="1" v="1666"/>
    </bk>
    <bk>
      <rc t="1" v="1667"/>
    </bk>
    <bk>
      <rc t="1" v="1668"/>
    </bk>
    <bk>
      <rc t="1" v="1669"/>
    </bk>
    <bk>
      <rc t="1" v="1670"/>
    </bk>
    <bk>
      <rc t="1" v="1671"/>
    </bk>
    <bk>
      <rc t="1" v="1672"/>
    </bk>
    <bk>
      <rc t="1" v="1673"/>
    </bk>
    <bk>
      <rc t="1" v="1674"/>
    </bk>
    <bk>
      <rc t="1" v="1675"/>
    </bk>
    <bk>
      <rc t="1" v="1676"/>
    </bk>
    <bk>
      <rc t="1" v="1677"/>
    </bk>
    <bk>
      <rc t="1" v="1678"/>
    </bk>
    <bk>
      <rc t="1" v="1679"/>
    </bk>
    <bk>
      <rc t="1" v="1680"/>
    </bk>
    <bk>
      <rc t="1" v="1681"/>
    </bk>
    <bk>
      <rc t="1" v="1682"/>
    </bk>
    <bk>
      <rc t="1" v="1683"/>
    </bk>
    <bk>
      <rc t="1" v="1684"/>
    </bk>
    <bk>
      <rc t="1" v="1685"/>
    </bk>
    <bk>
      <rc t="1" v="1686"/>
    </bk>
    <bk>
      <rc t="1" v="1687"/>
    </bk>
    <bk>
      <rc t="1" v="1688"/>
    </bk>
    <bk>
      <rc t="1" v="1689"/>
    </bk>
    <bk>
      <rc t="1" v="1690"/>
    </bk>
    <bk>
      <rc t="1" v="1691"/>
    </bk>
    <bk>
      <rc t="1" v="1692"/>
    </bk>
    <bk>
      <rc t="1" v="1693"/>
    </bk>
    <bk>
      <rc t="1" v="1694"/>
    </bk>
    <bk>
      <rc t="1" v="1695"/>
    </bk>
    <bk>
      <rc t="1" v="1696"/>
    </bk>
    <bk>
      <rc t="1" v="1697"/>
    </bk>
    <bk>
      <rc t="1" v="1698"/>
    </bk>
    <bk>
      <rc t="1" v="1699"/>
    </bk>
    <bk>
      <rc t="1" v="1700"/>
    </bk>
    <bk>
      <rc t="1" v="1701"/>
    </bk>
    <bk>
      <rc t="1" v="1702"/>
    </bk>
    <bk>
      <rc t="1" v="1703"/>
    </bk>
    <bk>
      <rc t="1" v="1704"/>
    </bk>
    <bk>
      <rc t="1" v="1705"/>
    </bk>
    <bk>
      <rc t="1" v="1706"/>
    </bk>
    <bk>
      <rc t="1" v="1707"/>
    </bk>
    <bk>
      <rc t="1" v="1708"/>
    </bk>
    <bk>
      <rc t="1" v="1709"/>
    </bk>
    <bk>
      <rc t="1" v="1710"/>
    </bk>
    <bk>
      <rc t="1" v="1711"/>
    </bk>
    <bk>
      <rc t="1" v="1712"/>
    </bk>
    <bk>
      <rc t="1" v="1713"/>
    </bk>
    <bk>
      <rc t="1" v="1714"/>
    </bk>
    <bk>
      <rc t="1" v="1715"/>
    </bk>
    <bk>
      <rc t="1" v="1716"/>
    </bk>
    <bk>
      <rc t="1" v="1717"/>
    </bk>
    <bk>
      <rc t="1" v="1718"/>
    </bk>
    <bk>
      <rc t="1" v="1719"/>
    </bk>
    <bk>
      <rc t="1" v="1720"/>
    </bk>
    <bk>
      <rc t="1" v="1721"/>
    </bk>
    <bk>
      <rc t="1" v="1722"/>
    </bk>
    <bk>
      <rc t="1" v="1723"/>
    </bk>
    <bk>
      <rc t="1" v="1724"/>
    </bk>
    <bk>
      <rc t="1" v="1725"/>
    </bk>
    <bk>
      <rc t="1" v="1726"/>
    </bk>
    <bk>
      <rc t="1" v="1727"/>
    </bk>
    <bk>
      <rc t="1" v="1728"/>
    </bk>
    <bk>
      <rc t="1" v="1729"/>
    </bk>
    <bk>
      <rc t="1" v="1730"/>
    </bk>
    <bk>
      <rc t="1" v="1731"/>
    </bk>
    <bk>
      <rc t="1" v="1732"/>
    </bk>
    <bk>
      <rc t="1" v="1733"/>
    </bk>
    <bk>
      <rc t="1" v="1734"/>
    </bk>
    <bk>
      <rc t="1" v="1735"/>
    </bk>
    <bk>
      <rc t="1" v="1736"/>
    </bk>
    <bk>
      <rc t="1" v="1737"/>
    </bk>
    <bk>
      <rc t="1" v="1738"/>
    </bk>
    <bk>
      <rc t="1" v="1739"/>
    </bk>
    <bk>
      <rc t="1" v="1740"/>
    </bk>
    <bk>
      <rc t="1" v="1741"/>
    </bk>
    <bk>
      <rc t="1" v="1742"/>
    </bk>
    <bk>
      <rc t="1" v="1743"/>
    </bk>
    <bk>
      <rc t="1" v="1744"/>
    </bk>
    <bk>
      <rc t="1" v="1745"/>
    </bk>
    <bk>
      <rc t="1" v="1746"/>
    </bk>
    <bk>
      <rc t="1" v="1747"/>
    </bk>
    <bk>
      <rc t="1" v="1748"/>
    </bk>
    <bk>
      <rc t="1" v="1749"/>
    </bk>
    <bk>
      <rc t="1" v="1750"/>
    </bk>
    <bk>
      <rc t="1" v="1751"/>
    </bk>
    <bk>
      <rc t="1" v="1752"/>
    </bk>
    <bk>
      <rc t="1" v="1753"/>
    </bk>
    <bk>
      <rc t="1" v="1754"/>
    </bk>
    <bk>
      <rc t="1" v="1755"/>
    </bk>
    <bk>
      <rc t="1" v="1756"/>
    </bk>
    <bk>
      <rc t="1" v="1757"/>
    </bk>
    <bk>
      <rc t="1" v="1758"/>
    </bk>
    <bk>
      <rc t="1" v="1759"/>
    </bk>
    <bk>
      <rc t="1" v="1760"/>
    </bk>
    <bk>
      <rc t="1" v="1761"/>
    </bk>
    <bk>
      <rc t="1" v="1762"/>
    </bk>
    <bk>
      <rc t="1" v="1763"/>
    </bk>
    <bk>
      <rc t="1" v="1764"/>
    </bk>
    <bk>
      <rc t="1" v="1765"/>
    </bk>
    <bk>
      <rc t="1" v="1766"/>
    </bk>
    <bk>
      <rc t="1" v="1767"/>
    </bk>
    <bk>
      <rc t="1" v="1768"/>
    </bk>
    <bk>
      <rc t="1" v="1769"/>
    </bk>
    <bk>
      <rc t="1" v="1770"/>
    </bk>
    <bk>
      <rc t="1" v="1771"/>
    </bk>
    <bk>
      <rc t="1" v="1772"/>
    </bk>
    <bk>
      <rc t="1" v="1773"/>
    </bk>
    <bk>
      <rc t="1" v="1774"/>
    </bk>
    <bk>
      <rc t="1" v="1775"/>
    </bk>
    <bk>
      <rc t="1" v="1776"/>
    </bk>
    <bk>
      <rc t="1" v="1777"/>
    </bk>
    <bk>
      <rc t="1" v="1778"/>
    </bk>
    <bk>
      <rc t="1" v="1779"/>
    </bk>
    <bk>
      <rc t="1" v="1780"/>
    </bk>
    <bk>
      <rc t="1" v="1781"/>
    </bk>
    <bk>
      <rc t="1" v="1782"/>
    </bk>
    <bk>
      <rc t="1" v="1783"/>
    </bk>
    <bk>
      <rc t="1" v="1784"/>
    </bk>
    <bk>
      <rc t="1" v="1785"/>
    </bk>
    <bk>
      <rc t="1" v="1786"/>
    </bk>
    <bk>
      <rc t="1" v="1787"/>
    </bk>
    <bk>
      <rc t="1" v="1788"/>
    </bk>
    <bk>
      <rc t="1" v="1789"/>
    </bk>
    <bk>
      <rc t="1" v="1790"/>
    </bk>
    <bk>
      <rc t="1" v="1791"/>
    </bk>
    <bk>
      <rc t="1" v="1792"/>
    </bk>
    <bk>
      <rc t="1" v="1793"/>
    </bk>
    <bk>
      <rc t="1" v="1794"/>
    </bk>
    <bk>
      <rc t="1" v="1795"/>
    </bk>
    <bk>
      <rc t="1" v="1796"/>
    </bk>
    <bk>
      <rc t="1" v="1797"/>
    </bk>
    <bk>
      <rc t="1" v="1798"/>
    </bk>
    <bk>
      <rc t="1" v="1799"/>
    </bk>
    <bk>
      <rc t="1" v="1800"/>
    </bk>
    <bk>
      <rc t="1" v="1801"/>
    </bk>
    <bk>
      <rc t="1" v="1802"/>
    </bk>
    <bk>
      <rc t="1" v="1803"/>
    </bk>
    <bk>
      <rc t="1" v="1804"/>
    </bk>
    <bk>
      <rc t="1" v="1805"/>
    </bk>
    <bk>
      <rc t="1" v="1806"/>
    </bk>
    <bk>
      <rc t="1" v="1807"/>
    </bk>
    <bk>
      <rc t="1" v="1808"/>
    </bk>
    <bk>
      <rc t="1" v="1809"/>
    </bk>
    <bk>
      <rc t="1" v="1810"/>
    </bk>
    <bk>
      <rc t="1" v="1811"/>
    </bk>
    <bk>
      <rc t="1" v="1812"/>
    </bk>
    <bk>
      <rc t="1" v="1813"/>
    </bk>
    <bk>
      <rc t="1" v="1814"/>
    </bk>
    <bk>
      <rc t="1" v="1815"/>
    </bk>
    <bk>
      <rc t="1" v="1816"/>
    </bk>
    <bk>
      <rc t="1" v="1817"/>
    </bk>
    <bk>
      <rc t="1" v="1818"/>
    </bk>
    <bk>
      <rc t="1" v="1819"/>
    </bk>
    <bk>
      <rc t="1" v="1820"/>
    </bk>
    <bk>
      <rc t="1" v="1821"/>
    </bk>
    <bk>
      <rc t="1" v="1822"/>
    </bk>
    <bk>
      <rc t="1" v="1823"/>
    </bk>
    <bk>
      <rc t="1" v="1824"/>
    </bk>
    <bk>
      <rc t="1" v="1825"/>
    </bk>
    <bk>
      <rc t="1" v="1826"/>
    </bk>
    <bk>
      <rc t="1" v="1827"/>
    </bk>
    <bk>
      <rc t="1" v="1828"/>
    </bk>
    <bk>
      <rc t="1" v="1829"/>
    </bk>
    <bk>
      <rc t="1" v="1830"/>
    </bk>
    <bk>
      <rc t="1" v="1831"/>
    </bk>
    <bk>
      <rc t="1" v="1832"/>
    </bk>
    <bk>
      <rc t="1" v="1833"/>
    </bk>
    <bk>
      <rc t="1" v="1834"/>
    </bk>
    <bk>
      <rc t="1" v="1835"/>
    </bk>
    <bk>
      <rc t="1" v="1836"/>
    </bk>
    <bk>
      <rc t="1" v="1837"/>
    </bk>
    <bk>
      <rc t="1" v="1838"/>
    </bk>
    <bk>
      <rc t="1" v="1839"/>
    </bk>
    <bk>
      <rc t="1" v="1840"/>
    </bk>
    <bk>
      <rc t="1" v="1841"/>
    </bk>
    <bk>
      <rc t="1" v="1842"/>
    </bk>
    <bk>
      <rc t="1" v="1843"/>
    </bk>
    <bk>
      <rc t="1" v="1844"/>
    </bk>
    <bk>
      <rc t="1" v="1845"/>
    </bk>
    <bk>
      <rc t="1" v="1846"/>
    </bk>
    <bk>
      <rc t="1" v="1847"/>
    </bk>
    <bk>
      <rc t="1" v="1848"/>
    </bk>
    <bk>
      <rc t="1" v="1849"/>
    </bk>
    <bk>
      <rc t="1" v="1850"/>
    </bk>
    <bk>
      <rc t="1" v="1851"/>
    </bk>
    <bk>
      <rc t="1" v="1852"/>
    </bk>
    <bk>
      <rc t="1" v="1853"/>
    </bk>
    <bk>
      <rc t="1" v="1854"/>
    </bk>
    <bk>
      <rc t="1" v="1855"/>
    </bk>
    <bk>
      <rc t="1" v="1856"/>
    </bk>
    <bk>
      <rc t="1" v="1857"/>
    </bk>
    <bk>
      <rc t="1" v="1858"/>
    </bk>
    <bk>
      <rc t="1" v="1859"/>
    </bk>
    <bk>
      <rc t="1" v="1860"/>
    </bk>
    <bk>
      <rc t="1" v="1861"/>
    </bk>
    <bk>
      <rc t="1" v="1862"/>
    </bk>
    <bk>
      <rc t="1" v="1863"/>
    </bk>
    <bk>
      <rc t="1" v="1864"/>
    </bk>
    <bk>
      <rc t="1" v="1865"/>
    </bk>
    <bk>
      <rc t="1" v="1866"/>
    </bk>
    <bk>
      <rc t="1" v="1867"/>
    </bk>
    <bk>
      <rc t="1" v="1868"/>
    </bk>
    <bk>
      <rc t="1" v="1869"/>
    </bk>
    <bk>
      <rc t="1" v="1870"/>
    </bk>
    <bk>
      <rc t="1" v="1871"/>
    </bk>
    <bk>
      <rc t="1" v="1872"/>
    </bk>
    <bk>
      <rc t="1" v="1873"/>
    </bk>
    <bk>
      <rc t="1" v="1874"/>
    </bk>
    <bk>
      <rc t="1" v="1875"/>
    </bk>
    <bk>
      <rc t="1" v="1876"/>
    </bk>
    <bk>
      <rc t="1" v="1877"/>
    </bk>
    <bk>
      <rc t="1" v="1878"/>
    </bk>
    <bk>
      <rc t="1" v="1879"/>
    </bk>
    <bk>
      <rc t="1" v="1880"/>
    </bk>
    <bk>
      <rc t="1" v="1881"/>
    </bk>
    <bk>
      <rc t="1" v="1882"/>
    </bk>
    <bk>
      <rc t="1" v="1883"/>
    </bk>
    <bk>
      <rc t="1" v="1884"/>
    </bk>
    <bk>
      <rc t="1" v="1885"/>
    </bk>
    <bk>
      <rc t="1" v="1886"/>
    </bk>
    <bk>
      <rc t="1" v="1887"/>
    </bk>
    <bk>
      <rc t="1" v="1888"/>
    </bk>
    <bk>
      <rc t="1" v="1889"/>
    </bk>
    <bk>
      <rc t="1" v="1890"/>
    </bk>
    <bk>
      <rc t="1" v="1891"/>
    </bk>
    <bk>
      <rc t="1" v="1892"/>
    </bk>
    <bk>
      <rc t="1" v="1893"/>
    </bk>
    <bk>
      <rc t="1" v="1894"/>
    </bk>
    <bk>
      <rc t="1" v="1895"/>
    </bk>
    <bk>
      <rc t="1" v="1896"/>
    </bk>
    <bk>
      <rc t="1" v="1897"/>
    </bk>
    <bk>
      <rc t="1" v="1898"/>
    </bk>
    <bk>
      <rc t="1" v="1899"/>
    </bk>
    <bk>
      <rc t="1" v="1900"/>
    </bk>
    <bk>
      <rc t="1" v="1901"/>
    </bk>
    <bk>
      <rc t="1" v="1902"/>
    </bk>
    <bk>
      <rc t="1" v="1903"/>
    </bk>
    <bk>
      <rc t="1" v="1904"/>
    </bk>
    <bk>
      <rc t="1" v="1905"/>
    </bk>
    <bk>
      <rc t="1" v="1906"/>
    </bk>
    <bk>
      <rc t="1" v="1907"/>
    </bk>
    <bk>
      <rc t="1" v="1908"/>
    </bk>
    <bk>
      <rc t="1" v="1909"/>
    </bk>
    <bk>
      <rc t="1" v="1910"/>
    </bk>
    <bk>
      <rc t="1" v="1911"/>
    </bk>
    <bk>
      <rc t="1" v="1912"/>
    </bk>
    <bk>
      <rc t="1" v="1913"/>
    </bk>
    <bk>
      <rc t="1" v="1914"/>
    </bk>
    <bk>
      <rc t="1" v="1915"/>
    </bk>
    <bk>
      <rc t="1" v="1916"/>
    </bk>
    <bk>
      <rc t="1" v="1917"/>
    </bk>
    <bk>
      <rc t="1" v="1918"/>
    </bk>
    <bk>
      <rc t="1" v="1919"/>
    </bk>
    <bk>
      <rc t="1" v="1920"/>
    </bk>
    <bk>
      <rc t="1" v="1921"/>
    </bk>
    <bk>
      <rc t="1" v="1922"/>
    </bk>
    <bk>
      <rc t="1" v="1923"/>
    </bk>
    <bk>
      <rc t="1" v="1924"/>
    </bk>
    <bk>
      <rc t="1" v="1925"/>
    </bk>
    <bk>
      <rc t="1" v="1926"/>
    </bk>
    <bk>
      <rc t="1" v="1927"/>
    </bk>
    <bk>
      <rc t="1" v="1928"/>
    </bk>
    <bk>
      <rc t="1" v="1929"/>
    </bk>
    <bk>
      <rc t="1" v="1930"/>
    </bk>
    <bk>
      <rc t="1" v="1931"/>
    </bk>
    <bk>
      <rc t="1" v="1932"/>
    </bk>
    <bk>
      <rc t="1" v="1933"/>
    </bk>
    <bk>
      <rc t="1" v="1934"/>
    </bk>
    <bk>
      <rc t="1" v="1935"/>
    </bk>
    <bk>
      <rc t="1" v="1936"/>
    </bk>
    <bk>
      <rc t="1" v="1937"/>
    </bk>
    <bk>
      <rc t="1" v="1938"/>
    </bk>
    <bk>
      <rc t="1" v="1939"/>
    </bk>
    <bk>
      <rc t="1" v="1940"/>
    </bk>
    <bk>
      <rc t="1" v="1941"/>
    </bk>
    <bk>
      <rc t="1" v="1942"/>
    </bk>
    <bk>
      <rc t="1" v="1943"/>
    </bk>
    <bk>
      <rc t="1" v="1944"/>
    </bk>
    <bk>
      <rc t="1" v="1945"/>
    </bk>
    <bk>
      <rc t="1" v="1946"/>
    </bk>
    <bk>
      <rc t="1" v="1947"/>
    </bk>
    <bk>
      <rc t="1" v="1948"/>
    </bk>
    <bk>
      <rc t="1" v="1949"/>
    </bk>
    <bk>
      <rc t="1" v="1950"/>
    </bk>
    <bk>
      <rc t="1" v="1951"/>
    </bk>
    <bk>
      <rc t="1" v="1952"/>
    </bk>
    <bk>
      <rc t="1" v="1953"/>
    </bk>
    <bk>
      <rc t="1" v="1954"/>
    </bk>
    <bk>
      <rc t="1" v="1955"/>
    </bk>
    <bk>
      <rc t="1" v="1956"/>
    </bk>
    <bk>
      <rc t="1" v="1957"/>
    </bk>
    <bk>
      <rc t="1" v="1958"/>
    </bk>
    <bk>
      <rc t="1" v="1959"/>
    </bk>
    <bk>
      <rc t="1" v="1960"/>
    </bk>
    <bk>
      <rc t="1" v="1961"/>
    </bk>
    <bk>
      <rc t="1" v="1962"/>
    </bk>
    <bk>
      <rc t="1" v="1963"/>
    </bk>
    <bk>
      <rc t="1" v="1964"/>
    </bk>
    <bk>
      <rc t="1" v="1965"/>
    </bk>
    <bk>
      <rc t="1" v="1966"/>
    </bk>
    <bk>
      <rc t="1" v="1967"/>
    </bk>
    <bk>
      <rc t="1" v="1968"/>
    </bk>
    <bk>
      <rc t="1" v="1969"/>
    </bk>
    <bk>
      <rc t="1" v="1970"/>
    </bk>
    <bk>
      <rc t="1" v="1971"/>
    </bk>
    <bk>
      <rc t="1" v="1972"/>
    </bk>
    <bk>
      <rc t="1" v="1973"/>
    </bk>
    <bk>
      <rc t="1" v="1974"/>
    </bk>
    <bk>
      <rc t="1" v="1975"/>
    </bk>
    <bk>
      <rc t="1" v="1976"/>
    </bk>
    <bk>
      <rc t="1" v="1977"/>
    </bk>
    <bk>
      <rc t="1" v="1978"/>
    </bk>
    <bk>
      <rc t="1" v="1979"/>
    </bk>
    <bk>
      <rc t="1" v="1980"/>
    </bk>
    <bk>
      <rc t="1" v="1981"/>
    </bk>
    <bk>
      <rc t="1" v="1982"/>
    </bk>
    <bk>
      <rc t="1" v="1983"/>
    </bk>
    <bk>
      <rc t="1" v="1984"/>
    </bk>
    <bk>
      <rc t="1" v="1985"/>
    </bk>
    <bk>
      <rc t="1" v="1986"/>
    </bk>
    <bk>
      <rc t="1" v="1987"/>
    </bk>
    <bk>
      <rc t="1" v="1988"/>
    </bk>
    <bk>
      <rc t="1" v="1989"/>
    </bk>
    <bk>
      <rc t="1" v="1990"/>
    </bk>
    <bk>
      <rc t="1" v="1991"/>
    </bk>
    <bk>
      <rc t="1" v="1992"/>
    </bk>
    <bk>
      <rc t="1" v="1993"/>
    </bk>
    <bk>
      <rc t="1" v="1994"/>
    </bk>
    <bk>
      <rc t="1" v="1995"/>
    </bk>
    <bk>
      <rc t="1" v="1996"/>
    </bk>
    <bk>
      <rc t="1" v="1997"/>
    </bk>
    <bk>
      <rc t="1" v="1998"/>
    </bk>
    <bk>
      <rc t="1" v="1999"/>
    </bk>
    <bk>
      <rc t="1" v="2000"/>
    </bk>
    <bk>
      <rc t="1" v="2001"/>
    </bk>
    <bk>
      <rc t="1" v="2002"/>
    </bk>
    <bk>
      <rc t="1" v="2003"/>
    </bk>
    <bk>
      <rc t="1" v="2004"/>
    </bk>
    <bk>
      <rc t="1" v="2005"/>
    </bk>
    <bk>
      <rc t="1" v="2006"/>
    </bk>
    <bk>
      <rc t="1" v="2007"/>
    </bk>
    <bk>
      <rc t="1" v="2008"/>
    </bk>
    <bk>
      <rc t="1" v="2009"/>
    </bk>
    <bk>
      <rc t="1" v="2010"/>
    </bk>
    <bk>
      <rc t="1" v="2011"/>
    </bk>
    <bk>
      <rc t="1" v="2012"/>
    </bk>
    <bk>
      <rc t="1" v="2013"/>
    </bk>
    <bk>
      <rc t="1" v="2014"/>
    </bk>
    <bk>
      <rc t="1" v="2015"/>
    </bk>
    <bk>
      <rc t="1" v="2016"/>
    </bk>
    <bk>
      <rc t="1" v="2017"/>
    </bk>
    <bk>
      <rc t="1" v="2018"/>
    </bk>
    <bk>
      <rc t="1" v="2019"/>
    </bk>
    <bk>
      <rc t="1" v="2020"/>
    </bk>
    <bk>
      <rc t="1" v="2021"/>
    </bk>
    <bk>
      <rc t="1" v="2022"/>
    </bk>
    <bk>
      <rc t="1" v="2023"/>
    </bk>
    <bk>
      <rc t="1" v="2024"/>
    </bk>
    <bk>
      <rc t="1" v="2025"/>
    </bk>
    <bk>
      <rc t="1" v="2026"/>
    </bk>
    <bk>
      <rc t="1" v="2027"/>
    </bk>
    <bk>
      <rc t="1" v="2028"/>
    </bk>
    <bk>
      <rc t="1" v="2029"/>
    </bk>
    <bk>
      <rc t="1" v="2030"/>
    </bk>
    <bk>
      <rc t="1" v="2031"/>
    </bk>
    <bk>
      <rc t="1" v="2032"/>
    </bk>
    <bk>
      <rc t="1" v="2033"/>
    </bk>
    <bk>
      <rc t="1" v="2034"/>
    </bk>
    <bk>
      <rc t="1" v="2035"/>
    </bk>
    <bk>
      <rc t="1" v="2036"/>
    </bk>
    <bk>
      <rc t="1" v="2037"/>
    </bk>
    <bk>
      <rc t="1" v="2038"/>
    </bk>
    <bk>
      <rc t="1" v="2039"/>
    </bk>
    <bk>
      <rc t="1" v="2040"/>
    </bk>
    <bk>
      <rc t="1" v="2041"/>
    </bk>
    <bk>
      <rc t="1" v="2042"/>
    </bk>
    <bk>
      <rc t="1" v="2043"/>
    </bk>
    <bk>
      <rc t="1" v="2044"/>
    </bk>
    <bk>
      <rc t="1" v="2045"/>
    </bk>
    <bk>
      <rc t="1" v="2046"/>
    </bk>
    <bk>
      <rc t="1" v="2047"/>
    </bk>
    <bk>
      <rc t="1" v="2048"/>
    </bk>
    <bk>
      <rc t="1" v="2049"/>
    </bk>
    <bk>
      <rc t="1" v="2050"/>
    </bk>
    <bk>
      <rc t="1" v="2051"/>
    </bk>
    <bk>
      <rc t="1" v="2052"/>
    </bk>
    <bk>
      <rc t="1" v="2053"/>
    </bk>
    <bk>
      <rc t="1" v="2054"/>
    </bk>
    <bk>
      <rc t="1" v="2055"/>
    </bk>
    <bk>
      <rc t="1" v="2056"/>
    </bk>
    <bk>
      <rc t="1" v="2057"/>
    </bk>
    <bk>
      <rc t="1" v="2058"/>
    </bk>
    <bk>
      <rc t="1" v="2059"/>
    </bk>
    <bk>
      <rc t="1" v="2060"/>
    </bk>
    <bk>
      <rc t="1" v="2061"/>
    </bk>
    <bk>
      <rc t="1" v="2062"/>
    </bk>
    <bk>
      <rc t="1" v="2063"/>
    </bk>
    <bk>
      <rc t="1" v="2064"/>
    </bk>
    <bk>
      <rc t="1" v="2065"/>
    </bk>
    <bk>
      <rc t="1" v="2066"/>
    </bk>
    <bk>
      <rc t="1" v="2067"/>
    </bk>
    <bk>
      <rc t="1" v="2068"/>
    </bk>
    <bk>
      <rc t="1" v="2069"/>
    </bk>
    <bk>
      <rc t="1" v="2070"/>
    </bk>
    <bk>
      <rc t="1" v="2071"/>
    </bk>
    <bk>
      <rc t="1" v="2072"/>
    </bk>
    <bk>
      <rc t="1" v="2073"/>
    </bk>
    <bk>
      <rc t="1" v="2074"/>
    </bk>
    <bk>
      <rc t="1" v="2075"/>
    </bk>
    <bk>
      <rc t="1" v="2076"/>
    </bk>
    <bk>
      <rc t="1" v="2077"/>
    </bk>
    <bk>
      <rc t="1" v="2078"/>
    </bk>
    <bk>
      <rc t="1" v="2079"/>
    </bk>
    <bk>
      <rc t="1" v="2080"/>
    </bk>
    <bk>
      <rc t="1" v="2081"/>
    </bk>
    <bk>
      <rc t="1" v="2082"/>
    </bk>
    <bk>
      <rc t="1" v="2083"/>
    </bk>
    <bk>
      <rc t="1" v="2084"/>
    </bk>
    <bk>
      <rc t="1" v="2085"/>
    </bk>
    <bk>
      <rc t="1" v="2086"/>
    </bk>
    <bk>
      <rc t="1" v="2087"/>
    </bk>
    <bk>
      <rc t="1" v="2088"/>
    </bk>
    <bk>
      <rc t="1" v="2089"/>
    </bk>
    <bk>
      <rc t="1" v="2090"/>
    </bk>
    <bk>
      <rc t="1" v="2091"/>
    </bk>
    <bk>
      <rc t="1" v="2092"/>
    </bk>
    <bk>
      <rc t="1" v="2093"/>
    </bk>
    <bk>
      <rc t="1" v="2094"/>
    </bk>
    <bk>
      <rc t="1" v="2095"/>
    </bk>
    <bk>
      <rc t="1" v="2096"/>
    </bk>
    <bk>
      <rc t="1" v="2097"/>
    </bk>
    <bk>
      <rc t="1" v="2098"/>
    </bk>
    <bk>
      <rc t="1" v="2099"/>
    </bk>
    <bk>
      <rc t="1" v="2100"/>
    </bk>
    <bk>
      <rc t="1" v="2101"/>
    </bk>
    <bk>
      <rc t="1" v="2102"/>
    </bk>
    <bk>
      <rc t="1" v="2103"/>
    </bk>
    <bk>
      <rc t="1" v="2104"/>
    </bk>
    <bk>
      <rc t="1" v="2105"/>
    </bk>
    <bk>
      <rc t="1" v="2106"/>
    </bk>
    <bk>
      <rc t="1" v="2107"/>
    </bk>
    <bk>
      <rc t="1" v="2108"/>
    </bk>
    <bk>
      <rc t="1" v="2109"/>
    </bk>
    <bk>
      <rc t="1" v="2110"/>
    </bk>
    <bk>
      <rc t="1" v="2111"/>
    </bk>
    <bk>
      <rc t="1" v="2112"/>
    </bk>
    <bk>
      <rc t="1" v="2113"/>
    </bk>
    <bk>
      <rc t="1" v="2114"/>
    </bk>
    <bk>
      <rc t="1" v="2115"/>
    </bk>
    <bk>
      <rc t="1" v="2116"/>
    </bk>
    <bk>
      <rc t="1" v="2117"/>
    </bk>
    <bk>
      <rc t="1" v="2118"/>
    </bk>
    <bk>
      <rc t="1" v="2119"/>
    </bk>
    <bk>
      <rc t="1" v="2120"/>
    </bk>
    <bk>
      <rc t="1" v="2121"/>
    </bk>
    <bk>
      <rc t="1" v="2122"/>
    </bk>
    <bk>
      <rc t="1" v="2123"/>
    </bk>
    <bk>
      <rc t="1" v="2124"/>
    </bk>
    <bk>
      <rc t="1" v="2125"/>
    </bk>
    <bk>
      <rc t="1" v="2126"/>
    </bk>
    <bk>
      <rc t="1" v="2127"/>
    </bk>
    <bk>
      <rc t="1" v="2128"/>
    </bk>
    <bk>
      <rc t="1" v="2129"/>
    </bk>
    <bk>
      <rc t="1" v="2130"/>
    </bk>
    <bk>
      <rc t="1" v="2131"/>
    </bk>
    <bk>
      <rc t="1" v="2132"/>
    </bk>
    <bk>
      <rc t="1" v="2133"/>
    </bk>
    <bk>
      <rc t="1" v="2134"/>
    </bk>
    <bk>
      <rc t="1" v="2135"/>
    </bk>
    <bk>
      <rc t="1" v="2136"/>
    </bk>
    <bk>
      <rc t="1" v="2137"/>
    </bk>
    <bk>
      <rc t="1" v="2138"/>
    </bk>
    <bk>
      <rc t="1" v="2139"/>
    </bk>
    <bk>
      <rc t="1" v="2140"/>
    </bk>
    <bk>
      <rc t="1" v="2141"/>
    </bk>
    <bk>
      <rc t="1" v="2142"/>
    </bk>
    <bk>
      <rc t="1" v="2143"/>
    </bk>
    <bk>
      <rc t="1" v="2144"/>
    </bk>
    <bk>
      <rc t="1" v="2145"/>
    </bk>
    <bk>
      <rc t="1" v="2146"/>
    </bk>
    <bk>
      <rc t="1" v="2147"/>
    </bk>
    <bk>
      <rc t="1" v="2148"/>
    </bk>
    <bk>
      <rc t="1" v="2149"/>
    </bk>
    <bk>
      <rc t="1" v="2150"/>
    </bk>
    <bk>
      <rc t="1" v="2151"/>
    </bk>
    <bk>
      <rc t="1" v="2152"/>
    </bk>
    <bk>
      <rc t="1" v="2153"/>
    </bk>
    <bk>
      <rc t="1" v="2154"/>
    </bk>
    <bk>
      <rc t="1" v="2155"/>
    </bk>
    <bk>
      <rc t="1" v="2156"/>
    </bk>
    <bk>
      <rc t="1" v="2157"/>
    </bk>
    <bk>
      <rc t="1" v="2158"/>
    </bk>
    <bk>
      <rc t="1" v="2159"/>
    </bk>
    <bk>
      <rc t="1" v="2160"/>
    </bk>
    <bk>
      <rc t="1" v="2161"/>
    </bk>
    <bk>
      <rc t="1" v="2162"/>
    </bk>
    <bk>
      <rc t="1" v="2163"/>
    </bk>
    <bk>
      <rc t="1" v="2164"/>
    </bk>
    <bk>
      <rc t="1" v="2165"/>
    </bk>
    <bk>
      <rc t="1" v="2166"/>
    </bk>
    <bk>
      <rc t="1" v="2167"/>
    </bk>
    <bk>
      <rc t="1" v="2168"/>
    </bk>
    <bk>
      <rc t="1" v="2169"/>
    </bk>
    <bk>
      <rc t="1" v="2170"/>
    </bk>
    <bk>
      <rc t="1" v="2171"/>
    </bk>
    <bk>
      <rc t="1" v="2172"/>
    </bk>
    <bk>
      <rc t="1" v="2173"/>
    </bk>
    <bk>
      <rc t="1" v="2174"/>
    </bk>
    <bk>
      <rc t="1" v="2175"/>
    </bk>
    <bk>
      <rc t="1" v="2176"/>
    </bk>
    <bk>
      <rc t="1" v="2177"/>
    </bk>
    <bk>
      <rc t="1" v="2178"/>
    </bk>
    <bk>
      <rc t="1" v="2179"/>
    </bk>
    <bk>
      <rc t="1" v="2180"/>
    </bk>
    <bk>
      <rc t="1" v="2181"/>
    </bk>
    <bk>
      <rc t="1" v="2182"/>
    </bk>
    <bk>
      <rc t="1" v="2183"/>
    </bk>
    <bk>
      <rc t="1" v="2184"/>
    </bk>
    <bk>
      <rc t="1" v="2185"/>
    </bk>
    <bk>
      <rc t="1" v="2186"/>
    </bk>
    <bk>
      <rc t="1" v="2187"/>
    </bk>
    <bk>
      <rc t="1" v="2188"/>
    </bk>
    <bk>
      <rc t="1" v="2189"/>
    </bk>
    <bk>
      <rc t="1" v="2190"/>
    </bk>
    <bk>
      <rc t="1" v="2191"/>
    </bk>
    <bk>
      <rc t="1" v="2192"/>
    </bk>
    <bk>
      <rc t="1" v="2193"/>
    </bk>
    <bk>
      <rc t="1" v="2194"/>
    </bk>
    <bk>
      <rc t="1" v="2195"/>
    </bk>
    <bk>
      <rc t="1" v="2196"/>
    </bk>
    <bk>
      <rc t="1" v="2197"/>
    </bk>
    <bk>
      <rc t="1" v="2198"/>
    </bk>
    <bk>
      <rc t="1" v="2199"/>
    </bk>
    <bk>
      <rc t="1" v="2200"/>
    </bk>
    <bk>
      <rc t="1" v="2201"/>
    </bk>
    <bk>
      <rc t="1" v="2202"/>
    </bk>
    <bk>
      <rc t="1" v="2203"/>
    </bk>
    <bk>
      <rc t="1" v="2204"/>
    </bk>
    <bk>
      <rc t="1" v="2205"/>
    </bk>
    <bk>
      <rc t="1" v="2206"/>
    </bk>
    <bk>
      <rc t="1" v="2207"/>
    </bk>
    <bk>
      <rc t="1" v="2208"/>
    </bk>
    <bk>
      <rc t="1" v="2209"/>
    </bk>
    <bk>
      <rc t="1" v="2210"/>
    </bk>
    <bk>
      <rc t="1" v="2211"/>
    </bk>
    <bk>
      <rc t="1" v="2212"/>
    </bk>
    <bk>
      <rc t="1" v="2213"/>
    </bk>
    <bk>
      <rc t="1" v="2214"/>
    </bk>
    <bk>
      <rc t="1" v="2215"/>
    </bk>
    <bk>
      <rc t="1" v="2216"/>
    </bk>
    <bk>
      <rc t="1" v="2217"/>
    </bk>
    <bk>
      <rc t="1" v="2218"/>
    </bk>
    <bk>
      <rc t="1" v="2219"/>
    </bk>
    <bk>
      <rc t="1" v="2220"/>
    </bk>
    <bk>
      <rc t="1" v="2221"/>
    </bk>
    <bk>
      <rc t="1" v="2222"/>
    </bk>
    <bk>
      <rc t="1" v="2223"/>
    </bk>
    <bk>
      <rc t="1" v="2224"/>
    </bk>
    <bk>
      <rc t="1" v="2225"/>
    </bk>
    <bk>
      <rc t="1" v="2226"/>
    </bk>
    <bk>
      <rc t="1" v="2227"/>
    </bk>
    <bk>
      <rc t="1" v="2228"/>
    </bk>
    <bk>
      <rc t="1" v="2229"/>
    </bk>
    <bk>
      <rc t="1" v="2230"/>
    </bk>
    <bk>
      <rc t="1" v="2231"/>
    </bk>
    <bk>
      <rc t="1" v="2232"/>
    </bk>
    <bk>
      <rc t="1" v="2233"/>
    </bk>
    <bk>
      <rc t="1" v="2234"/>
    </bk>
    <bk>
      <rc t="1" v="2235"/>
    </bk>
    <bk>
      <rc t="1" v="2236"/>
    </bk>
    <bk>
      <rc t="1" v="2237"/>
    </bk>
    <bk>
      <rc t="1" v="2238"/>
    </bk>
    <bk>
      <rc t="1" v="2239"/>
    </bk>
    <bk>
      <rc t="1" v="2240"/>
    </bk>
    <bk>
      <rc t="1" v="2241"/>
    </bk>
    <bk>
      <rc t="1" v="2242"/>
    </bk>
    <bk>
      <rc t="1" v="2243"/>
    </bk>
    <bk>
      <rc t="1" v="2244"/>
    </bk>
    <bk>
      <rc t="1" v="2245"/>
    </bk>
    <bk>
      <rc t="1" v="2246"/>
    </bk>
    <bk>
      <rc t="1" v="2247"/>
    </bk>
    <bk>
      <rc t="1" v="2248"/>
    </bk>
    <bk>
      <rc t="1" v="2249"/>
    </bk>
    <bk>
      <rc t="1" v="2250"/>
    </bk>
    <bk>
      <rc t="1" v="2251"/>
    </bk>
    <bk>
      <rc t="1" v="2252"/>
    </bk>
    <bk>
      <rc t="1" v="2253"/>
    </bk>
    <bk>
      <rc t="1" v="2254"/>
    </bk>
    <bk>
      <rc t="1" v="2255"/>
    </bk>
    <bk>
      <rc t="1" v="2256"/>
    </bk>
    <bk>
      <rc t="1" v="2257"/>
    </bk>
    <bk>
      <rc t="1" v="2258"/>
    </bk>
    <bk>
      <rc t="1" v="2259"/>
    </bk>
    <bk>
      <rc t="1" v="2260"/>
    </bk>
    <bk>
      <rc t="1" v="2261"/>
    </bk>
    <bk>
      <rc t="1" v="2262"/>
    </bk>
    <bk>
      <rc t="1" v="2263"/>
    </bk>
    <bk>
      <rc t="1" v="2264"/>
    </bk>
    <bk>
      <rc t="1" v="2265"/>
    </bk>
    <bk>
      <rc t="1" v="2266"/>
    </bk>
    <bk>
      <rc t="1" v="2267"/>
    </bk>
    <bk>
      <rc t="1" v="2268"/>
    </bk>
    <bk>
      <rc t="1" v="2269"/>
    </bk>
    <bk>
      <rc t="1" v="2270"/>
    </bk>
    <bk>
      <rc t="1" v="2271"/>
    </bk>
    <bk>
      <rc t="1" v="2272"/>
    </bk>
    <bk>
      <rc t="1" v="2273"/>
    </bk>
    <bk>
      <rc t="1" v="2274"/>
    </bk>
    <bk>
      <rc t="1" v="2275"/>
    </bk>
    <bk>
      <rc t="1" v="2276"/>
    </bk>
    <bk>
      <rc t="1" v="2277"/>
    </bk>
    <bk>
      <rc t="1" v="2278"/>
    </bk>
    <bk>
      <rc t="1" v="2279"/>
    </bk>
    <bk>
      <rc t="1" v="2280"/>
    </bk>
    <bk>
      <rc t="1" v="2281"/>
    </bk>
    <bk>
      <rc t="1" v="2282"/>
    </bk>
    <bk>
      <rc t="1" v="2283"/>
    </bk>
    <bk>
      <rc t="1" v="2284"/>
    </bk>
    <bk>
      <rc t="1" v="2285"/>
    </bk>
    <bk>
      <rc t="1" v="2286"/>
    </bk>
    <bk>
      <rc t="1" v="2287"/>
    </bk>
    <bk>
      <rc t="1" v="2288"/>
    </bk>
    <bk>
      <rc t="1" v="2289"/>
    </bk>
    <bk>
      <rc t="1" v="2290"/>
    </bk>
    <bk>
      <rc t="1" v="2291"/>
    </bk>
    <bk>
      <rc t="1" v="2292"/>
    </bk>
    <bk>
      <rc t="1" v="2293"/>
    </bk>
    <bk>
      <rc t="1" v="2294"/>
    </bk>
    <bk>
      <rc t="1" v="2295"/>
    </bk>
    <bk>
      <rc t="1" v="2296"/>
    </bk>
    <bk>
      <rc t="1" v="2297"/>
    </bk>
    <bk>
      <rc t="1" v="2298"/>
    </bk>
    <bk>
      <rc t="1" v="2299"/>
    </bk>
    <bk>
      <rc t="1" v="2300"/>
    </bk>
    <bk>
      <rc t="1" v="2301"/>
    </bk>
    <bk>
      <rc t="1" v="2302"/>
    </bk>
    <bk>
      <rc t="1" v="2303"/>
    </bk>
    <bk>
      <rc t="1" v="2304"/>
    </bk>
    <bk>
      <rc t="1" v="2305"/>
    </bk>
    <bk>
      <rc t="1" v="2306"/>
    </bk>
    <bk>
      <rc t="1" v="2307"/>
    </bk>
    <bk>
      <rc t="1" v="2308"/>
    </bk>
    <bk>
      <rc t="1" v="2309"/>
    </bk>
    <bk>
      <rc t="1" v="2310"/>
    </bk>
    <bk>
      <rc t="1" v="2311"/>
    </bk>
    <bk>
      <rc t="1" v="2312"/>
    </bk>
    <bk>
      <rc t="1" v="2313"/>
    </bk>
    <bk>
      <rc t="1" v="2314"/>
    </bk>
    <bk>
      <rc t="1" v="2315"/>
    </bk>
    <bk>
      <rc t="1" v="2316"/>
    </bk>
    <bk>
      <rc t="1" v="2317"/>
    </bk>
    <bk>
      <rc t="1" v="2318"/>
    </bk>
    <bk>
      <rc t="1" v="2319"/>
    </bk>
    <bk>
      <rc t="1" v="2320"/>
    </bk>
    <bk>
      <rc t="1" v="2321"/>
    </bk>
    <bk>
      <rc t="1" v="2322"/>
    </bk>
    <bk>
      <rc t="1" v="2323"/>
    </bk>
    <bk>
      <rc t="1" v="2324"/>
    </bk>
    <bk>
      <rc t="1" v="2325"/>
    </bk>
    <bk>
      <rc t="1" v="2326"/>
    </bk>
    <bk>
      <rc t="1" v="2327"/>
    </bk>
    <bk>
      <rc t="1" v="2328"/>
    </bk>
    <bk>
      <rc t="1" v="2329"/>
    </bk>
    <bk>
      <rc t="1" v="2330"/>
    </bk>
    <bk>
      <rc t="1" v="2331"/>
    </bk>
    <bk>
      <rc t="1" v="2332"/>
    </bk>
    <bk>
      <rc t="1" v="2333"/>
    </bk>
    <bk>
      <rc t="1" v="2334"/>
    </bk>
    <bk>
      <rc t="1" v="2335"/>
    </bk>
    <bk>
      <rc t="1" v="2336"/>
    </bk>
    <bk>
      <rc t="1" v="2337"/>
    </bk>
    <bk>
      <rc t="1" v="2338"/>
    </bk>
    <bk>
      <rc t="1" v="2339"/>
    </bk>
    <bk>
      <rc t="1" v="2340"/>
    </bk>
    <bk>
      <rc t="1" v="2341"/>
    </bk>
    <bk>
      <rc t="1" v="2342"/>
    </bk>
    <bk>
      <rc t="1" v="2343"/>
    </bk>
    <bk>
      <rc t="1" v="2344"/>
    </bk>
    <bk>
      <rc t="1" v="2345"/>
    </bk>
    <bk>
      <rc t="1" v="2346"/>
    </bk>
    <bk>
      <rc t="1" v="2347"/>
    </bk>
    <bk>
      <rc t="1" v="2348"/>
    </bk>
    <bk>
      <rc t="1" v="2349"/>
    </bk>
    <bk>
      <rc t="1" v="2350"/>
    </bk>
    <bk>
      <rc t="1" v="2351"/>
    </bk>
    <bk>
      <rc t="1" v="2352"/>
    </bk>
    <bk>
      <rc t="1" v="2353"/>
    </bk>
    <bk>
      <rc t="1" v="2354"/>
    </bk>
    <bk>
      <rc t="1" v="2355"/>
    </bk>
    <bk>
      <rc t="1" v="2356"/>
    </bk>
    <bk>
      <rc t="1" v="2357"/>
    </bk>
    <bk>
      <rc t="1" v="2358"/>
    </bk>
    <bk>
      <rc t="1" v="2359"/>
    </bk>
    <bk>
      <rc t="1" v="2360"/>
    </bk>
    <bk>
      <rc t="1" v="2361"/>
    </bk>
    <bk>
      <rc t="1" v="2362"/>
    </bk>
    <bk>
      <rc t="1" v="2363"/>
    </bk>
    <bk>
      <rc t="1" v="2364"/>
    </bk>
    <bk>
      <rc t="1" v="2365"/>
    </bk>
    <bk>
      <rc t="1" v="2366"/>
    </bk>
    <bk>
      <rc t="1" v="2367"/>
    </bk>
    <bk>
      <rc t="1" v="2368"/>
    </bk>
    <bk>
      <rc t="1" v="2369"/>
    </bk>
    <bk>
      <rc t="1" v="2370"/>
    </bk>
    <bk>
      <rc t="1" v="2371"/>
    </bk>
    <bk>
      <rc t="1" v="2372"/>
    </bk>
    <bk>
      <rc t="1" v="2373"/>
    </bk>
    <bk>
      <rc t="1" v="2374"/>
    </bk>
    <bk>
      <rc t="1" v="2375"/>
    </bk>
    <bk>
      <rc t="1" v="2376"/>
    </bk>
    <bk>
      <rc t="1" v="2377"/>
    </bk>
    <bk>
      <rc t="1" v="2378"/>
    </bk>
    <bk>
      <rc t="1" v="2379"/>
    </bk>
    <bk>
      <rc t="1" v="2380"/>
    </bk>
    <bk>
      <rc t="1" v="2381"/>
    </bk>
    <bk>
      <rc t="1" v="2382"/>
    </bk>
    <bk>
      <rc t="1" v="2383"/>
    </bk>
    <bk>
      <rc t="1" v="2384"/>
    </bk>
    <bk>
      <rc t="1" v="2385"/>
    </bk>
    <bk>
      <rc t="1" v="2386"/>
    </bk>
    <bk>
      <rc t="1" v="2387"/>
    </bk>
    <bk>
      <rc t="1" v="2388"/>
    </bk>
    <bk>
      <rc t="1" v="2389"/>
    </bk>
    <bk>
      <rc t="1" v="2390"/>
    </bk>
    <bk>
      <rc t="1" v="2391"/>
    </bk>
    <bk>
      <rc t="1" v="2392"/>
    </bk>
    <bk>
      <rc t="1" v="2393"/>
    </bk>
    <bk>
      <rc t="1" v="2394"/>
    </bk>
    <bk>
      <rc t="1" v="2395"/>
    </bk>
    <bk>
      <rc t="1" v="2396"/>
    </bk>
    <bk>
      <rc t="1" v="2397"/>
    </bk>
    <bk>
      <rc t="1" v="2398"/>
    </bk>
    <bk>
      <rc t="1" v="2399"/>
    </bk>
    <bk>
      <rc t="1" v="2400"/>
    </bk>
    <bk>
      <rc t="1" v="2401"/>
    </bk>
    <bk>
      <rc t="1" v="2402"/>
    </bk>
    <bk>
      <rc t="1" v="2403"/>
    </bk>
    <bk>
      <rc t="1" v="2404"/>
    </bk>
    <bk>
      <rc t="1" v="2405"/>
    </bk>
    <bk>
      <rc t="1" v="2406"/>
    </bk>
    <bk>
      <rc t="1" v="2407"/>
    </bk>
    <bk>
      <rc t="1" v="2408"/>
    </bk>
    <bk>
      <rc t="1" v="2409"/>
    </bk>
    <bk>
      <rc t="1" v="2410"/>
    </bk>
    <bk>
      <rc t="1" v="2411"/>
    </bk>
    <bk>
      <rc t="1" v="2412"/>
    </bk>
    <bk>
      <rc t="1" v="2413"/>
    </bk>
    <bk>
      <rc t="1" v="2414"/>
    </bk>
    <bk>
      <rc t="1" v="2415"/>
    </bk>
    <bk>
      <rc t="1" v="2416"/>
    </bk>
    <bk>
      <rc t="1" v="2417"/>
    </bk>
    <bk>
      <rc t="1" v="2418"/>
    </bk>
    <bk>
      <rc t="1" v="2419"/>
    </bk>
    <bk>
      <rc t="1" v="2420"/>
    </bk>
    <bk>
      <rc t="1" v="2421"/>
    </bk>
    <bk>
      <rc t="1" v="2422"/>
    </bk>
    <bk>
      <rc t="1" v="2423"/>
    </bk>
    <bk>
      <rc t="1" v="2424"/>
    </bk>
    <bk>
      <rc t="1" v="2425"/>
    </bk>
    <bk>
      <rc t="1" v="2426"/>
    </bk>
    <bk>
      <rc t="1" v="2427"/>
    </bk>
    <bk>
      <rc t="1" v="2428"/>
    </bk>
    <bk>
      <rc t="1" v="2429"/>
    </bk>
    <bk>
      <rc t="1" v="2430"/>
    </bk>
    <bk>
      <rc t="1" v="2431"/>
    </bk>
    <bk>
      <rc t="1" v="2432"/>
    </bk>
    <bk>
      <rc t="1" v="2433"/>
    </bk>
    <bk>
      <rc t="1" v="2434"/>
    </bk>
    <bk>
      <rc t="1" v="2435"/>
    </bk>
    <bk>
      <rc t="1" v="2436"/>
    </bk>
    <bk>
      <rc t="1" v="2437"/>
    </bk>
    <bk>
      <rc t="1" v="2438"/>
    </bk>
    <bk>
      <rc t="1" v="2439"/>
    </bk>
    <bk>
      <rc t="1" v="2440"/>
    </bk>
    <bk>
      <rc t="1" v="2441"/>
    </bk>
    <bk>
      <rc t="1" v="2442"/>
    </bk>
    <bk>
      <rc t="1" v="2443"/>
    </bk>
    <bk>
      <rc t="1" v="2444"/>
    </bk>
    <bk>
      <rc t="1" v="2445"/>
    </bk>
    <bk>
      <rc t="1" v="2446"/>
    </bk>
    <bk>
      <rc t="1" v="2447"/>
    </bk>
    <bk>
      <rc t="1" v="2448"/>
    </bk>
    <bk>
      <rc t="1" v="2449"/>
    </bk>
    <bk>
      <rc t="1" v="2450"/>
    </bk>
    <bk>
      <rc t="1" v="2451"/>
    </bk>
    <bk>
      <rc t="1" v="2452"/>
    </bk>
    <bk>
      <rc t="1" v="2453"/>
    </bk>
    <bk>
      <rc t="1" v="2454"/>
    </bk>
    <bk>
      <rc t="1" v="2455"/>
    </bk>
    <bk>
      <rc t="1" v="2456"/>
    </bk>
    <bk>
      <rc t="1" v="2457"/>
    </bk>
    <bk>
      <rc t="1" v="2458"/>
    </bk>
    <bk>
      <rc t="1" v="2459"/>
    </bk>
    <bk>
      <rc t="1" v="2460"/>
    </bk>
    <bk>
      <rc t="1" v="2461"/>
    </bk>
    <bk>
      <rc t="1" v="2462"/>
    </bk>
    <bk>
      <rc t="1" v="2463"/>
    </bk>
    <bk>
      <rc t="1" v="2464"/>
    </bk>
    <bk>
      <rc t="1" v="2465"/>
    </bk>
    <bk>
      <rc t="1" v="2466"/>
    </bk>
    <bk>
      <rc t="1" v="2467"/>
    </bk>
    <bk>
      <rc t="1" v="2468"/>
    </bk>
    <bk>
      <rc t="1" v="2469"/>
    </bk>
    <bk>
      <rc t="1" v="2470"/>
    </bk>
    <bk>
      <rc t="1" v="2471"/>
    </bk>
    <bk>
      <rc t="1" v="2472"/>
    </bk>
    <bk>
      <rc t="1" v="2473"/>
    </bk>
    <bk>
      <rc t="1" v="2474"/>
    </bk>
    <bk>
      <rc t="1" v="2475"/>
    </bk>
    <bk>
      <rc t="1" v="2476"/>
    </bk>
    <bk>
      <rc t="1" v="2477"/>
    </bk>
    <bk>
      <rc t="1" v="2478"/>
    </bk>
    <bk>
      <rc t="1" v="2479"/>
    </bk>
    <bk>
      <rc t="1" v="2480"/>
    </bk>
    <bk>
      <rc t="1" v="2481"/>
    </bk>
    <bk>
      <rc t="1" v="2482"/>
    </bk>
    <bk>
      <rc t="1" v="2483"/>
    </bk>
    <bk>
      <rc t="1" v="2484"/>
    </bk>
    <bk>
      <rc t="1" v="2485"/>
    </bk>
    <bk>
      <rc t="1" v="2486"/>
    </bk>
    <bk>
      <rc t="1" v="2487"/>
    </bk>
    <bk>
      <rc t="1" v="2488"/>
    </bk>
    <bk>
      <rc t="1" v="2489"/>
    </bk>
    <bk>
      <rc t="1" v="2490"/>
    </bk>
    <bk>
      <rc t="1" v="2491"/>
    </bk>
    <bk>
      <rc t="1" v="2492"/>
    </bk>
    <bk>
      <rc t="1" v="2493"/>
    </bk>
    <bk>
      <rc t="1" v="2494"/>
    </bk>
    <bk>
      <rc t="1" v="2495"/>
    </bk>
    <bk>
      <rc t="1" v="2496"/>
    </bk>
    <bk>
      <rc t="1" v="2497"/>
    </bk>
    <bk>
      <rc t="1" v="2498"/>
    </bk>
    <bk>
      <rc t="1" v="2499"/>
    </bk>
    <bk>
      <rc t="1" v="2500"/>
    </bk>
    <bk>
      <rc t="1" v="2501"/>
    </bk>
    <bk>
      <rc t="1" v="2502"/>
    </bk>
    <bk>
      <rc t="1" v="2503"/>
    </bk>
    <bk>
      <rc t="1" v="2504"/>
    </bk>
    <bk>
      <rc t="1" v="2505"/>
    </bk>
    <bk>
      <rc t="1" v="2506"/>
    </bk>
    <bk>
      <rc t="1" v="2507"/>
    </bk>
    <bk>
      <rc t="1" v="2508"/>
    </bk>
    <bk>
      <rc t="1" v="2509"/>
    </bk>
    <bk>
      <rc t="1" v="2510"/>
    </bk>
    <bk>
      <rc t="1" v="2511"/>
    </bk>
    <bk>
      <rc t="1" v="2512"/>
    </bk>
    <bk>
      <rc t="1" v="2513"/>
    </bk>
    <bk>
      <rc t="1" v="2514"/>
    </bk>
    <bk>
      <rc t="1" v="2515"/>
    </bk>
    <bk>
      <rc t="1" v="2516"/>
    </bk>
    <bk>
      <rc t="1" v="2517"/>
    </bk>
    <bk>
      <rc t="1" v="2518"/>
    </bk>
    <bk>
      <rc t="1" v="2519"/>
    </bk>
    <bk>
      <rc t="1" v="2520"/>
    </bk>
    <bk>
      <rc t="1" v="2521"/>
    </bk>
    <bk>
      <rc t="1" v="2522"/>
    </bk>
    <bk>
      <rc t="1" v="2523"/>
    </bk>
    <bk>
      <rc t="1" v="2524"/>
    </bk>
    <bk>
      <rc t="1" v="2525"/>
    </bk>
    <bk>
      <rc t="1" v="2526"/>
    </bk>
    <bk>
      <rc t="1" v="2527"/>
    </bk>
    <bk>
      <rc t="1" v="2528"/>
    </bk>
    <bk>
      <rc t="1" v="2529"/>
    </bk>
    <bk>
      <rc t="1" v="2530"/>
    </bk>
    <bk>
      <rc t="1" v="2531"/>
    </bk>
    <bk>
      <rc t="1" v="2532"/>
    </bk>
    <bk>
      <rc t="1" v="2533"/>
    </bk>
    <bk>
      <rc t="1" v="2534"/>
    </bk>
    <bk>
      <rc t="1" v="2535"/>
    </bk>
    <bk>
      <rc t="1" v="2536"/>
    </bk>
    <bk>
      <rc t="1" v="2537"/>
    </bk>
    <bk>
      <rc t="1" v="2538"/>
    </bk>
    <bk>
      <rc t="1" v="2539"/>
    </bk>
    <bk>
      <rc t="1" v="2540"/>
    </bk>
    <bk>
      <rc t="1" v="2541"/>
    </bk>
    <bk>
      <rc t="1" v="2542"/>
    </bk>
    <bk>
      <rc t="1" v="2543"/>
    </bk>
    <bk>
      <rc t="1" v="2544"/>
    </bk>
    <bk>
      <rc t="1" v="2545"/>
    </bk>
    <bk>
      <rc t="1" v="2546"/>
    </bk>
    <bk>
      <rc t="1" v="2547"/>
    </bk>
    <bk>
      <rc t="1" v="2548"/>
    </bk>
    <bk>
      <rc t="1" v="2549"/>
    </bk>
    <bk>
      <rc t="1" v="2550"/>
    </bk>
    <bk>
      <rc t="1" v="2551"/>
    </bk>
    <bk>
      <rc t="1" v="2552"/>
    </bk>
    <bk>
      <rc t="1" v="2553"/>
    </bk>
    <bk>
      <rc t="1" v="2554"/>
    </bk>
    <bk>
      <rc t="1" v="2555"/>
    </bk>
    <bk>
      <rc t="1" v="2556"/>
    </bk>
    <bk>
      <rc t="1" v="2557"/>
    </bk>
    <bk>
      <rc t="1" v="2558"/>
    </bk>
    <bk>
      <rc t="1" v="2559"/>
    </bk>
    <bk>
      <rc t="1" v="2560"/>
    </bk>
    <bk>
      <rc t="1" v="2561"/>
    </bk>
    <bk>
      <rc t="1" v="2562"/>
    </bk>
    <bk>
      <rc t="1" v="2563"/>
    </bk>
    <bk>
      <rc t="1" v="2564"/>
    </bk>
    <bk>
      <rc t="1" v="2565"/>
    </bk>
    <bk>
      <rc t="1" v="2566"/>
    </bk>
    <bk>
      <rc t="1" v="2567"/>
    </bk>
    <bk>
      <rc t="1" v="2568"/>
    </bk>
    <bk>
      <rc t="1" v="2569"/>
    </bk>
    <bk>
      <rc t="1" v="2570"/>
    </bk>
    <bk>
      <rc t="1" v="2571"/>
    </bk>
    <bk>
      <rc t="1" v="2572"/>
    </bk>
    <bk>
      <rc t="1" v="2573"/>
    </bk>
    <bk>
      <rc t="1" v="2574"/>
    </bk>
    <bk>
      <rc t="1" v="2575"/>
    </bk>
    <bk>
      <rc t="1" v="2576"/>
    </bk>
    <bk>
      <rc t="1" v="2577"/>
    </bk>
    <bk>
      <rc t="1" v="2578"/>
    </bk>
    <bk>
      <rc t="1" v="2579"/>
    </bk>
    <bk>
      <rc t="1" v="2580"/>
    </bk>
    <bk>
      <rc t="1" v="2581"/>
    </bk>
    <bk>
      <rc t="1" v="2582"/>
    </bk>
    <bk>
      <rc t="1" v="2583"/>
    </bk>
    <bk>
      <rc t="1" v="2584"/>
    </bk>
    <bk>
      <rc t="1" v="2585"/>
    </bk>
    <bk>
      <rc t="1" v="2586"/>
    </bk>
    <bk>
      <rc t="1" v="2587"/>
    </bk>
    <bk>
      <rc t="1" v="2588"/>
    </bk>
    <bk>
      <rc t="1" v="2589"/>
    </bk>
    <bk>
      <rc t="1" v="2590"/>
    </bk>
    <bk>
      <rc t="1" v="2591"/>
    </bk>
    <bk>
      <rc t="1" v="2592"/>
    </bk>
    <bk>
      <rc t="1" v="2593"/>
    </bk>
    <bk>
      <rc t="1" v="2594"/>
    </bk>
    <bk>
      <rc t="1" v="2595"/>
    </bk>
    <bk>
      <rc t="1" v="2596"/>
    </bk>
    <bk>
      <rc t="1" v="2597"/>
    </bk>
    <bk>
      <rc t="1" v="2598"/>
    </bk>
    <bk>
      <rc t="1" v="2599"/>
    </bk>
    <bk>
      <rc t="1" v="2600"/>
    </bk>
    <bk>
      <rc t="1" v="2601"/>
    </bk>
    <bk>
      <rc t="1" v="2602"/>
    </bk>
    <bk>
      <rc t="1" v="2603"/>
    </bk>
    <bk>
      <rc t="1" v="2604"/>
    </bk>
    <bk>
      <rc t="1" v="2605"/>
    </bk>
    <bk>
      <rc t="1" v="2606"/>
    </bk>
    <bk>
      <rc t="1" v="2607"/>
    </bk>
    <bk>
      <rc t="1" v="2608"/>
    </bk>
    <bk>
      <rc t="1" v="2609"/>
    </bk>
    <bk>
      <rc t="1" v="2610"/>
    </bk>
    <bk>
      <rc t="1" v="2611"/>
    </bk>
    <bk>
      <rc t="1" v="2612"/>
    </bk>
    <bk>
      <rc t="1" v="2613"/>
    </bk>
    <bk>
      <rc t="1" v="2614"/>
    </bk>
    <bk>
      <rc t="1" v="2615"/>
    </bk>
    <bk>
      <rc t="1" v="2616"/>
    </bk>
    <bk>
      <rc t="1" v="2617"/>
    </bk>
    <bk>
      <rc t="1" v="2618"/>
    </bk>
    <bk>
      <rc t="1" v="2619"/>
    </bk>
    <bk>
      <rc t="1" v="2620"/>
    </bk>
    <bk>
      <rc t="1" v="2621"/>
    </bk>
    <bk>
      <rc t="1" v="2622"/>
    </bk>
    <bk>
      <rc t="1" v="2623"/>
    </bk>
    <bk>
      <rc t="1" v="2624"/>
    </bk>
    <bk>
      <rc t="1" v="2625"/>
    </bk>
    <bk>
      <rc t="1" v="2626"/>
    </bk>
    <bk>
      <rc t="1" v="2627"/>
    </bk>
    <bk>
      <rc t="1" v="2628"/>
    </bk>
    <bk>
      <rc t="1" v="2629"/>
    </bk>
    <bk>
      <rc t="1" v="2630"/>
    </bk>
    <bk>
      <rc t="1" v="2631"/>
    </bk>
    <bk>
      <rc t="1" v="2632"/>
    </bk>
    <bk>
      <rc t="1" v="2633"/>
    </bk>
    <bk>
      <rc t="1" v="2634"/>
    </bk>
    <bk>
      <rc t="1" v="2635"/>
    </bk>
    <bk>
      <rc t="1" v="2636"/>
    </bk>
    <bk>
      <rc t="1" v="2637"/>
    </bk>
    <bk>
      <rc t="1" v="2638"/>
    </bk>
    <bk>
      <rc t="1" v="2639"/>
    </bk>
    <bk>
      <rc t="1" v="2640"/>
    </bk>
    <bk>
      <rc t="1" v="2641"/>
    </bk>
    <bk>
      <rc t="1" v="2642"/>
    </bk>
    <bk>
      <rc t="1" v="2643"/>
    </bk>
    <bk>
      <rc t="1" v="2644"/>
    </bk>
    <bk>
      <rc t="1" v="2645"/>
    </bk>
    <bk>
      <rc t="1" v="2646"/>
    </bk>
    <bk>
      <rc t="1" v="2647"/>
    </bk>
    <bk>
      <rc t="1" v="2648"/>
    </bk>
    <bk>
      <rc t="1" v="2649"/>
    </bk>
    <bk>
      <rc t="1" v="2650"/>
    </bk>
    <bk>
      <rc t="1" v="2651"/>
    </bk>
    <bk>
      <rc t="1" v="2652"/>
    </bk>
    <bk>
      <rc t="1" v="2653"/>
    </bk>
    <bk>
      <rc t="1" v="2654"/>
    </bk>
    <bk>
      <rc t="1" v="2655"/>
    </bk>
    <bk>
      <rc t="1" v="2656"/>
    </bk>
    <bk>
      <rc t="1" v="2657"/>
    </bk>
    <bk>
      <rc t="1" v="2658"/>
    </bk>
    <bk>
      <rc t="1" v="2659"/>
    </bk>
    <bk>
      <rc t="1" v="2660"/>
    </bk>
    <bk>
      <rc t="1" v="2661"/>
    </bk>
    <bk>
      <rc t="1" v="2662"/>
    </bk>
    <bk>
      <rc t="1" v="2663"/>
    </bk>
    <bk>
      <rc t="1" v="2664"/>
    </bk>
    <bk>
      <rc t="1" v="2665"/>
    </bk>
    <bk>
      <rc t="1" v="2666"/>
    </bk>
    <bk>
      <rc t="1" v="2667"/>
    </bk>
    <bk>
      <rc t="1" v="2668"/>
    </bk>
    <bk>
      <rc t="1" v="2669"/>
    </bk>
    <bk>
      <rc t="1" v="2670"/>
    </bk>
    <bk>
      <rc t="1" v="2671"/>
    </bk>
    <bk>
      <rc t="1" v="2672"/>
    </bk>
    <bk>
      <rc t="1" v="2673"/>
    </bk>
    <bk>
      <rc t="1" v="2674"/>
    </bk>
    <bk>
      <rc t="1" v="2675"/>
    </bk>
    <bk>
      <rc t="1" v="2676"/>
    </bk>
    <bk>
      <rc t="1" v="2677"/>
    </bk>
    <bk>
      <rc t="1" v="2678"/>
    </bk>
    <bk>
      <rc t="1" v="2679"/>
    </bk>
    <bk>
      <rc t="1" v="2680"/>
    </bk>
    <bk>
      <rc t="1" v="2681"/>
    </bk>
    <bk>
      <rc t="1" v="2682"/>
    </bk>
    <bk>
      <rc t="1" v="2683"/>
    </bk>
    <bk>
      <rc t="1" v="2684"/>
    </bk>
    <bk>
      <rc t="1" v="2685"/>
    </bk>
    <bk>
      <rc t="1" v="2686"/>
    </bk>
    <bk>
      <rc t="1" v="2687"/>
    </bk>
    <bk>
      <rc t="1" v="2688"/>
    </bk>
    <bk>
      <rc t="1" v="2689"/>
    </bk>
    <bk>
      <rc t="1" v="2690"/>
    </bk>
    <bk>
      <rc t="1" v="2691"/>
    </bk>
    <bk>
      <rc t="1" v="2692"/>
    </bk>
    <bk>
      <rc t="1" v="2693"/>
    </bk>
    <bk>
      <rc t="1" v="2694"/>
    </bk>
    <bk>
      <rc t="1" v="2695"/>
    </bk>
    <bk>
      <rc t="1" v="2696"/>
    </bk>
    <bk>
      <rc t="1" v="2697"/>
    </bk>
    <bk>
      <rc t="1" v="2698"/>
    </bk>
    <bk>
      <rc t="1" v="2699"/>
    </bk>
    <bk>
      <rc t="1" v="2700"/>
    </bk>
    <bk>
      <rc t="1" v="2701"/>
    </bk>
    <bk>
      <rc t="1" v="2702"/>
    </bk>
    <bk>
      <rc t="1" v="2703"/>
    </bk>
    <bk>
      <rc t="1" v="2704"/>
    </bk>
    <bk>
      <rc t="1" v="2705"/>
    </bk>
    <bk>
      <rc t="1" v="2706"/>
    </bk>
    <bk>
      <rc t="1" v="2707"/>
    </bk>
    <bk>
      <rc t="1" v="2708"/>
    </bk>
    <bk>
      <rc t="1" v="2709"/>
    </bk>
    <bk>
      <rc t="1" v="2710"/>
    </bk>
    <bk>
      <rc t="1" v="2711"/>
    </bk>
    <bk>
      <rc t="1" v="2712"/>
    </bk>
    <bk>
      <rc t="1" v="2713"/>
    </bk>
    <bk>
      <rc t="1" v="2714"/>
    </bk>
    <bk>
      <rc t="1" v="2715"/>
    </bk>
    <bk>
      <rc t="1" v="2716"/>
    </bk>
    <bk>
      <rc t="1" v="2717"/>
    </bk>
    <bk>
      <rc t="1" v="2718"/>
    </bk>
    <bk>
      <rc t="1" v="2719"/>
    </bk>
    <bk>
      <rc t="1" v="2720"/>
    </bk>
    <bk>
      <rc t="1" v="2721"/>
    </bk>
    <bk>
      <rc t="1" v="2722"/>
    </bk>
    <bk>
      <rc t="1" v="2723"/>
    </bk>
    <bk>
      <rc t="1" v="2724"/>
    </bk>
    <bk>
      <rc t="1" v="2725"/>
    </bk>
    <bk>
      <rc t="1" v="2726"/>
    </bk>
    <bk>
      <rc t="1" v="2727"/>
    </bk>
    <bk>
      <rc t="1" v="2728"/>
    </bk>
    <bk>
      <rc t="1" v="2729"/>
    </bk>
    <bk>
      <rc t="1" v="2730"/>
    </bk>
    <bk>
      <rc t="1" v="2731"/>
    </bk>
    <bk>
      <rc t="1" v="2732"/>
    </bk>
    <bk>
      <rc t="1" v="2733"/>
    </bk>
    <bk>
      <rc t="1" v="2734"/>
    </bk>
    <bk>
      <rc t="1" v="2735"/>
    </bk>
    <bk>
      <rc t="1" v="2736"/>
    </bk>
    <bk>
      <rc t="1" v="2737"/>
    </bk>
    <bk>
      <rc t="1" v="2738"/>
    </bk>
    <bk>
      <rc t="1" v="2739"/>
    </bk>
    <bk>
      <rc t="1" v="2740"/>
    </bk>
    <bk>
      <rc t="1" v="2741"/>
    </bk>
    <bk>
      <rc t="1" v="2742"/>
    </bk>
    <bk>
      <rc t="1" v="2743"/>
    </bk>
    <bk>
      <rc t="1" v="2744"/>
    </bk>
    <bk>
      <rc t="1" v="2745"/>
    </bk>
    <bk>
      <rc t="1" v="2746"/>
    </bk>
    <bk>
      <rc t="1" v="2747"/>
    </bk>
    <bk>
      <rc t="1" v="2748"/>
    </bk>
    <bk>
      <rc t="1" v="2749"/>
    </bk>
    <bk>
      <rc t="1" v="2750"/>
    </bk>
    <bk>
      <rc t="1" v="2751"/>
    </bk>
    <bk>
      <rc t="1" v="2752"/>
    </bk>
    <bk>
      <rc t="1" v="2753"/>
    </bk>
    <bk>
      <rc t="1" v="2754"/>
    </bk>
    <bk>
      <rc t="1" v="2755"/>
    </bk>
    <bk>
      <rc t="1" v="2756"/>
    </bk>
    <bk>
      <rc t="1" v="2757"/>
    </bk>
    <bk>
      <rc t="1" v="2758"/>
    </bk>
    <bk>
      <rc t="1" v="2759"/>
    </bk>
    <bk>
      <rc t="1" v="2760"/>
    </bk>
    <bk>
      <rc t="1" v="2761"/>
    </bk>
    <bk>
      <rc t="1" v="2762"/>
    </bk>
    <bk>
      <rc t="1" v="2763"/>
    </bk>
    <bk>
      <rc t="1" v="2764"/>
    </bk>
    <bk>
      <rc t="1" v="2765"/>
    </bk>
    <bk>
      <rc t="1" v="2766"/>
    </bk>
    <bk>
      <rc t="1" v="2767"/>
    </bk>
    <bk>
      <rc t="1" v="2768"/>
    </bk>
    <bk>
      <rc t="1" v="2769"/>
    </bk>
    <bk>
      <rc t="1" v="2770"/>
    </bk>
    <bk>
      <rc t="1" v="2771"/>
    </bk>
    <bk>
      <rc t="1" v="2772"/>
    </bk>
    <bk>
      <rc t="1" v="2773"/>
    </bk>
    <bk>
      <rc t="1" v="2774"/>
    </bk>
    <bk>
      <rc t="1" v="2775"/>
    </bk>
    <bk>
      <rc t="1" v="2776"/>
    </bk>
    <bk>
      <rc t="1" v="2777"/>
    </bk>
    <bk>
      <rc t="1" v="2778"/>
    </bk>
    <bk>
      <rc t="1" v="2779"/>
    </bk>
    <bk>
      <rc t="1" v="2780"/>
    </bk>
    <bk>
      <rc t="1" v="2781"/>
    </bk>
    <bk>
      <rc t="1" v="2782"/>
    </bk>
    <bk>
      <rc t="1" v="2783"/>
    </bk>
    <bk>
      <rc t="1" v="2784"/>
    </bk>
    <bk>
      <rc t="1" v="2785"/>
    </bk>
    <bk>
      <rc t="1" v="2786"/>
    </bk>
    <bk>
      <rc t="1" v="2787"/>
    </bk>
    <bk>
      <rc t="1" v="2788"/>
    </bk>
    <bk>
      <rc t="1" v="2789"/>
    </bk>
    <bk>
      <rc t="1" v="2790"/>
    </bk>
    <bk>
      <rc t="1" v="2791"/>
    </bk>
    <bk>
      <rc t="1" v="2792"/>
    </bk>
    <bk>
      <rc t="1" v="2793"/>
    </bk>
    <bk>
      <rc t="1" v="2794"/>
    </bk>
    <bk>
      <rc t="1" v="2795"/>
    </bk>
    <bk>
      <rc t="1" v="2796"/>
    </bk>
    <bk>
      <rc t="1" v="2797"/>
    </bk>
    <bk>
      <rc t="1" v="2798"/>
    </bk>
    <bk>
      <rc t="1" v="2799"/>
    </bk>
    <bk>
      <rc t="1" v="2800"/>
    </bk>
    <bk>
      <rc t="1" v="2801"/>
    </bk>
    <bk>
      <rc t="1" v="2802"/>
    </bk>
    <bk>
      <rc t="1" v="2803"/>
    </bk>
    <bk>
      <rc t="1" v="2804"/>
    </bk>
    <bk>
      <rc t="1" v="2805"/>
    </bk>
    <bk>
      <rc t="1" v="2806"/>
    </bk>
    <bk>
      <rc t="1" v="2807"/>
    </bk>
    <bk>
      <rc t="1" v="2808"/>
    </bk>
    <bk>
      <rc t="1" v="2809"/>
    </bk>
    <bk>
      <rc t="1" v="2810"/>
    </bk>
    <bk>
      <rc t="1" v="2811"/>
    </bk>
    <bk>
      <rc t="1" v="2812"/>
    </bk>
    <bk>
      <rc t="1" v="2813"/>
    </bk>
    <bk>
      <rc t="1" v="2814"/>
    </bk>
    <bk>
      <rc t="1" v="2815"/>
    </bk>
    <bk>
      <rc t="1" v="2816"/>
    </bk>
    <bk>
      <rc t="1" v="2817"/>
    </bk>
    <bk>
      <rc t="1" v="2818"/>
    </bk>
    <bk>
      <rc t="1" v="2819"/>
    </bk>
    <bk>
      <rc t="1" v="2820"/>
    </bk>
    <bk>
      <rc t="1" v="2821"/>
    </bk>
    <bk>
      <rc t="1" v="2822"/>
    </bk>
    <bk>
      <rc t="1" v="2823"/>
    </bk>
    <bk>
      <rc t="1" v="2824"/>
    </bk>
    <bk>
      <rc t="1" v="2825"/>
    </bk>
    <bk>
      <rc t="1" v="2826"/>
    </bk>
    <bk>
      <rc t="1" v="2827"/>
    </bk>
    <bk>
      <rc t="1" v="2828"/>
    </bk>
    <bk>
      <rc t="1" v="2829"/>
    </bk>
    <bk>
      <rc t="1" v="2830"/>
    </bk>
    <bk>
      <rc t="1" v="2831"/>
    </bk>
    <bk>
      <rc t="1" v="2832"/>
    </bk>
    <bk>
      <rc t="1" v="2833"/>
    </bk>
    <bk>
      <rc t="1" v="2834"/>
    </bk>
    <bk>
      <rc t="1" v="2835"/>
    </bk>
    <bk>
      <rc t="1" v="2836"/>
    </bk>
    <bk>
      <rc t="1" v="2837"/>
    </bk>
    <bk>
      <rc t="1" v="2838"/>
    </bk>
    <bk>
      <rc t="1" v="2839"/>
    </bk>
    <bk>
      <rc t="1" v="2840"/>
    </bk>
    <bk>
      <rc t="1" v="2841"/>
    </bk>
    <bk>
      <rc t="1" v="2842"/>
    </bk>
    <bk>
      <rc t="1" v="2843"/>
    </bk>
    <bk>
      <rc t="1" v="2844"/>
    </bk>
    <bk>
      <rc t="1" v="2845"/>
    </bk>
    <bk>
      <rc t="1" v="2846"/>
    </bk>
    <bk>
      <rc t="1" v="2847"/>
    </bk>
    <bk>
      <rc t="1" v="2848"/>
    </bk>
    <bk>
      <rc t="1" v="2849"/>
    </bk>
    <bk>
      <rc t="1" v="2850"/>
    </bk>
    <bk>
      <rc t="1" v="2851"/>
    </bk>
    <bk>
      <rc t="1" v="2852"/>
    </bk>
    <bk>
      <rc t="1" v="2853"/>
    </bk>
    <bk>
      <rc t="1" v="2854"/>
    </bk>
    <bk>
      <rc t="1" v="2855"/>
    </bk>
    <bk>
      <rc t="1" v="2856"/>
    </bk>
    <bk>
      <rc t="1" v="2857"/>
    </bk>
    <bk>
      <rc t="1" v="2858"/>
    </bk>
    <bk>
      <rc t="1" v="2859"/>
    </bk>
    <bk>
      <rc t="1" v="2860"/>
    </bk>
    <bk>
      <rc t="1" v="2861"/>
    </bk>
    <bk>
      <rc t="1" v="2862"/>
    </bk>
    <bk>
      <rc t="1" v="2863"/>
    </bk>
    <bk>
      <rc t="1" v="2864"/>
    </bk>
    <bk>
      <rc t="1" v="2865"/>
    </bk>
    <bk>
      <rc t="1" v="2866"/>
    </bk>
    <bk>
      <rc t="1" v="2867"/>
    </bk>
    <bk>
      <rc t="1" v="2868"/>
    </bk>
    <bk>
      <rc t="1" v="2869"/>
    </bk>
    <bk>
      <rc t="1" v="2870"/>
    </bk>
    <bk>
      <rc t="1" v="2871"/>
    </bk>
    <bk>
      <rc t="1" v="2872"/>
    </bk>
    <bk>
      <rc t="1" v="2873"/>
    </bk>
    <bk>
      <rc t="1" v="2874"/>
    </bk>
    <bk>
      <rc t="1" v="2875"/>
    </bk>
    <bk>
      <rc t="1" v="2876"/>
    </bk>
    <bk>
      <rc t="1" v="2877"/>
    </bk>
    <bk>
      <rc t="1" v="2878"/>
    </bk>
    <bk>
      <rc t="1" v="2879"/>
    </bk>
    <bk>
      <rc t="1" v="2880"/>
    </bk>
    <bk>
      <rc t="1" v="2881"/>
    </bk>
    <bk>
      <rc t="1" v="2882"/>
    </bk>
    <bk>
      <rc t="1" v="2883"/>
    </bk>
    <bk>
      <rc t="1" v="2884"/>
    </bk>
    <bk>
      <rc t="1" v="2885"/>
    </bk>
    <bk>
      <rc t="1" v="2886"/>
    </bk>
    <bk>
      <rc t="1" v="2887"/>
    </bk>
    <bk>
      <rc t="1" v="2888"/>
    </bk>
    <bk>
      <rc t="1" v="2889"/>
    </bk>
    <bk>
      <rc t="1" v="2890"/>
    </bk>
    <bk>
      <rc t="1" v="2891"/>
    </bk>
    <bk>
      <rc t="1" v="2892"/>
    </bk>
    <bk>
      <rc t="1" v="2893"/>
    </bk>
    <bk>
      <rc t="1" v="2894"/>
    </bk>
    <bk>
      <rc t="1" v="2895"/>
    </bk>
    <bk>
      <rc t="1" v="2896"/>
    </bk>
    <bk>
      <rc t="1" v="2897"/>
    </bk>
    <bk>
      <rc t="1" v="2898"/>
    </bk>
    <bk>
      <rc t="1" v="2899"/>
    </bk>
    <bk>
      <rc t="1" v="2900"/>
    </bk>
    <bk>
      <rc t="1" v="2901"/>
    </bk>
    <bk>
      <rc t="1" v="2902"/>
    </bk>
    <bk>
      <rc t="1" v="2903"/>
    </bk>
    <bk>
      <rc t="1" v="2904"/>
    </bk>
    <bk>
      <rc t="1" v="2905"/>
    </bk>
    <bk>
      <rc t="1" v="2906"/>
    </bk>
    <bk>
      <rc t="1" v="2907"/>
    </bk>
    <bk>
      <rc t="1" v="2908"/>
    </bk>
    <bk>
      <rc t="1" v="2909"/>
    </bk>
    <bk>
      <rc t="1" v="2910"/>
    </bk>
    <bk>
      <rc t="1" v="2911"/>
    </bk>
    <bk>
      <rc t="1" v="2912"/>
    </bk>
    <bk>
      <rc t="1" v="2913"/>
    </bk>
    <bk>
      <rc t="1" v="2914"/>
    </bk>
    <bk>
      <rc t="1" v="2915"/>
    </bk>
    <bk>
      <rc t="1" v="2916"/>
    </bk>
    <bk>
      <rc t="1" v="2917"/>
    </bk>
    <bk>
      <rc t="1" v="2918"/>
    </bk>
    <bk>
      <rc t="1" v="2919"/>
    </bk>
    <bk>
      <rc t="1" v="2920"/>
    </bk>
    <bk>
      <rc t="1" v="2921"/>
    </bk>
    <bk>
      <rc t="1" v="2922"/>
    </bk>
    <bk>
      <rc t="1" v="2923"/>
    </bk>
    <bk>
      <rc t="1" v="2924"/>
    </bk>
    <bk>
      <rc t="1" v="2925"/>
    </bk>
    <bk>
      <rc t="1" v="2926"/>
    </bk>
    <bk>
      <rc t="1" v="2927"/>
    </bk>
    <bk>
      <rc t="1" v="2928"/>
    </bk>
    <bk>
      <rc t="1" v="2929"/>
    </bk>
    <bk>
      <rc t="1" v="2930"/>
    </bk>
    <bk>
      <rc t="1" v="2931"/>
    </bk>
    <bk>
      <rc t="1" v="2932"/>
    </bk>
    <bk>
      <rc t="1" v="2933"/>
    </bk>
    <bk>
      <rc t="1" v="2934"/>
    </bk>
    <bk>
      <rc t="1" v="2935"/>
    </bk>
    <bk>
      <rc t="1" v="2936"/>
    </bk>
    <bk>
      <rc t="1" v="2937"/>
    </bk>
    <bk>
      <rc t="1" v="2938"/>
    </bk>
    <bk>
      <rc t="1" v="2939"/>
    </bk>
    <bk>
      <rc t="1" v="2940"/>
    </bk>
    <bk>
      <rc t="1" v="2941"/>
    </bk>
    <bk>
      <rc t="1" v="2942"/>
    </bk>
    <bk>
      <rc t="1" v="2943"/>
    </bk>
    <bk>
      <rc t="1" v="2944"/>
    </bk>
    <bk>
      <rc t="1" v="2945"/>
    </bk>
    <bk>
      <rc t="1" v="2946"/>
    </bk>
    <bk>
      <rc t="1" v="2947"/>
    </bk>
    <bk>
      <rc t="1" v="2948"/>
    </bk>
    <bk>
      <rc t="1" v="2949"/>
    </bk>
    <bk>
      <rc t="1" v="2950"/>
    </bk>
    <bk>
      <rc t="1" v="2951"/>
    </bk>
    <bk>
      <rc t="1" v="2952"/>
    </bk>
    <bk>
      <rc t="1" v="2953"/>
    </bk>
    <bk>
      <rc t="1" v="2954"/>
    </bk>
    <bk>
      <rc t="1" v="2955"/>
    </bk>
    <bk>
      <rc t="1" v="2956"/>
    </bk>
    <bk>
      <rc t="1" v="2957"/>
    </bk>
    <bk>
      <rc t="1" v="2958"/>
    </bk>
    <bk>
      <rc t="1" v="2959"/>
    </bk>
    <bk>
      <rc t="1" v="2960"/>
    </bk>
    <bk>
      <rc t="1" v="2961"/>
    </bk>
    <bk>
      <rc t="1" v="2962"/>
    </bk>
    <bk>
      <rc t="1" v="2963"/>
    </bk>
    <bk>
      <rc t="1" v="2964"/>
    </bk>
    <bk>
      <rc t="1" v="2965"/>
    </bk>
    <bk>
      <rc t="1" v="2966"/>
    </bk>
    <bk>
      <rc t="1" v="2967"/>
    </bk>
    <bk>
      <rc t="1" v="2968"/>
    </bk>
    <bk>
      <rc t="1" v="2969"/>
    </bk>
    <bk>
      <rc t="1" v="2970"/>
    </bk>
    <bk>
      <rc t="1" v="2971"/>
    </bk>
    <bk>
      <rc t="1" v="2972"/>
    </bk>
    <bk>
      <rc t="1" v="2973"/>
    </bk>
    <bk>
      <rc t="1" v="2974"/>
    </bk>
    <bk>
      <rc t="1" v="2975"/>
    </bk>
    <bk>
      <rc t="1" v="2976"/>
    </bk>
    <bk>
      <rc t="1" v="2977"/>
    </bk>
    <bk>
      <rc t="1" v="2978"/>
    </bk>
    <bk>
      <rc t="1" v="2979"/>
    </bk>
    <bk>
      <rc t="1" v="2980"/>
    </bk>
    <bk>
      <rc t="1" v="2981"/>
    </bk>
    <bk>
      <rc t="1" v="2982"/>
    </bk>
    <bk>
      <rc t="1" v="2983"/>
    </bk>
    <bk>
      <rc t="1" v="2984"/>
    </bk>
    <bk>
      <rc t="1" v="2985"/>
    </bk>
    <bk>
      <rc t="1" v="2986"/>
    </bk>
    <bk>
      <rc t="1" v="2987"/>
    </bk>
    <bk>
      <rc t="1" v="2988"/>
    </bk>
    <bk>
      <rc t="1" v="2989"/>
    </bk>
    <bk>
      <rc t="1" v="2990"/>
    </bk>
    <bk>
      <rc t="1" v="2991"/>
    </bk>
    <bk>
      <rc t="1" v="2992"/>
    </bk>
    <bk>
      <rc t="1" v="2993"/>
    </bk>
    <bk>
      <rc t="1" v="2994"/>
    </bk>
    <bk>
      <rc t="1" v="2995"/>
    </bk>
    <bk>
      <rc t="1" v="2996"/>
    </bk>
    <bk>
      <rc t="1" v="2997"/>
    </bk>
    <bk>
      <rc t="1" v="2998"/>
    </bk>
    <bk>
      <rc t="1" v="2999"/>
    </bk>
    <bk>
      <rc t="1" v="3000"/>
    </bk>
    <bk>
      <rc t="1" v="3001"/>
    </bk>
    <bk>
      <rc t="1" v="3002"/>
    </bk>
    <bk>
      <rc t="1" v="3003"/>
    </bk>
    <bk>
      <rc t="1" v="3004"/>
    </bk>
    <bk>
      <rc t="1" v="3005"/>
    </bk>
    <bk>
      <rc t="1" v="3006"/>
    </bk>
    <bk>
      <rc t="1" v="3007"/>
    </bk>
    <bk>
      <rc t="1" v="3008"/>
    </bk>
    <bk>
      <rc t="1" v="3009"/>
    </bk>
    <bk>
      <rc t="1" v="3010"/>
    </bk>
    <bk>
      <rc t="1" v="3011"/>
    </bk>
    <bk>
      <rc t="1" v="3012"/>
    </bk>
    <bk>
      <rc t="1" v="3013"/>
    </bk>
    <bk>
      <rc t="1" v="3014"/>
    </bk>
    <bk>
      <rc t="1" v="3015"/>
    </bk>
    <bk>
      <rc t="1" v="3016"/>
    </bk>
    <bk>
      <rc t="1" v="3017"/>
    </bk>
    <bk>
      <rc t="1" v="3018"/>
    </bk>
    <bk>
      <rc t="1" v="3019"/>
    </bk>
    <bk>
      <rc t="1" v="3020"/>
    </bk>
    <bk>
      <rc t="1" v="3021"/>
    </bk>
    <bk>
      <rc t="1" v="3022"/>
    </bk>
    <bk>
      <rc t="1" v="3023"/>
    </bk>
    <bk>
      <rc t="1" v="3024"/>
    </bk>
    <bk>
      <rc t="1" v="3025"/>
    </bk>
    <bk>
      <rc t="1" v="3026"/>
    </bk>
    <bk>
      <rc t="1" v="3027"/>
    </bk>
    <bk>
      <rc t="1" v="3028"/>
    </bk>
    <bk>
      <rc t="1" v="3029"/>
    </bk>
    <bk>
      <rc t="1" v="3030"/>
    </bk>
    <bk>
      <rc t="1" v="3031"/>
    </bk>
    <bk>
      <rc t="1" v="3032"/>
    </bk>
    <bk>
      <rc t="1" v="3033"/>
    </bk>
    <bk>
      <rc t="1" v="3034"/>
    </bk>
    <bk>
      <rc t="1" v="3035"/>
    </bk>
    <bk>
      <rc t="1" v="3036"/>
    </bk>
    <bk>
      <rc t="1" v="3037"/>
    </bk>
    <bk>
      <rc t="1" v="3038"/>
    </bk>
    <bk>
      <rc t="1" v="3039"/>
    </bk>
    <bk>
      <rc t="1" v="3040"/>
    </bk>
    <bk>
      <rc t="1" v="3041"/>
    </bk>
    <bk>
      <rc t="1" v="3042"/>
    </bk>
    <bk>
      <rc t="1" v="3043"/>
    </bk>
    <bk>
      <rc t="1" v="3044"/>
    </bk>
    <bk>
      <rc t="1" v="3045"/>
    </bk>
    <bk>
      <rc t="1" v="3046"/>
    </bk>
    <bk>
      <rc t="1" v="3047"/>
    </bk>
    <bk>
      <rc t="1" v="3048"/>
    </bk>
    <bk>
      <rc t="1" v="3049"/>
    </bk>
    <bk>
      <rc t="1" v="3050"/>
    </bk>
    <bk>
      <rc t="1" v="3051"/>
    </bk>
    <bk>
      <rc t="1" v="3052"/>
    </bk>
    <bk>
      <rc t="1" v="3053"/>
    </bk>
    <bk>
      <rc t="1" v="3054"/>
    </bk>
    <bk>
      <rc t="1" v="3055"/>
    </bk>
    <bk>
      <rc t="1" v="3056"/>
    </bk>
    <bk>
      <rc t="1" v="3057"/>
    </bk>
    <bk>
      <rc t="1" v="3058"/>
    </bk>
    <bk>
      <rc t="1" v="3059"/>
    </bk>
    <bk>
      <rc t="1" v="3060"/>
    </bk>
    <bk>
      <rc t="1" v="3061"/>
    </bk>
    <bk>
      <rc t="1" v="3062"/>
    </bk>
    <bk>
      <rc t="1" v="3063"/>
    </bk>
    <bk>
      <rc t="1" v="3064"/>
    </bk>
    <bk>
      <rc t="1" v="3065"/>
    </bk>
    <bk>
      <rc t="1" v="3066"/>
    </bk>
    <bk>
      <rc t="1" v="3067"/>
    </bk>
    <bk>
      <rc t="1" v="3068"/>
    </bk>
    <bk>
      <rc t="1" v="3069"/>
    </bk>
    <bk>
      <rc t="1" v="3070"/>
    </bk>
    <bk>
      <rc t="1" v="3071"/>
    </bk>
    <bk>
      <rc t="1" v="3072"/>
    </bk>
    <bk>
      <rc t="1" v="3073"/>
    </bk>
    <bk>
      <rc t="1" v="3074"/>
    </bk>
    <bk>
      <rc t="1" v="3075"/>
    </bk>
    <bk>
      <rc t="1" v="3076"/>
    </bk>
    <bk>
      <rc t="1" v="3077"/>
    </bk>
    <bk>
      <rc t="1" v="3078"/>
    </bk>
    <bk>
      <rc t="1" v="3079"/>
    </bk>
    <bk>
      <rc t="1" v="3080"/>
    </bk>
    <bk>
      <rc t="1" v="3081"/>
    </bk>
    <bk>
      <rc t="1" v="3082"/>
    </bk>
    <bk>
      <rc t="1" v="3083"/>
    </bk>
    <bk>
      <rc t="1" v="3084"/>
    </bk>
    <bk>
      <rc t="1" v="3085"/>
    </bk>
    <bk>
      <rc t="1" v="3086"/>
    </bk>
    <bk>
      <rc t="1" v="3087"/>
    </bk>
    <bk>
      <rc t="1" v="3088"/>
    </bk>
    <bk>
      <rc t="1" v="3089"/>
    </bk>
    <bk>
      <rc t="1" v="3090"/>
    </bk>
    <bk>
      <rc t="1" v="3091"/>
    </bk>
    <bk>
      <rc t="1" v="3092"/>
    </bk>
    <bk>
      <rc t="1" v="3093"/>
    </bk>
    <bk>
      <rc t="1" v="3094"/>
    </bk>
    <bk>
      <rc t="1" v="3095"/>
    </bk>
    <bk>
      <rc t="1" v="3096"/>
    </bk>
    <bk>
      <rc t="1" v="3097"/>
    </bk>
    <bk>
      <rc t="1" v="3098"/>
    </bk>
    <bk>
      <rc t="1" v="3099"/>
    </bk>
    <bk>
      <rc t="1" v="3100"/>
    </bk>
    <bk>
      <rc t="1" v="3101"/>
    </bk>
    <bk>
      <rc t="1" v="3102"/>
    </bk>
    <bk>
      <rc t="1" v="3103"/>
    </bk>
    <bk>
      <rc t="1" v="3104"/>
    </bk>
    <bk>
      <rc t="1" v="3105"/>
    </bk>
    <bk>
      <rc t="1" v="3106"/>
    </bk>
    <bk>
      <rc t="1" v="3107"/>
    </bk>
    <bk>
      <rc t="1" v="3108"/>
    </bk>
    <bk>
      <rc t="1" v="3109"/>
    </bk>
    <bk>
      <rc t="1" v="3110"/>
    </bk>
    <bk>
      <rc t="1" v="3111"/>
    </bk>
    <bk>
      <rc t="1" v="3112"/>
    </bk>
    <bk>
      <rc t="1" v="3113"/>
    </bk>
    <bk>
      <rc t="1" v="3114"/>
    </bk>
    <bk>
      <rc t="1" v="3115"/>
    </bk>
    <bk>
      <rc t="1" v="3116"/>
    </bk>
    <bk>
      <rc t="1" v="3117"/>
    </bk>
    <bk>
      <rc t="1" v="3118"/>
    </bk>
    <bk>
      <rc t="1" v="3119"/>
    </bk>
    <bk>
      <rc t="1" v="3120"/>
    </bk>
    <bk>
      <rc t="1" v="3121"/>
    </bk>
    <bk>
      <rc t="1" v="3122"/>
    </bk>
    <bk>
      <rc t="1" v="3123"/>
    </bk>
    <bk>
      <rc t="1" v="3124"/>
    </bk>
    <bk>
      <rc t="1" v="3125"/>
    </bk>
    <bk>
      <rc t="1" v="3126"/>
    </bk>
    <bk>
      <rc t="1" v="3127"/>
    </bk>
    <bk>
      <rc t="1" v="3128"/>
    </bk>
    <bk>
      <rc t="1" v="3129"/>
    </bk>
    <bk>
      <rc t="1" v="3130"/>
    </bk>
    <bk>
      <rc t="1" v="3131"/>
    </bk>
    <bk>
      <rc t="1" v="3132"/>
    </bk>
    <bk>
      <rc t="1" v="3133"/>
    </bk>
    <bk>
      <rc t="1" v="3134"/>
    </bk>
    <bk>
      <rc t="1" v="3135"/>
    </bk>
    <bk>
      <rc t="1" v="3136"/>
    </bk>
    <bk>
      <rc t="1" v="3137"/>
    </bk>
    <bk>
      <rc t="1" v="3138"/>
    </bk>
    <bk>
      <rc t="1" v="3139"/>
    </bk>
    <bk>
      <rc t="1" v="3140"/>
    </bk>
    <bk>
      <rc t="1" v="3141"/>
    </bk>
    <bk>
      <rc t="1" v="3142"/>
    </bk>
    <bk>
      <rc t="1" v="3143"/>
    </bk>
    <bk>
      <rc t="1" v="3144"/>
    </bk>
    <bk>
      <rc t="1" v="3145"/>
    </bk>
    <bk>
      <rc t="1" v="3146"/>
    </bk>
    <bk>
      <rc t="1" v="3147"/>
    </bk>
    <bk>
      <rc t="1" v="3148"/>
    </bk>
    <bk>
      <rc t="1" v="3149"/>
    </bk>
    <bk>
      <rc t="1" v="3150"/>
    </bk>
    <bk>
      <rc t="1" v="3151"/>
    </bk>
    <bk>
      <rc t="1" v="3152"/>
    </bk>
    <bk>
      <rc t="1" v="3153"/>
    </bk>
    <bk>
      <rc t="1" v="3154"/>
    </bk>
    <bk>
      <rc t="1" v="3155"/>
    </bk>
    <bk>
      <rc t="1" v="3156"/>
    </bk>
    <bk>
      <rc t="1" v="3157"/>
    </bk>
    <bk>
      <rc t="1" v="3158"/>
    </bk>
    <bk>
      <rc t="1" v="3159"/>
    </bk>
    <bk>
      <rc t="1" v="3160"/>
    </bk>
    <bk>
      <rc t="1" v="3161"/>
    </bk>
    <bk>
      <rc t="1" v="3162"/>
    </bk>
    <bk>
      <rc t="1" v="3163"/>
    </bk>
    <bk>
      <rc t="1" v="3164"/>
    </bk>
    <bk>
      <rc t="1" v="3165"/>
    </bk>
    <bk>
      <rc t="1" v="3166"/>
    </bk>
    <bk>
      <rc t="1" v="3167"/>
    </bk>
    <bk>
      <rc t="1" v="3168"/>
    </bk>
    <bk>
      <rc t="1" v="3169"/>
    </bk>
    <bk>
      <rc t="1" v="3170"/>
    </bk>
    <bk>
      <rc t="1" v="3171"/>
    </bk>
    <bk>
      <rc t="1" v="3172"/>
    </bk>
    <bk>
      <rc t="1" v="3173"/>
    </bk>
    <bk>
      <rc t="1" v="3174"/>
    </bk>
    <bk>
      <rc t="1" v="3175"/>
    </bk>
    <bk>
      <rc t="1" v="3176"/>
    </bk>
    <bk>
      <rc t="1" v="3177"/>
    </bk>
    <bk>
      <rc t="1" v="3178"/>
    </bk>
    <bk>
      <rc t="1" v="3179"/>
    </bk>
    <bk>
      <rc t="1" v="3180"/>
    </bk>
    <bk>
      <rc t="1" v="3181"/>
    </bk>
    <bk>
      <rc t="1" v="3182"/>
    </bk>
    <bk>
      <rc t="1" v="3183"/>
    </bk>
    <bk>
      <rc t="1" v="3184"/>
    </bk>
    <bk>
      <rc t="1" v="3185"/>
    </bk>
    <bk>
      <rc t="1" v="3186"/>
    </bk>
    <bk>
      <rc t="1" v="3187"/>
    </bk>
    <bk>
      <rc t="1" v="3188"/>
    </bk>
    <bk>
      <rc t="1" v="3189"/>
    </bk>
    <bk>
      <rc t="1" v="3190"/>
    </bk>
    <bk>
      <rc t="1" v="3191"/>
    </bk>
    <bk>
      <rc t="1" v="3192"/>
    </bk>
    <bk>
      <rc t="1" v="3193"/>
    </bk>
    <bk>
      <rc t="1" v="3194"/>
    </bk>
    <bk>
      <rc t="1" v="3195"/>
    </bk>
    <bk>
      <rc t="1" v="3196"/>
    </bk>
    <bk>
      <rc t="1" v="3197"/>
    </bk>
    <bk>
      <rc t="1" v="3198"/>
    </bk>
    <bk>
      <rc t="1" v="3199"/>
    </bk>
    <bk>
      <rc t="1" v="3200"/>
    </bk>
    <bk>
      <rc t="1" v="3201"/>
    </bk>
    <bk>
      <rc t="1" v="3202"/>
    </bk>
    <bk>
      <rc t="1" v="3203"/>
    </bk>
    <bk>
      <rc t="1" v="3204"/>
    </bk>
    <bk>
      <rc t="1" v="3205"/>
    </bk>
    <bk>
      <rc t="1" v="3206"/>
    </bk>
    <bk>
      <rc t="1" v="3207"/>
    </bk>
    <bk>
      <rc t="1" v="3208"/>
    </bk>
    <bk>
      <rc t="1" v="3209"/>
    </bk>
    <bk>
      <rc t="1" v="3210"/>
    </bk>
    <bk>
      <rc t="1" v="3211"/>
    </bk>
    <bk>
      <rc t="1" v="3212"/>
    </bk>
    <bk>
      <rc t="1" v="3213"/>
    </bk>
    <bk>
      <rc t="1" v="3214"/>
    </bk>
    <bk>
      <rc t="1" v="3215"/>
    </bk>
    <bk>
      <rc t="1" v="3216"/>
    </bk>
    <bk>
      <rc t="1" v="3217"/>
    </bk>
    <bk>
      <rc t="1" v="3218"/>
    </bk>
    <bk>
      <rc t="1" v="3219"/>
    </bk>
    <bk>
      <rc t="1" v="3220"/>
    </bk>
    <bk>
      <rc t="1" v="3221"/>
    </bk>
    <bk>
      <rc t="1" v="3222"/>
    </bk>
    <bk>
      <rc t="1" v="3223"/>
    </bk>
    <bk>
      <rc t="1" v="3224"/>
    </bk>
    <bk>
      <rc t="1" v="3225"/>
    </bk>
    <bk>
      <rc t="1" v="3226"/>
    </bk>
    <bk>
      <rc t="1" v="3227"/>
    </bk>
    <bk>
      <rc t="1" v="3228"/>
    </bk>
    <bk>
      <rc t="1" v="3229"/>
    </bk>
    <bk>
      <rc t="1" v="3230"/>
    </bk>
    <bk>
      <rc t="1" v="3231"/>
    </bk>
    <bk>
      <rc t="1" v="3232"/>
    </bk>
    <bk>
      <rc t="1" v="3233"/>
    </bk>
    <bk>
      <rc t="1" v="3234"/>
    </bk>
    <bk>
      <rc t="1" v="3235"/>
    </bk>
    <bk>
      <rc t="1" v="3236"/>
    </bk>
    <bk>
      <rc t="1" v="3237"/>
    </bk>
    <bk>
      <rc t="1" v="3238"/>
    </bk>
    <bk>
      <rc t="1" v="3239"/>
    </bk>
    <bk>
      <rc t="1" v="3240"/>
    </bk>
    <bk>
      <rc t="1" v="3241"/>
    </bk>
    <bk>
      <rc t="1" v="3242"/>
    </bk>
    <bk>
      <rc t="1" v="3243"/>
    </bk>
    <bk>
      <rc t="1" v="3244"/>
    </bk>
    <bk>
      <rc t="1" v="3245"/>
    </bk>
    <bk>
      <rc t="1" v="3246"/>
    </bk>
    <bk>
      <rc t="1" v="3247"/>
    </bk>
    <bk>
      <rc t="1" v="3248"/>
    </bk>
    <bk>
      <rc t="1" v="3249"/>
    </bk>
    <bk>
      <rc t="1" v="3250"/>
    </bk>
    <bk>
      <rc t="1" v="3251"/>
    </bk>
    <bk>
      <rc t="1" v="3252"/>
    </bk>
    <bk>
      <rc t="1" v="3253"/>
    </bk>
    <bk>
      <rc t="1" v="3254"/>
    </bk>
    <bk>
      <rc t="1" v="3255"/>
    </bk>
    <bk>
      <rc t="1" v="3256"/>
    </bk>
    <bk>
      <rc t="1" v="3257"/>
    </bk>
    <bk>
      <rc t="1" v="3258"/>
    </bk>
    <bk>
      <rc t="1" v="3259"/>
    </bk>
    <bk>
      <rc t="1" v="3260"/>
    </bk>
    <bk>
      <rc t="1" v="3261"/>
    </bk>
    <bk>
      <rc t="1" v="3262"/>
    </bk>
    <bk>
      <rc t="1" v="3263"/>
    </bk>
    <bk>
      <rc t="1" v="3264"/>
    </bk>
    <bk>
      <rc t="1" v="3265"/>
    </bk>
    <bk>
      <rc t="1" v="3266"/>
    </bk>
    <bk>
      <rc t="1" v="3267"/>
    </bk>
    <bk>
      <rc t="1" v="3268"/>
    </bk>
    <bk>
      <rc t="1" v="3269"/>
    </bk>
    <bk>
      <rc t="1" v="3270"/>
    </bk>
    <bk>
      <rc t="1" v="3271"/>
    </bk>
    <bk>
      <rc t="1" v="3272"/>
    </bk>
    <bk>
      <rc t="1" v="3273"/>
    </bk>
    <bk>
      <rc t="1" v="3274"/>
    </bk>
    <bk>
      <rc t="1" v="3275"/>
    </bk>
    <bk>
      <rc t="1" v="3276"/>
    </bk>
    <bk>
      <rc t="1" v="3277"/>
    </bk>
    <bk>
      <rc t="1" v="3278"/>
    </bk>
    <bk>
      <rc t="1" v="3279"/>
    </bk>
    <bk>
      <rc t="1" v="3280"/>
    </bk>
    <bk>
      <rc t="1" v="3281"/>
    </bk>
    <bk>
      <rc t="1" v="3282"/>
    </bk>
    <bk>
      <rc t="1" v="3283"/>
    </bk>
    <bk>
      <rc t="1" v="3284"/>
    </bk>
    <bk>
      <rc t="1" v="3285"/>
    </bk>
    <bk>
      <rc t="1" v="3286"/>
    </bk>
    <bk>
      <rc t="1" v="3287"/>
    </bk>
    <bk>
      <rc t="1" v="3288"/>
    </bk>
    <bk>
      <rc t="1" v="3289"/>
    </bk>
    <bk>
      <rc t="1" v="3290"/>
    </bk>
    <bk>
      <rc t="1" v="3291"/>
    </bk>
    <bk>
      <rc t="1" v="3292"/>
    </bk>
    <bk>
      <rc t="1" v="3293"/>
    </bk>
    <bk>
      <rc t="1" v="3294"/>
    </bk>
    <bk>
      <rc t="1" v="3295"/>
    </bk>
    <bk>
      <rc t="1" v="3296"/>
    </bk>
    <bk>
      <rc t="1" v="3297"/>
    </bk>
    <bk>
      <rc t="1" v="3298"/>
    </bk>
    <bk>
      <rc t="1" v="3299"/>
    </bk>
    <bk>
      <rc t="1" v="3300"/>
    </bk>
    <bk>
      <rc t="1" v="3301"/>
    </bk>
    <bk>
      <rc t="1" v="3302"/>
    </bk>
    <bk>
      <rc t="1" v="3303"/>
    </bk>
    <bk>
      <rc t="1" v="3304"/>
    </bk>
    <bk>
      <rc t="1" v="3305"/>
    </bk>
    <bk>
      <rc t="1" v="3306"/>
    </bk>
    <bk>
      <rc t="1" v="3307"/>
    </bk>
    <bk>
      <rc t="1" v="3308"/>
    </bk>
    <bk>
      <rc t="1" v="3309"/>
    </bk>
    <bk>
      <rc t="1" v="3310"/>
    </bk>
    <bk>
      <rc t="1" v="3311"/>
    </bk>
    <bk>
      <rc t="1" v="3312"/>
    </bk>
    <bk>
      <rc t="1" v="3313"/>
    </bk>
    <bk>
      <rc t="1" v="3314"/>
    </bk>
    <bk>
      <rc t="1" v="3315"/>
    </bk>
    <bk>
      <rc t="1" v="3316"/>
    </bk>
    <bk>
      <rc t="1" v="3317"/>
    </bk>
    <bk>
      <rc t="1" v="3318"/>
    </bk>
    <bk>
      <rc t="1" v="3319"/>
    </bk>
    <bk>
      <rc t="1" v="3320"/>
    </bk>
    <bk>
      <rc t="1" v="3321"/>
    </bk>
    <bk>
      <rc t="1" v="3322"/>
    </bk>
    <bk>
      <rc t="1" v="3323"/>
    </bk>
    <bk>
      <rc t="1" v="3324"/>
    </bk>
    <bk>
      <rc t="1" v="3325"/>
    </bk>
    <bk>
      <rc t="1" v="3326"/>
    </bk>
    <bk>
      <rc t="1" v="3327"/>
    </bk>
    <bk>
      <rc t="1" v="3328"/>
    </bk>
    <bk>
      <rc t="1" v="3329"/>
    </bk>
    <bk>
      <rc t="1" v="3330"/>
    </bk>
    <bk>
      <rc t="1" v="3331"/>
    </bk>
    <bk>
      <rc t="1" v="3332"/>
    </bk>
    <bk>
      <rc t="1" v="3333"/>
    </bk>
    <bk>
      <rc t="1" v="3334"/>
    </bk>
    <bk>
      <rc t="1" v="3335"/>
    </bk>
    <bk>
      <rc t="1" v="3336"/>
    </bk>
    <bk>
      <rc t="1" v="3337"/>
    </bk>
    <bk>
      <rc t="1" v="3338"/>
    </bk>
    <bk>
      <rc t="1" v="3339"/>
    </bk>
    <bk>
      <rc t="1" v="3340"/>
    </bk>
    <bk>
      <rc t="1" v="3341"/>
    </bk>
    <bk>
      <rc t="1" v="3342"/>
    </bk>
    <bk>
      <rc t="1" v="3343"/>
    </bk>
    <bk>
      <rc t="1" v="3344"/>
    </bk>
    <bk>
      <rc t="1" v="3345"/>
    </bk>
    <bk>
      <rc t="1" v="3346"/>
    </bk>
    <bk>
      <rc t="1" v="3347"/>
    </bk>
    <bk>
      <rc t="1" v="3348"/>
    </bk>
    <bk>
      <rc t="1" v="3349"/>
    </bk>
    <bk>
      <rc t="1" v="3350"/>
    </bk>
    <bk>
      <rc t="1" v="3351"/>
    </bk>
    <bk>
      <rc t="1" v="3352"/>
    </bk>
    <bk>
      <rc t="1" v="3353"/>
    </bk>
    <bk>
      <rc t="1" v="3354"/>
    </bk>
    <bk>
      <rc t="1" v="3355"/>
    </bk>
    <bk>
      <rc t="1" v="3356"/>
    </bk>
    <bk>
      <rc t="1" v="3357"/>
    </bk>
    <bk>
      <rc t="1" v="3358"/>
    </bk>
    <bk>
      <rc t="1" v="3359"/>
    </bk>
    <bk>
      <rc t="1" v="3360"/>
    </bk>
    <bk>
      <rc t="1" v="3361"/>
    </bk>
    <bk>
      <rc t="1" v="3362"/>
    </bk>
    <bk>
      <rc t="1" v="3363"/>
    </bk>
    <bk>
      <rc t="1" v="3364"/>
    </bk>
    <bk>
      <rc t="1" v="3365"/>
    </bk>
    <bk>
      <rc t="1" v="3366"/>
    </bk>
    <bk>
      <rc t="1" v="3367"/>
    </bk>
    <bk>
      <rc t="1" v="3368"/>
    </bk>
    <bk>
      <rc t="1" v="3369"/>
    </bk>
    <bk>
      <rc t="1" v="3370"/>
    </bk>
    <bk>
      <rc t="1" v="3371"/>
    </bk>
    <bk>
      <rc t="1" v="3372"/>
    </bk>
    <bk>
      <rc t="1" v="3373"/>
    </bk>
    <bk>
      <rc t="1" v="3374"/>
    </bk>
    <bk>
      <rc t="1" v="3375"/>
    </bk>
    <bk>
      <rc t="1" v="3376"/>
    </bk>
    <bk>
      <rc t="1" v="3377"/>
    </bk>
    <bk>
      <rc t="1" v="3378"/>
    </bk>
    <bk>
      <rc t="1" v="3379"/>
    </bk>
    <bk>
      <rc t="1" v="3380"/>
    </bk>
    <bk>
      <rc t="1" v="3381"/>
    </bk>
    <bk>
      <rc t="1" v="3382"/>
    </bk>
    <bk>
      <rc t="1" v="3383"/>
    </bk>
    <bk>
      <rc t="1" v="3384"/>
    </bk>
    <bk>
      <rc t="1" v="3385"/>
    </bk>
    <bk>
      <rc t="1" v="3386"/>
    </bk>
    <bk>
      <rc t="1" v="3387"/>
    </bk>
    <bk>
      <rc t="1" v="3388"/>
    </bk>
    <bk>
      <rc t="1" v="3389"/>
    </bk>
    <bk>
      <rc t="1" v="3390"/>
    </bk>
    <bk>
      <rc t="1" v="3391"/>
    </bk>
    <bk>
      <rc t="1" v="3392"/>
    </bk>
    <bk>
      <rc t="1" v="3393"/>
    </bk>
    <bk>
      <rc t="1" v="3394"/>
    </bk>
    <bk>
      <rc t="1" v="3395"/>
    </bk>
    <bk>
      <rc t="1" v="3396"/>
    </bk>
    <bk>
      <rc t="1" v="3397"/>
    </bk>
    <bk>
      <rc t="1" v="3398"/>
    </bk>
    <bk>
      <rc t="1" v="3399"/>
    </bk>
    <bk>
      <rc t="1" v="3400"/>
    </bk>
    <bk>
      <rc t="1" v="3401"/>
    </bk>
    <bk>
      <rc t="1" v="3402"/>
    </bk>
    <bk>
      <rc t="1" v="3403"/>
    </bk>
    <bk>
      <rc t="1" v="3404"/>
    </bk>
    <bk>
      <rc t="1" v="3405"/>
    </bk>
    <bk>
      <rc t="1" v="3406"/>
    </bk>
    <bk>
      <rc t="1" v="3407"/>
    </bk>
    <bk>
      <rc t="1" v="3408"/>
    </bk>
    <bk>
      <rc t="1" v="3409"/>
    </bk>
    <bk>
      <rc t="1" v="3410"/>
    </bk>
    <bk>
      <rc t="1" v="3411"/>
    </bk>
    <bk>
      <rc t="1" v="3412"/>
    </bk>
    <bk>
      <rc t="1" v="3413"/>
    </bk>
    <bk>
      <rc t="1" v="3414"/>
    </bk>
    <bk>
      <rc t="1" v="3415"/>
    </bk>
    <bk>
      <rc t="1" v="3416"/>
    </bk>
    <bk>
      <rc t="1" v="3417"/>
    </bk>
    <bk>
      <rc t="1" v="3418"/>
    </bk>
    <bk>
      <rc t="1" v="3419"/>
    </bk>
    <bk>
      <rc t="1" v="3420"/>
    </bk>
    <bk>
      <rc t="1" v="3421"/>
    </bk>
    <bk>
      <rc t="1" v="3422"/>
    </bk>
    <bk>
      <rc t="1" v="3423"/>
    </bk>
    <bk>
      <rc t="1" v="3424"/>
    </bk>
    <bk>
      <rc t="1" v="3425"/>
    </bk>
    <bk>
      <rc t="1" v="3426"/>
    </bk>
    <bk>
      <rc t="1" v="3427"/>
    </bk>
    <bk>
      <rc t="1" v="3428"/>
    </bk>
    <bk>
      <rc t="1" v="3429"/>
    </bk>
    <bk>
      <rc t="1" v="3430"/>
    </bk>
    <bk>
      <rc t="1" v="3431"/>
    </bk>
    <bk>
      <rc t="1" v="3432"/>
    </bk>
    <bk>
      <rc t="1" v="3433"/>
    </bk>
    <bk>
      <rc t="1" v="3434"/>
    </bk>
    <bk>
      <rc t="1" v="3435"/>
    </bk>
    <bk>
      <rc t="1" v="3436"/>
    </bk>
    <bk>
      <rc t="1" v="3437"/>
    </bk>
    <bk>
      <rc t="1" v="3438"/>
    </bk>
    <bk>
      <rc t="1" v="3439"/>
    </bk>
    <bk>
      <rc t="1" v="3440"/>
    </bk>
    <bk>
      <rc t="1" v="3441"/>
    </bk>
    <bk>
      <rc t="1" v="3442"/>
    </bk>
    <bk>
      <rc t="1" v="3443"/>
    </bk>
    <bk>
      <rc t="1" v="3444"/>
    </bk>
    <bk>
      <rc t="1" v="3445"/>
    </bk>
    <bk>
      <rc t="1" v="3446"/>
    </bk>
    <bk>
      <rc t="1" v="3447"/>
    </bk>
    <bk>
      <rc t="1" v="3448"/>
    </bk>
    <bk>
      <rc t="1" v="3449"/>
    </bk>
    <bk>
      <rc t="1" v="3450"/>
    </bk>
    <bk>
      <rc t="1" v="3451"/>
    </bk>
    <bk>
      <rc t="1" v="3452"/>
    </bk>
    <bk>
      <rc t="1" v="3453"/>
    </bk>
    <bk>
      <rc t="1" v="3454"/>
    </bk>
    <bk>
      <rc t="1" v="3455"/>
    </bk>
    <bk>
      <rc t="1" v="3456"/>
    </bk>
    <bk>
      <rc t="1" v="3457"/>
    </bk>
    <bk>
      <rc t="1" v="3458"/>
    </bk>
    <bk>
      <rc t="1" v="3459"/>
    </bk>
    <bk>
      <rc t="1" v="3460"/>
    </bk>
    <bk>
      <rc t="1" v="3461"/>
    </bk>
    <bk>
      <rc t="1" v="3462"/>
    </bk>
    <bk>
      <rc t="1" v="3463"/>
    </bk>
    <bk>
      <rc t="1" v="3464"/>
    </bk>
    <bk>
      <rc t="1" v="3465"/>
    </bk>
    <bk>
      <rc t="1" v="3466"/>
    </bk>
    <bk>
      <rc t="1" v="3467"/>
    </bk>
    <bk>
      <rc t="1" v="3468"/>
    </bk>
    <bk>
      <rc t="1" v="3469"/>
    </bk>
    <bk>
      <rc t="1" v="3470"/>
    </bk>
    <bk>
      <rc t="1" v="3471"/>
    </bk>
    <bk>
      <rc t="1" v="3472"/>
    </bk>
    <bk>
      <rc t="1" v="3473"/>
    </bk>
    <bk>
      <rc t="1" v="3474"/>
    </bk>
    <bk>
      <rc t="1" v="3475"/>
    </bk>
    <bk>
      <rc t="1" v="3476"/>
    </bk>
    <bk>
      <rc t="1" v="3477"/>
    </bk>
    <bk>
      <rc t="1" v="3478"/>
    </bk>
    <bk>
      <rc t="1" v="3479"/>
    </bk>
    <bk>
      <rc t="1" v="3480"/>
    </bk>
    <bk>
      <rc t="1" v="3481"/>
    </bk>
    <bk>
      <rc t="1" v="3482"/>
    </bk>
    <bk>
      <rc t="1" v="3483"/>
    </bk>
    <bk>
      <rc t="1" v="3484"/>
    </bk>
    <bk>
      <rc t="1" v="3485"/>
    </bk>
    <bk>
      <rc t="1" v="3486"/>
    </bk>
    <bk>
      <rc t="1" v="3487"/>
    </bk>
    <bk>
      <rc t="1" v="3488"/>
    </bk>
    <bk>
      <rc t="1" v="3489"/>
    </bk>
    <bk>
      <rc t="1" v="3490"/>
    </bk>
    <bk>
      <rc t="1" v="3491"/>
    </bk>
    <bk>
      <rc t="1" v="3492"/>
    </bk>
    <bk>
      <rc t="1" v="3493"/>
    </bk>
    <bk>
      <rc t="1" v="3494"/>
    </bk>
    <bk>
      <rc t="1" v="3495"/>
    </bk>
    <bk>
      <rc t="1" v="3496"/>
    </bk>
    <bk>
      <rc t="1" v="3497"/>
    </bk>
    <bk>
      <rc t="1" v="3498"/>
    </bk>
    <bk>
      <rc t="1" v="3499"/>
    </bk>
    <bk>
      <rc t="1" v="3500"/>
    </bk>
    <bk>
      <rc t="1" v="3501"/>
    </bk>
    <bk>
      <rc t="1" v="3502"/>
    </bk>
    <bk>
      <rc t="1" v="3503"/>
    </bk>
    <bk>
      <rc t="1" v="3504"/>
    </bk>
    <bk>
      <rc t="1" v="3505"/>
    </bk>
    <bk>
      <rc t="1" v="3506"/>
    </bk>
    <bk>
      <rc t="1" v="3507"/>
    </bk>
    <bk>
      <rc t="1" v="3508"/>
    </bk>
    <bk>
      <rc t="1" v="3509"/>
    </bk>
    <bk>
      <rc t="1" v="3510"/>
    </bk>
    <bk>
      <rc t="1" v="3511"/>
    </bk>
    <bk>
      <rc t="1" v="3512"/>
    </bk>
    <bk>
      <rc t="1" v="3513"/>
    </bk>
    <bk>
      <rc t="1" v="3514"/>
    </bk>
    <bk>
      <rc t="1" v="3515"/>
    </bk>
    <bk>
      <rc t="1" v="3516"/>
    </bk>
    <bk>
      <rc t="1" v="3517"/>
    </bk>
    <bk>
      <rc t="1" v="3518"/>
    </bk>
    <bk>
      <rc t="1" v="3519"/>
    </bk>
    <bk>
      <rc t="1" v="3520"/>
    </bk>
    <bk>
      <rc t="1" v="3521"/>
    </bk>
    <bk>
      <rc t="1" v="3522"/>
    </bk>
    <bk>
      <rc t="1" v="3523"/>
    </bk>
    <bk>
      <rc t="1" v="3524"/>
    </bk>
    <bk>
      <rc t="1" v="3525"/>
    </bk>
    <bk>
      <rc t="1" v="3526"/>
    </bk>
    <bk>
      <rc t="1" v="3527"/>
    </bk>
    <bk>
      <rc t="1" v="3528"/>
    </bk>
    <bk>
      <rc t="1" v="3529"/>
    </bk>
    <bk>
      <rc t="1" v="3530"/>
    </bk>
    <bk>
      <rc t="1" v="3531"/>
    </bk>
    <bk>
      <rc t="1" v="3532"/>
    </bk>
    <bk>
      <rc t="1" v="3533"/>
    </bk>
    <bk>
      <rc t="1" v="3534"/>
    </bk>
    <bk>
      <rc t="1" v="3535"/>
    </bk>
    <bk>
      <rc t="1" v="3536"/>
    </bk>
    <bk>
      <rc t="1" v="3537"/>
    </bk>
    <bk>
      <rc t="1" v="3538"/>
    </bk>
    <bk>
      <rc t="1" v="3539"/>
    </bk>
    <bk>
      <rc t="1" v="3540"/>
    </bk>
    <bk>
      <rc t="1" v="3541"/>
    </bk>
    <bk>
      <rc t="1" v="3542"/>
    </bk>
    <bk>
      <rc t="1" v="3543"/>
    </bk>
    <bk>
      <rc t="1" v="3544"/>
    </bk>
    <bk>
      <rc t="1" v="3545"/>
    </bk>
    <bk>
      <rc t="1" v="3546"/>
    </bk>
    <bk>
      <rc t="1" v="3547"/>
    </bk>
    <bk>
      <rc t="1" v="3548"/>
    </bk>
    <bk>
      <rc t="1" v="3549"/>
    </bk>
    <bk>
      <rc t="1" v="3550"/>
    </bk>
    <bk>
      <rc t="1" v="3551"/>
    </bk>
    <bk>
      <rc t="1" v="3552"/>
    </bk>
    <bk>
      <rc t="1" v="3553"/>
    </bk>
    <bk>
      <rc t="1" v="3554"/>
    </bk>
    <bk>
      <rc t="1" v="3555"/>
    </bk>
    <bk>
      <rc t="1" v="3556"/>
    </bk>
    <bk>
      <rc t="1" v="3557"/>
    </bk>
    <bk>
      <rc t="1" v="3558"/>
    </bk>
    <bk>
      <rc t="1" v="3559"/>
    </bk>
    <bk>
      <rc t="1" v="3560"/>
    </bk>
    <bk>
      <rc t="1" v="3561"/>
    </bk>
    <bk>
      <rc t="1" v="3562"/>
    </bk>
    <bk>
      <rc t="1" v="3563"/>
    </bk>
    <bk>
      <rc t="1" v="3564"/>
    </bk>
    <bk>
      <rc t="1" v="3565"/>
    </bk>
    <bk>
      <rc t="1" v="3566"/>
    </bk>
    <bk>
      <rc t="1" v="3567"/>
    </bk>
    <bk>
      <rc t="1" v="3568"/>
    </bk>
    <bk>
      <rc t="1" v="3569"/>
    </bk>
    <bk>
      <rc t="1" v="3570"/>
    </bk>
    <bk>
      <rc t="1" v="3571"/>
    </bk>
    <bk>
      <rc t="1" v="3572"/>
    </bk>
    <bk>
      <rc t="1" v="3573"/>
    </bk>
    <bk>
      <rc t="1" v="3574"/>
    </bk>
    <bk>
      <rc t="1" v="3575"/>
    </bk>
    <bk>
      <rc t="1" v="3576"/>
    </bk>
    <bk>
      <rc t="1" v="3577"/>
    </bk>
    <bk>
      <rc t="1" v="3578"/>
    </bk>
    <bk>
      <rc t="1" v="3579"/>
    </bk>
    <bk>
      <rc t="1" v="3580"/>
    </bk>
    <bk>
      <rc t="1" v="3581"/>
    </bk>
    <bk>
      <rc t="1" v="3582"/>
    </bk>
    <bk>
      <rc t="1" v="3583"/>
    </bk>
    <bk>
      <rc t="1" v="3584"/>
    </bk>
    <bk>
      <rc t="1" v="3585"/>
    </bk>
    <bk>
      <rc t="1" v="3586"/>
    </bk>
    <bk>
      <rc t="1" v="3587"/>
    </bk>
    <bk>
      <rc t="1" v="3588"/>
    </bk>
    <bk>
      <rc t="1" v="3589"/>
    </bk>
    <bk>
      <rc t="1" v="3590"/>
    </bk>
    <bk>
      <rc t="1" v="3591"/>
    </bk>
    <bk>
      <rc t="1" v="3592"/>
    </bk>
    <bk>
      <rc t="1" v="3593"/>
    </bk>
    <bk>
      <rc t="1" v="3594"/>
    </bk>
    <bk>
      <rc t="1" v="3595"/>
    </bk>
    <bk>
      <rc t="1" v="3596"/>
    </bk>
    <bk>
      <rc t="1" v="3597"/>
    </bk>
    <bk>
      <rc t="1" v="3598"/>
    </bk>
    <bk>
      <rc t="1" v="3599"/>
    </bk>
    <bk>
      <rc t="1" v="3600"/>
    </bk>
    <bk>
      <rc t="1" v="3601"/>
    </bk>
    <bk>
      <rc t="1" v="3602"/>
    </bk>
    <bk>
      <rc t="1" v="3603"/>
    </bk>
    <bk>
      <rc t="1" v="3604"/>
    </bk>
    <bk>
      <rc t="1" v="3605"/>
    </bk>
    <bk>
      <rc t="1" v="3606"/>
    </bk>
    <bk>
      <rc t="1" v="3607"/>
    </bk>
    <bk>
      <rc t="1" v="3608"/>
    </bk>
    <bk>
      <rc t="1" v="3609"/>
    </bk>
    <bk>
      <rc t="1" v="3610"/>
    </bk>
    <bk>
      <rc t="1" v="3611"/>
    </bk>
    <bk>
      <rc t="1" v="3612"/>
    </bk>
    <bk>
      <rc t="1" v="3613"/>
    </bk>
    <bk>
      <rc t="1" v="3614"/>
    </bk>
    <bk>
      <rc t="1" v="3615"/>
    </bk>
    <bk>
      <rc t="1" v="3616"/>
    </bk>
    <bk>
      <rc t="1" v="3617"/>
    </bk>
    <bk>
      <rc t="1" v="3618"/>
    </bk>
    <bk>
      <rc t="1" v="3619"/>
    </bk>
    <bk>
      <rc t="1" v="3620"/>
    </bk>
    <bk>
      <rc t="1" v="3621"/>
    </bk>
    <bk>
      <rc t="1" v="3622"/>
    </bk>
    <bk>
      <rc t="1" v="3623"/>
    </bk>
    <bk>
      <rc t="1" v="3624"/>
    </bk>
    <bk>
      <rc t="1" v="3625"/>
    </bk>
    <bk>
      <rc t="1" v="3626"/>
    </bk>
    <bk>
      <rc t="1" v="3627"/>
    </bk>
    <bk>
      <rc t="1" v="3628"/>
    </bk>
    <bk>
      <rc t="1" v="3629"/>
    </bk>
    <bk>
      <rc t="1" v="3630"/>
    </bk>
    <bk>
      <rc t="1" v="3631"/>
    </bk>
    <bk>
      <rc t="1" v="3632"/>
    </bk>
    <bk>
      <rc t="1" v="3633"/>
    </bk>
    <bk>
      <rc t="1" v="3634"/>
    </bk>
    <bk>
      <rc t="1" v="3635"/>
    </bk>
    <bk>
      <rc t="1" v="3636"/>
    </bk>
    <bk>
      <rc t="1" v="3637"/>
    </bk>
    <bk>
      <rc t="1" v="3638"/>
    </bk>
    <bk>
      <rc t="1" v="3639"/>
    </bk>
    <bk>
      <rc t="1" v="3640"/>
    </bk>
    <bk>
      <rc t="1" v="3641"/>
    </bk>
    <bk>
      <rc t="1" v="3642"/>
    </bk>
    <bk>
      <rc t="1" v="3643"/>
    </bk>
    <bk>
      <rc t="1" v="3644"/>
    </bk>
    <bk>
      <rc t="1" v="3645"/>
    </bk>
    <bk>
      <rc t="1" v="3646"/>
    </bk>
    <bk>
      <rc t="1" v="3647"/>
    </bk>
    <bk>
      <rc t="1" v="3648"/>
    </bk>
    <bk>
      <rc t="1" v="3649"/>
    </bk>
    <bk>
      <rc t="1" v="3650"/>
    </bk>
    <bk>
      <rc t="1" v="3651"/>
    </bk>
    <bk>
      <rc t="1" v="3652"/>
    </bk>
    <bk>
      <rc t="1" v="3653"/>
    </bk>
    <bk>
      <rc t="1" v="3654"/>
    </bk>
    <bk>
      <rc t="1" v="3655"/>
    </bk>
    <bk>
      <rc t="1" v="3656"/>
    </bk>
    <bk>
      <rc t="1" v="3657"/>
    </bk>
    <bk>
      <rc t="1" v="3658"/>
    </bk>
    <bk>
      <rc t="1" v="3659"/>
    </bk>
    <bk>
      <rc t="1" v="3660"/>
    </bk>
    <bk>
      <rc t="1" v="3661"/>
    </bk>
    <bk>
      <rc t="1" v="3662"/>
    </bk>
    <bk>
      <rc t="1" v="3663"/>
    </bk>
    <bk>
      <rc t="1" v="3664"/>
    </bk>
    <bk>
      <rc t="1" v="3665"/>
    </bk>
    <bk>
      <rc t="1" v="3666"/>
    </bk>
    <bk>
      <rc t="1" v="3667"/>
    </bk>
    <bk>
      <rc t="1" v="3668"/>
    </bk>
    <bk>
      <rc t="1" v="3669"/>
    </bk>
    <bk>
      <rc t="1" v="3670"/>
    </bk>
    <bk>
      <rc t="1" v="3671"/>
    </bk>
    <bk>
      <rc t="1" v="3672"/>
    </bk>
    <bk>
      <rc t="1" v="3673"/>
    </bk>
    <bk>
      <rc t="1" v="3674"/>
    </bk>
    <bk>
      <rc t="1" v="3675"/>
    </bk>
    <bk>
      <rc t="1" v="3676"/>
    </bk>
    <bk>
      <rc t="1" v="3677"/>
    </bk>
    <bk>
      <rc t="1" v="3678"/>
    </bk>
    <bk>
      <rc t="1" v="3679"/>
    </bk>
    <bk>
      <rc t="1" v="3680"/>
    </bk>
    <bk>
      <rc t="1" v="3681"/>
    </bk>
    <bk>
      <rc t="1" v="3682"/>
    </bk>
    <bk>
      <rc t="1" v="3683"/>
    </bk>
    <bk>
      <rc t="1" v="3684"/>
    </bk>
    <bk>
      <rc t="1" v="3685"/>
    </bk>
    <bk>
      <rc t="1" v="3686"/>
    </bk>
    <bk>
      <rc t="1" v="3687"/>
    </bk>
    <bk>
      <rc t="1" v="3688"/>
    </bk>
    <bk>
      <rc t="1" v="3689"/>
    </bk>
    <bk>
      <rc t="1" v="3690"/>
    </bk>
    <bk>
      <rc t="1" v="3691"/>
    </bk>
    <bk>
      <rc t="1" v="3692"/>
    </bk>
    <bk>
      <rc t="1" v="3693"/>
    </bk>
    <bk>
      <rc t="1" v="3694"/>
    </bk>
    <bk>
      <rc t="1" v="3695"/>
    </bk>
    <bk>
      <rc t="1" v="3696"/>
    </bk>
    <bk>
      <rc t="1" v="3697"/>
    </bk>
    <bk>
      <rc t="1" v="3698"/>
    </bk>
    <bk>
      <rc t="1" v="3699"/>
    </bk>
    <bk>
      <rc t="1" v="3700"/>
    </bk>
    <bk>
      <rc t="1" v="3701"/>
    </bk>
    <bk>
      <rc t="1" v="3702"/>
    </bk>
    <bk>
      <rc t="1" v="3703"/>
    </bk>
    <bk>
      <rc t="1" v="3704"/>
    </bk>
    <bk>
      <rc t="1" v="3705"/>
    </bk>
    <bk>
      <rc t="1" v="3706"/>
    </bk>
    <bk>
      <rc t="1" v="3707"/>
    </bk>
    <bk>
      <rc t="1" v="3708"/>
    </bk>
    <bk>
      <rc t="1" v="3709"/>
    </bk>
    <bk>
      <rc t="1" v="3710"/>
    </bk>
    <bk>
      <rc t="1" v="3711"/>
    </bk>
    <bk>
      <rc t="1" v="3712"/>
    </bk>
    <bk>
      <rc t="1" v="3713"/>
    </bk>
    <bk>
      <rc t="1" v="3714"/>
    </bk>
    <bk>
      <rc t="1" v="3715"/>
    </bk>
    <bk>
      <rc t="1" v="3716"/>
    </bk>
    <bk>
      <rc t="1" v="3717"/>
    </bk>
    <bk>
      <rc t="1" v="3718"/>
    </bk>
    <bk>
      <rc t="1" v="3719"/>
    </bk>
    <bk>
      <rc t="1" v="3720"/>
    </bk>
    <bk>
      <rc t="1" v="3721"/>
    </bk>
    <bk>
      <rc t="1" v="3722"/>
    </bk>
    <bk>
      <rc t="1" v="3723"/>
    </bk>
    <bk>
      <rc t="1" v="3724"/>
    </bk>
    <bk>
      <rc t="1" v="3725"/>
    </bk>
    <bk>
      <rc t="1" v="3726"/>
    </bk>
    <bk>
      <rc t="1" v="3727"/>
    </bk>
    <bk>
      <rc t="1" v="3728"/>
    </bk>
    <bk>
      <rc t="1" v="3729"/>
    </bk>
    <bk>
      <rc t="1" v="3730"/>
    </bk>
    <bk>
      <rc t="1" v="3731"/>
    </bk>
    <bk>
      <rc t="1" v="3732"/>
    </bk>
    <bk>
      <rc t="1" v="3733"/>
    </bk>
    <bk>
      <rc t="1" v="3734"/>
    </bk>
    <bk>
      <rc t="1" v="3735"/>
    </bk>
    <bk>
      <rc t="1" v="3736"/>
    </bk>
    <bk>
      <rc t="1" v="3737"/>
    </bk>
    <bk>
      <rc t="1" v="3738"/>
    </bk>
    <bk>
      <rc t="1" v="3739"/>
    </bk>
    <bk>
      <rc t="1" v="3740"/>
    </bk>
    <bk>
      <rc t="1" v="3741"/>
    </bk>
    <bk>
      <rc t="1" v="3742"/>
    </bk>
    <bk>
      <rc t="1" v="3743"/>
    </bk>
    <bk>
      <rc t="1" v="3744"/>
    </bk>
    <bk>
      <rc t="1" v="3745"/>
    </bk>
    <bk>
      <rc t="1" v="3746"/>
    </bk>
    <bk>
      <rc t="1" v="3747"/>
    </bk>
    <bk>
      <rc t="1" v="3748"/>
    </bk>
    <bk>
      <rc t="1" v="3749"/>
    </bk>
    <bk>
      <rc t="1" v="3750"/>
    </bk>
    <bk>
      <rc t="1" v="3751"/>
    </bk>
    <bk>
      <rc t="1" v="3752"/>
    </bk>
    <bk>
      <rc t="1" v="3753"/>
    </bk>
    <bk>
      <rc t="1" v="3754"/>
    </bk>
    <bk>
      <rc t="1" v="3755"/>
    </bk>
    <bk>
      <rc t="1" v="3756"/>
    </bk>
    <bk>
      <rc t="1" v="3757"/>
    </bk>
    <bk>
      <rc t="1" v="3758"/>
    </bk>
    <bk>
      <rc t="1" v="3759"/>
    </bk>
    <bk>
      <rc t="1" v="3760"/>
    </bk>
    <bk>
      <rc t="1" v="3761"/>
    </bk>
    <bk>
      <rc t="1" v="3762"/>
    </bk>
    <bk>
      <rc t="1" v="3763"/>
    </bk>
    <bk>
      <rc t="1" v="3764"/>
    </bk>
    <bk>
      <rc t="1" v="3765"/>
    </bk>
    <bk>
      <rc t="1" v="3766"/>
    </bk>
    <bk>
      <rc t="1" v="3767"/>
    </bk>
    <bk>
      <rc t="1" v="3768"/>
    </bk>
    <bk>
      <rc t="1" v="3769"/>
    </bk>
    <bk>
      <rc t="1" v="3770"/>
    </bk>
    <bk>
      <rc t="1" v="3771"/>
    </bk>
    <bk>
      <rc t="1" v="3772"/>
    </bk>
    <bk>
      <rc t="1" v="3773"/>
    </bk>
    <bk>
      <rc t="1" v="3774"/>
    </bk>
    <bk>
      <rc t="1" v="3775"/>
    </bk>
    <bk>
      <rc t="1" v="3776"/>
    </bk>
    <bk>
      <rc t="1" v="3777"/>
    </bk>
    <bk>
      <rc t="1" v="3778"/>
    </bk>
    <bk>
      <rc t="1" v="3779"/>
    </bk>
    <bk>
      <rc t="1" v="3780"/>
    </bk>
    <bk>
      <rc t="1" v="3781"/>
    </bk>
    <bk>
      <rc t="1" v="3782"/>
    </bk>
    <bk>
      <rc t="1" v="3783"/>
    </bk>
    <bk>
      <rc t="1" v="3784"/>
    </bk>
    <bk>
      <rc t="1" v="3785"/>
    </bk>
    <bk>
      <rc t="1" v="3786"/>
    </bk>
    <bk>
      <rc t="1" v="3787"/>
    </bk>
    <bk>
      <rc t="1" v="3788"/>
    </bk>
    <bk>
      <rc t="1" v="3789"/>
    </bk>
    <bk>
      <rc t="1" v="3790"/>
    </bk>
    <bk>
      <rc t="1" v="3791"/>
    </bk>
    <bk>
      <rc t="1" v="3792"/>
    </bk>
    <bk>
      <rc t="1" v="3793"/>
    </bk>
    <bk>
      <rc t="1" v="3794"/>
    </bk>
    <bk>
      <rc t="1" v="3795"/>
    </bk>
    <bk>
      <rc t="1" v="3796"/>
    </bk>
    <bk>
      <rc t="1" v="3797"/>
    </bk>
    <bk>
      <rc t="1" v="3798"/>
    </bk>
    <bk>
      <rc t="1" v="3799"/>
    </bk>
    <bk>
      <rc t="1" v="3800"/>
    </bk>
    <bk>
      <rc t="1" v="3801"/>
    </bk>
    <bk>
      <rc t="1" v="3802"/>
    </bk>
    <bk>
      <rc t="1" v="3803"/>
    </bk>
    <bk>
      <rc t="1" v="3804"/>
    </bk>
    <bk>
      <rc t="1" v="3805"/>
    </bk>
    <bk>
      <rc t="1" v="3806"/>
    </bk>
    <bk>
      <rc t="1" v="3807"/>
    </bk>
    <bk>
      <rc t="1" v="3808"/>
    </bk>
    <bk>
      <rc t="1" v="3809"/>
    </bk>
    <bk>
      <rc t="1" v="3810"/>
    </bk>
    <bk>
      <rc t="1" v="3811"/>
    </bk>
    <bk>
      <rc t="1" v="3812"/>
    </bk>
    <bk>
      <rc t="1" v="3813"/>
    </bk>
    <bk>
      <rc t="1" v="3814"/>
    </bk>
    <bk>
      <rc t="1" v="3815"/>
    </bk>
    <bk>
      <rc t="1" v="3816"/>
    </bk>
    <bk>
      <rc t="1" v="3817"/>
    </bk>
    <bk>
      <rc t="1" v="3818"/>
    </bk>
    <bk>
      <rc t="1" v="3819"/>
    </bk>
    <bk>
      <rc t="1" v="3820"/>
    </bk>
    <bk>
      <rc t="1" v="3821"/>
    </bk>
    <bk>
      <rc t="1" v="3822"/>
    </bk>
    <bk>
      <rc t="1" v="3823"/>
    </bk>
    <bk>
      <rc t="1" v="3824"/>
    </bk>
    <bk>
      <rc t="1" v="3825"/>
    </bk>
    <bk>
      <rc t="1" v="3826"/>
    </bk>
    <bk>
      <rc t="1" v="3827"/>
    </bk>
    <bk>
      <rc t="1" v="3828"/>
    </bk>
    <bk>
      <rc t="1" v="3829"/>
    </bk>
    <bk>
      <rc t="1" v="3830"/>
    </bk>
    <bk>
      <rc t="1" v="3831"/>
    </bk>
    <bk>
      <rc t="1" v="3832"/>
    </bk>
    <bk>
      <rc t="1" v="3833"/>
    </bk>
    <bk>
      <rc t="1" v="3834"/>
    </bk>
    <bk>
      <rc t="1" v="3835"/>
    </bk>
    <bk>
      <rc t="1" v="3836"/>
    </bk>
    <bk>
      <rc t="1" v="3837"/>
    </bk>
    <bk>
      <rc t="1" v="3838"/>
    </bk>
    <bk>
      <rc t="1" v="3839"/>
    </bk>
    <bk>
      <rc t="1" v="3840"/>
    </bk>
    <bk>
      <rc t="1" v="3841"/>
    </bk>
    <bk>
      <rc t="1" v="3842"/>
    </bk>
    <bk>
      <rc t="1" v="3843"/>
    </bk>
    <bk>
      <rc t="1" v="3844"/>
    </bk>
    <bk>
      <rc t="1" v="3845"/>
    </bk>
    <bk>
      <rc t="1" v="3846"/>
    </bk>
    <bk>
      <rc t="1" v="3847"/>
    </bk>
    <bk>
      <rc t="1" v="3848"/>
    </bk>
    <bk>
      <rc t="1" v="3849"/>
    </bk>
    <bk>
      <rc t="1" v="3850"/>
    </bk>
    <bk>
      <rc t="1" v="3851"/>
    </bk>
    <bk>
      <rc t="1" v="3852"/>
    </bk>
    <bk>
      <rc t="1" v="3853"/>
    </bk>
    <bk>
      <rc t="1" v="3854"/>
    </bk>
    <bk>
      <rc t="1" v="3855"/>
    </bk>
    <bk>
      <rc t="1" v="3856"/>
    </bk>
    <bk>
      <rc t="1" v="3857"/>
    </bk>
    <bk>
      <rc t="1" v="3858"/>
    </bk>
    <bk>
      <rc t="1" v="3859"/>
    </bk>
    <bk>
      <rc t="1" v="3860"/>
    </bk>
    <bk>
      <rc t="1" v="3861"/>
    </bk>
    <bk>
      <rc t="1" v="3862"/>
    </bk>
    <bk>
      <rc t="1" v="3863"/>
    </bk>
    <bk>
      <rc t="1" v="3864"/>
    </bk>
    <bk>
      <rc t="1" v="3865"/>
    </bk>
    <bk>
      <rc t="1" v="3866"/>
    </bk>
    <bk>
      <rc t="1" v="3867"/>
    </bk>
    <bk>
      <rc t="1" v="3868"/>
    </bk>
    <bk>
      <rc t="1" v="3869"/>
    </bk>
    <bk>
      <rc t="1" v="3870"/>
    </bk>
    <bk>
      <rc t="1" v="3871"/>
    </bk>
    <bk>
      <rc t="1" v="3872"/>
    </bk>
    <bk>
      <rc t="1" v="3873"/>
    </bk>
    <bk>
      <rc t="1" v="3874"/>
    </bk>
    <bk>
      <rc t="1" v="3875"/>
    </bk>
    <bk>
      <rc t="1" v="3876"/>
    </bk>
    <bk>
      <rc t="1" v="3877"/>
    </bk>
    <bk>
      <rc t="1" v="3878"/>
    </bk>
    <bk>
      <rc t="1" v="3879"/>
    </bk>
    <bk>
      <rc t="1" v="3880"/>
    </bk>
    <bk>
      <rc t="1" v="3881"/>
    </bk>
    <bk>
      <rc t="1" v="3882"/>
    </bk>
    <bk>
      <rc t="1" v="3883"/>
    </bk>
    <bk>
      <rc t="1" v="3884"/>
    </bk>
    <bk>
      <rc t="1" v="3885"/>
    </bk>
    <bk>
      <rc t="1" v="3886"/>
    </bk>
    <bk>
      <rc t="1" v="3887"/>
    </bk>
    <bk>
      <rc t="1" v="3888"/>
    </bk>
    <bk>
      <rc t="1" v="3889"/>
    </bk>
    <bk>
      <rc t="1" v="3890"/>
    </bk>
    <bk>
      <rc t="1" v="3891"/>
    </bk>
    <bk>
      <rc t="1" v="3892"/>
    </bk>
    <bk>
      <rc t="1" v="3893"/>
    </bk>
    <bk>
      <rc t="1" v="3894"/>
    </bk>
    <bk>
      <rc t="1" v="3895"/>
    </bk>
    <bk>
      <rc t="1" v="3896"/>
    </bk>
    <bk>
      <rc t="1" v="3897"/>
    </bk>
    <bk>
      <rc t="1" v="3898"/>
    </bk>
    <bk>
      <rc t="1" v="3899"/>
    </bk>
    <bk>
      <rc t="1" v="3900"/>
    </bk>
    <bk>
      <rc t="1" v="3901"/>
    </bk>
    <bk>
      <rc t="1" v="3902"/>
    </bk>
    <bk>
      <rc t="1" v="3903"/>
    </bk>
    <bk>
      <rc t="1" v="3904"/>
    </bk>
    <bk>
      <rc t="1" v="3905"/>
    </bk>
    <bk>
      <rc t="1" v="3906"/>
    </bk>
    <bk>
      <rc t="1" v="3907"/>
    </bk>
    <bk>
      <rc t="1" v="3908"/>
    </bk>
    <bk>
      <rc t="1" v="3909"/>
    </bk>
    <bk>
      <rc t="1" v="3910"/>
    </bk>
    <bk>
      <rc t="1" v="3911"/>
    </bk>
    <bk>
      <rc t="1" v="3912"/>
    </bk>
    <bk>
      <rc t="1" v="3913"/>
    </bk>
    <bk>
      <rc t="1" v="3914"/>
    </bk>
    <bk>
      <rc t="1" v="3915"/>
    </bk>
    <bk>
      <rc t="1" v="3916"/>
    </bk>
    <bk>
      <rc t="1" v="3917"/>
    </bk>
    <bk>
      <rc t="1" v="3918"/>
    </bk>
    <bk>
      <rc t="1" v="3919"/>
    </bk>
    <bk>
      <rc t="1" v="3920"/>
    </bk>
    <bk>
      <rc t="1" v="3921"/>
    </bk>
    <bk>
      <rc t="1" v="3922"/>
    </bk>
    <bk>
      <rc t="1" v="3923"/>
    </bk>
    <bk>
      <rc t="1" v="3924"/>
    </bk>
    <bk>
      <rc t="1" v="3925"/>
    </bk>
    <bk>
      <rc t="1" v="3926"/>
    </bk>
    <bk>
      <rc t="1" v="3927"/>
    </bk>
    <bk>
      <rc t="1" v="3928"/>
    </bk>
    <bk>
      <rc t="1" v="3929"/>
    </bk>
    <bk>
      <rc t="1" v="3930"/>
    </bk>
    <bk>
      <rc t="1" v="3931"/>
    </bk>
    <bk>
      <rc t="1" v="3932"/>
    </bk>
    <bk>
      <rc t="1" v="3933"/>
    </bk>
    <bk>
      <rc t="1" v="3934"/>
    </bk>
    <bk>
      <rc t="1" v="3935"/>
    </bk>
    <bk>
      <rc t="1" v="3936"/>
    </bk>
    <bk>
      <rc t="1" v="3937"/>
    </bk>
    <bk>
      <rc t="1" v="3938"/>
    </bk>
    <bk>
      <rc t="1" v="3939"/>
    </bk>
    <bk>
      <rc t="1" v="3940"/>
    </bk>
    <bk>
      <rc t="1" v="3941"/>
    </bk>
    <bk>
      <rc t="1" v="3942"/>
    </bk>
    <bk>
      <rc t="1" v="3943"/>
    </bk>
    <bk>
      <rc t="1" v="3944"/>
    </bk>
    <bk>
      <rc t="1" v="3945"/>
    </bk>
    <bk>
      <rc t="1" v="3946"/>
    </bk>
    <bk>
      <rc t="1" v="3947"/>
    </bk>
    <bk>
      <rc t="1" v="3948"/>
    </bk>
    <bk>
      <rc t="1" v="3949"/>
    </bk>
    <bk>
      <rc t="1" v="3950"/>
    </bk>
    <bk>
      <rc t="1" v="3951"/>
    </bk>
    <bk>
      <rc t="1" v="3952"/>
    </bk>
    <bk>
      <rc t="1" v="3953"/>
    </bk>
    <bk>
      <rc t="1" v="3954"/>
    </bk>
    <bk>
      <rc t="1" v="3955"/>
    </bk>
    <bk>
      <rc t="1" v="3956"/>
    </bk>
    <bk>
      <rc t="1" v="3957"/>
    </bk>
    <bk>
      <rc t="1" v="3958"/>
    </bk>
    <bk>
      <rc t="1" v="3959"/>
    </bk>
    <bk>
      <rc t="1" v="3960"/>
    </bk>
    <bk>
      <rc t="1" v="3961"/>
    </bk>
    <bk>
      <rc t="1" v="3962"/>
    </bk>
    <bk>
      <rc t="1" v="3963"/>
    </bk>
    <bk>
      <rc t="1" v="3964"/>
    </bk>
    <bk>
      <rc t="1" v="3965"/>
    </bk>
    <bk>
      <rc t="1" v="3966"/>
    </bk>
    <bk>
      <rc t="1" v="3967"/>
    </bk>
    <bk>
      <rc t="1" v="3968"/>
    </bk>
    <bk>
      <rc t="1" v="3969"/>
    </bk>
    <bk>
      <rc t="1" v="3970"/>
    </bk>
    <bk>
      <rc t="1" v="3971"/>
    </bk>
    <bk>
      <rc t="1" v="3972"/>
    </bk>
    <bk>
      <rc t="1" v="3973"/>
    </bk>
    <bk>
      <rc t="1" v="3974"/>
    </bk>
    <bk>
      <rc t="1" v="3975"/>
    </bk>
    <bk>
      <rc t="1" v="3976"/>
    </bk>
    <bk>
      <rc t="1" v="3977"/>
    </bk>
    <bk>
      <rc t="1" v="3978"/>
    </bk>
    <bk>
      <rc t="1" v="3979"/>
    </bk>
    <bk>
      <rc t="1" v="3980"/>
    </bk>
    <bk>
      <rc t="1" v="3981"/>
    </bk>
    <bk>
      <rc t="1" v="3982"/>
    </bk>
    <bk>
      <rc t="1" v="3983"/>
    </bk>
    <bk>
      <rc t="1" v="3984"/>
    </bk>
    <bk>
      <rc t="1" v="3985"/>
    </bk>
    <bk>
      <rc t="1" v="3986"/>
    </bk>
    <bk>
      <rc t="1" v="3987"/>
    </bk>
    <bk>
      <rc t="1" v="3988"/>
    </bk>
    <bk>
      <rc t="1" v="3989"/>
    </bk>
    <bk>
      <rc t="1" v="3990"/>
    </bk>
    <bk>
      <rc t="1" v="3991"/>
    </bk>
    <bk>
      <rc t="1" v="3992"/>
    </bk>
    <bk>
      <rc t="1" v="3993"/>
    </bk>
    <bk>
      <rc t="1" v="3994"/>
    </bk>
    <bk>
      <rc t="1" v="3995"/>
    </bk>
    <bk>
      <rc t="1" v="3996"/>
    </bk>
    <bk>
      <rc t="1" v="3997"/>
    </bk>
    <bk>
      <rc t="1" v="3998"/>
    </bk>
    <bk>
      <rc t="1" v="3999"/>
    </bk>
    <bk>
      <rc t="1" v="4000"/>
    </bk>
    <bk>
      <rc t="1" v="4001"/>
    </bk>
    <bk>
      <rc t="1" v="4002"/>
    </bk>
    <bk>
      <rc t="1" v="4003"/>
    </bk>
    <bk>
      <rc t="1" v="4004"/>
    </bk>
    <bk>
      <rc t="1" v="4005"/>
    </bk>
    <bk>
      <rc t="1" v="4006"/>
    </bk>
    <bk>
      <rc t="1" v="4007"/>
    </bk>
    <bk>
      <rc t="1" v="4008"/>
    </bk>
    <bk>
      <rc t="1" v="4009"/>
    </bk>
    <bk>
      <rc t="1" v="4010"/>
    </bk>
    <bk>
      <rc t="1" v="4011"/>
    </bk>
    <bk>
      <rc t="1" v="4012"/>
    </bk>
    <bk>
      <rc t="1" v="4013"/>
    </bk>
    <bk>
      <rc t="1" v="4014"/>
    </bk>
    <bk>
      <rc t="1" v="4015"/>
    </bk>
    <bk>
      <rc t="1" v="4016"/>
    </bk>
    <bk>
      <rc t="1" v="4017"/>
    </bk>
    <bk>
      <rc t="1" v="4018"/>
    </bk>
    <bk>
      <rc t="1" v="4019"/>
    </bk>
    <bk>
      <rc t="1" v="4020"/>
    </bk>
    <bk>
      <rc t="1" v="4021"/>
    </bk>
    <bk>
      <rc t="1" v="4022"/>
    </bk>
    <bk>
      <rc t="1" v="4023"/>
    </bk>
    <bk>
      <rc t="1" v="4024"/>
    </bk>
    <bk>
      <rc t="1" v="4025"/>
    </bk>
    <bk>
      <rc t="1" v="4026"/>
    </bk>
    <bk>
      <rc t="1" v="4027"/>
    </bk>
    <bk>
      <rc t="1" v="4028"/>
    </bk>
    <bk>
      <rc t="1" v="4029"/>
    </bk>
    <bk>
      <rc t="1" v="4030"/>
    </bk>
    <bk>
      <rc t="1" v="4031"/>
    </bk>
    <bk>
      <rc t="1" v="4032"/>
    </bk>
    <bk>
      <rc t="1" v="4033"/>
    </bk>
    <bk>
      <rc t="1" v="4034"/>
    </bk>
    <bk>
      <rc t="1" v="4035"/>
    </bk>
    <bk>
      <rc t="1" v="4036"/>
    </bk>
    <bk>
      <rc t="1" v="4037"/>
    </bk>
    <bk>
      <rc t="1" v="4038"/>
    </bk>
    <bk>
      <rc t="1" v="4039"/>
    </bk>
    <bk>
      <rc t="1" v="4040"/>
    </bk>
    <bk>
      <rc t="1" v="4041"/>
    </bk>
    <bk>
      <rc t="1" v="4042"/>
    </bk>
    <bk>
      <rc t="1" v="4043"/>
    </bk>
    <bk>
      <rc t="1" v="4044"/>
    </bk>
    <bk>
      <rc t="1" v="4045"/>
    </bk>
    <bk>
      <rc t="1" v="4046"/>
    </bk>
    <bk>
      <rc t="1" v="4047"/>
    </bk>
    <bk>
      <rc t="1" v="4048"/>
    </bk>
    <bk>
      <rc t="1" v="4049"/>
    </bk>
    <bk>
      <rc t="1" v="4050"/>
    </bk>
    <bk>
      <rc t="1" v="4051"/>
    </bk>
    <bk>
      <rc t="1" v="4052"/>
    </bk>
    <bk>
      <rc t="1" v="4053"/>
    </bk>
    <bk>
      <rc t="1" v="4054"/>
    </bk>
    <bk>
      <rc t="1" v="4055"/>
    </bk>
    <bk>
      <rc t="1" v="4056"/>
    </bk>
    <bk>
      <rc t="1" v="4057"/>
    </bk>
    <bk>
      <rc t="1" v="4058"/>
    </bk>
    <bk>
      <rc t="1" v="4059"/>
    </bk>
    <bk>
      <rc t="1" v="4060"/>
    </bk>
    <bk>
      <rc t="1" v="4061"/>
    </bk>
    <bk>
      <rc t="1" v="4062"/>
    </bk>
    <bk>
      <rc t="1" v="4063"/>
    </bk>
    <bk>
      <rc t="1" v="4064"/>
    </bk>
    <bk>
      <rc t="1" v="4065"/>
    </bk>
    <bk>
      <rc t="1" v="4066"/>
    </bk>
    <bk>
      <rc t="1" v="4067"/>
    </bk>
    <bk>
      <rc t="1" v="4068"/>
    </bk>
    <bk>
      <rc t="1" v="4069"/>
    </bk>
    <bk>
      <rc t="1" v="4070"/>
    </bk>
    <bk>
      <rc t="1" v="4071"/>
    </bk>
    <bk>
      <rc t="1" v="4072"/>
    </bk>
    <bk>
      <rc t="1" v="4073"/>
    </bk>
    <bk>
      <rc t="1" v="4074"/>
    </bk>
    <bk>
      <rc t="1" v="4075"/>
    </bk>
    <bk>
      <rc t="1" v="4076"/>
    </bk>
    <bk>
      <rc t="1" v="4077"/>
    </bk>
    <bk>
      <rc t="1" v="4078"/>
    </bk>
    <bk>
      <rc t="1" v="4079"/>
    </bk>
    <bk>
      <rc t="1" v="4080"/>
    </bk>
    <bk>
      <rc t="1" v="4081"/>
    </bk>
    <bk>
      <rc t="1" v="4082"/>
    </bk>
    <bk>
      <rc t="1" v="4083"/>
    </bk>
    <bk>
      <rc t="1" v="4084"/>
    </bk>
    <bk>
      <rc t="1" v="4085"/>
    </bk>
    <bk>
      <rc t="1" v="4086"/>
    </bk>
    <bk>
      <rc t="1" v="4087"/>
    </bk>
    <bk>
      <rc t="1" v="4088"/>
    </bk>
    <bk>
      <rc t="1" v="4089"/>
    </bk>
    <bk>
      <rc t="1" v="4090"/>
    </bk>
    <bk>
      <rc t="1" v="4091"/>
    </bk>
    <bk>
      <rc t="1" v="4092"/>
    </bk>
    <bk>
      <rc t="1" v="4093"/>
    </bk>
    <bk>
      <rc t="1" v="4094"/>
    </bk>
    <bk>
      <rc t="1" v="4095"/>
    </bk>
    <bk>
      <rc t="1" v="4096"/>
    </bk>
    <bk>
      <rc t="1" v="4097"/>
    </bk>
    <bk>
      <rc t="1" v="4098"/>
    </bk>
    <bk>
      <rc t="1" v="4099"/>
    </bk>
    <bk>
      <rc t="1" v="4100"/>
    </bk>
    <bk>
      <rc t="1" v="4101"/>
    </bk>
    <bk>
      <rc t="1" v="4102"/>
    </bk>
    <bk>
      <rc t="1" v="4103"/>
    </bk>
    <bk>
      <rc t="1" v="4104"/>
    </bk>
    <bk>
      <rc t="1" v="4105"/>
    </bk>
    <bk>
      <rc t="1" v="4106"/>
    </bk>
    <bk>
      <rc t="1" v="4107"/>
    </bk>
    <bk>
      <rc t="1" v="4108"/>
    </bk>
    <bk>
      <rc t="1" v="4109"/>
    </bk>
    <bk>
      <rc t="1" v="4110"/>
    </bk>
    <bk>
      <rc t="1" v="4111"/>
    </bk>
    <bk>
      <rc t="1" v="4112"/>
    </bk>
    <bk>
      <rc t="1" v="4113"/>
    </bk>
    <bk>
      <rc t="1" v="4114"/>
    </bk>
    <bk>
      <rc t="1" v="4115"/>
    </bk>
    <bk>
      <rc t="1" v="4116"/>
    </bk>
    <bk>
      <rc t="1" v="4117"/>
    </bk>
    <bk>
      <rc t="1" v="4118"/>
    </bk>
    <bk>
      <rc t="1" v="4119"/>
    </bk>
    <bk>
      <rc t="1" v="4120"/>
    </bk>
    <bk>
      <rc t="1" v="4121"/>
    </bk>
    <bk>
      <rc t="1" v="4122"/>
    </bk>
    <bk>
      <rc t="1" v="4123"/>
    </bk>
    <bk>
      <rc t="1" v="4124"/>
    </bk>
    <bk>
      <rc t="1" v="4125"/>
    </bk>
    <bk>
      <rc t="1" v="4126"/>
    </bk>
    <bk>
      <rc t="1" v="4127"/>
    </bk>
    <bk>
      <rc t="1" v="4128"/>
    </bk>
    <bk>
      <rc t="1" v="4129"/>
    </bk>
    <bk>
      <rc t="1" v="4130"/>
    </bk>
    <bk>
      <rc t="1" v="4131"/>
    </bk>
    <bk>
      <rc t="1" v="4132"/>
    </bk>
    <bk>
      <rc t="1" v="4133"/>
    </bk>
    <bk>
      <rc t="1" v="4134"/>
    </bk>
    <bk>
      <rc t="1" v="4135"/>
    </bk>
    <bk>
      <rc t="1" v="4136"/>
    </bk>
    <bk>
      <rc t="1" v="4137"/>
    </bk>
    <bk>
      <rc t="1" v="4138"/>
    </bk>
    <bk>
      <rc t="1" v="4139"/>
    </bk>
    <bk>
      <rc t="1" v="4140"/>
    </bk>
    <bk>
      <rc t="1" v="4141"/>
    </bk>
    <bk>
      <rc t="1" v="4142"/>
    </bk>
    <bk>
      <rc t="1" v="4143"/>
    </bk>
    <bk>
      <rc t="1" v="4144"/>
    </bk>
    <bk>
      <rc t="1" v="4145"/>
    </bk>
    <bk>
      <rc t="1" v="4146"/>
    </bk>
    <bk>
      <rc t="1" v="4147"/>
    </bk>
    <bk>
      <rc t="1" v="4148"/>
    </bk>
    <bk>
      <rc t="1" v="4149"/>
    </bk>
    <bk>
      <rc t="1" v="4150"/>
    </bk>
    <bk>
      <rc t="1" v="4151"/>
    </bk>
    <bk>
      <rc t="1" v="4152"/>
    </bk>
    <bk>
      <rc t="1" v="4153"/>
    </bk>
    <bk>
      <rc t="1" v="4154"/>
    </bk>
    <bk>
      <rc t="1" v="4155"/>
    </bk>
    <bk>
      <rc t="1" v="4156"/>
    </bk>
    <bk>
      <rc t="1" v="4157"/>
    </bk>
    <bk>
      <rc t="1" v="4158"/>
    </bk>
    <bk>
      <rc t="1" v="4159"/>
    </bk>
    <bk>
      <rc t="1" v="4160"/>
    </bk>
    <bk>
      <rc t="1" v="4161"/>
    </bk>
    <bk>
      <rc t="1" v="4162"/>
    </bk>
    <bk>
      <rc t="1" v="4163"/>
    </bk>
    <bk>
      <rc t="1" v="4164"/>
    </bk>
    <bk>
      <rc t="1" v="4165"/>
    </bk>
    <bk>
      <rc t="1" v="4166"/>
    </bk>
    <bk>
      <rc t="1" v="4167"/>
    </bk>
    <bk>
      <rc t="1" v="4168"/>
    </bk>
    <bk>
      <rc t="1" v="4169"/>
    </bk>
    <bk>
      <rc t="1" v="4170"/>
    </bk>
    <bk>
      <rc t="1" v="4171"/>
    </bk>
    <bk>
      <rc t="1" v="4172"/>
    </bk>
    <bk>
      <rc t="1" v="4173"/>
    </bk>
    <bk>
      <rc t="1" v="4174"/>
    </bk>
    <bk>
      <rc t="1" v="4175"/>
    </bk>
    <bk>
      <rc t="1" v="4176"/>
    </bk>
    <bk>
      <rc t="1" v="4177"/>
    </bk>
    <bk>
      <rc t="1" v="4178"/>
    </bk>
    <bk>
      <rc t="1" v="4179"/>
    </bk>
    <bk>
      <rc t="1" v="4180"/>
    </bk>
    <bk>
      <rc t="1" v="4181"/>
    </bk>
    <bk>
      <rc t="1" v="4182"/>
    </bk>
    <bk>
      <rc t="1" v="4183"/>
    </bk>
    <bk>
      <rc t="1" v="4184"/>
    </bk>
    <bk>
      <rc t="1" v="4185"/>
    </bk>
    <bk>
      <rc t="1" v="4186"/>
    </bk>
    <bk>
      <rc t="1" v="4187"/>
    </bk>
    <bk>
      <rc t="1" v="4188"/>
    </bk>
    <bk>
      <rc t="1" v="4189"/>
    </bk>
    <bk>
      <rc t="1" v="4190"/>
    </bk>
    <bk>
      <rc t="1" v="4191"/>
    </bk>
    <bk>
      <rc t="1" v="4192"/>
    </bk>
    <bk>
      <rc t="1" v="4193"/>
    </bk>
    <bk>
      <rc t="1" v="4194"/>
    </bk>
    <bk>
      <rc t="1" v="4195"/>
    </bk>
    <bk>
      <rc t="1" v="4196"/>
    </bk>
    <bk>
      <rc t="1" v="4197"/>
    </bk>
    <bk>
      <rc t="1" v="4198"/>
    </bk>
    <bk>
      <rc t="1" v="4199"/>
    </bk>
    <bk>
      <rc t="1" v="4200"/>
    </bk>
    <bk>
      <rc t="1" v="4201"/>
    </bk>
    <bk>
      <rc t="1" v="4202"/>
    </bk>
    <bk>
      <rc t="1" v="4203"/>
    </bk>
    <bk>
      <rc t="1" v="4204"/>
    </bk>
    <bk>
      <rc t="1" v="4205"/>
    </bk>
    <bk>
      <rc t="1" v="4206"/>
    </bk>
    <bk>
      <rc t="1" v="4207"/>
    </bk>
    <bk>
      <rc t="1" v="4208"/>
    </bk>
    <bk>
      <rc t="1" v="4209"/>
    </bk>
    <bk>
      <rc t="1" v="4210"/>
    </bk>
    <bk>
      <rc t="1" v="4211"/>
    </bk>
    <bk>
      <rc t="1" v="4212"/>
    </bk>
    <bk>
      <rc t="1" v="4213"/>
    </bk>
    <bk>
      <rc t="1" v="4214"/>
    </bk>
    <bk>
      <rc t="1" v="4215"/>
    </bk>
    <bk>
      <rc t="1" v="4216"/>
    </bk>
    <bk>
      <rc t="1" v="4217"/>
    </bk>
    <bk>
      <rc t="1" v="4218"/>
    </bk>
    <bk>
      <rc t="1" v="4219"/>
    </bk>
    <bk>
      <rc t="1" v="4220"/>
    </bk>
    <bk>
      <rc t="1" v="4221"/>
    </bk>
    <bk>
      <rc t="1" v="4222"/>
    </bk>
    <bk>
      <rc t="1" v="4223"/>
    </bk>
    <bk>
      <rc t="1" v="4224"/>
    </bk>
    <bk>
      <rc t="1" v="4225"/>
    </bk>
    <bk>
      <rc t="1" v="4226"/>
    </bk>
    <bk>
      <rc t="1" v="4227"/>
    </bk>
    <bk>
      <rc t="1" v="4228"/>
    </bk>
    <bk>
      <rc t="1" v="4229"/>
    </bk>
    <bk>
      <rc t="1" v="4230"/>
    </bk>
    <bk>
      <rc t="1" v="4231"/>
    </bk>
    <bk>
      <rc t="1" v="4232"/>
    </bk>
    <bk>
      <rc t="1" v="4233"/>
    </bk>
    <bk>
      <rc t="1" v="4234"/>
    </bk>
    <bk>
      <rc t="1" v="4235"/>
    </bk>
    <bk>
      <rc t="1" v="4236"/>
    </bk>
    <bk>
      <rc t="1" v="4237"/>
    </bk>
    <bk>
      <rc t="1" v="4238"/>
    </bk>
    <bk>
      <rc t="1" v="4239"/>
    </bk>
    <bk>
      <rc t="1" v="4240"/>
    </bk>
    <bk>
      <rc t="1" v="4241"/>
    </bk>
    <bk>
      <rc t="1" v="4242"/>
    </bk>
    <bk>
      <rc t="1" v="4243"/>
    </bk>
    <bk>
      <rc t="1" v="4244"/>
    </bk>
    <bk>
      <rc t="1" v="4245"/>
    </bk>
    <bk>
      <rc t="1" v="4246"/>
    </bk>
    <bk>
      <rc t="1" v="4247"/>
    </bk>
    <bk>
      <rc t="1" v="4248"/>
    </bk>
    <bk>
      <rc t="1" v="4249"/>
    </bk>
    <bk>
      <rc t="1" v="4250"/>
    </bk>
    <bk>
      <rc t="1" v="4251"/>
    </bk>
    <bk>
      <rc t="1" v="4252"/>
    </bk>
    <bk>
      <rc t="1" v="4253"/>
    </bk>
    <bk>
      <rc t="1" v="4254"/>
    </bk>
    <bk>
      <rc t="1" v="4255"/>
    </bk>
    <bk>
      <rc t="1" v="4256"/>
    </bk>
    <bk>
      <rc t="1" v="4257"/>
    </bk>
    <bk>
      <rc t="1" v="4258"/>
    </bk>
    <bk>
      <rc t="1" v="4259"/>
    </bk>
    <bk>
      <rc t="1" v="4260"/>
    </bk>
    <bk>
      <rc t="1" v="4261"/>
    </bk>
    <bk>
      <rc t="1" v="4262"/>
    </bk>
    <bk>
      <rc t="1" v="4263"/>
    </bk>
    <bk>
      <rc t="1" v="4264"/>
    </bk>
    <bk>
      <rc t="1" v="4265"/>
    </bk>
    <bk>
      <rc t="1" v="4266"/>
    </bk>
    <bk>
      <rc t="1" v="4267"/>
    </bk>
    <bk>
      <rc t="1" v="4268"/>
    </bk>
    <bk>
      <rc t="1" v="4269"/>
    </bk>
    <bk>
      <rc t="1" v="4270"/>
    </bk>
    <bk>
      <rc t="1" v="4271"/>
    </bk>
    <bk>
      <rc t="1" v="4272"/>
    </bk>
    <bk>
      <rc t="1" v="4273"/>
    </bk>
    <bk>
      <rc t="1" v="4274"/>
    </bk>
    <bk>
      <rc t="1" v="4275"/>
    </bk>
    <bk>
      <rc t="1" v="4276"/>
    </bk>
    <bk>
      <rc t="1" v="4277"/>
    </bk>
    <bk>
      <rc t="1" v="4278"/>
    </bk>
    <bk>
      <rc t="1" v="4279"/>
    </bk>
    <bk>
      <rc t="1" v="4280"/>
    </bk>
    <bk>
      <rc t="1" v="4281"/>
    </bk>
    <bk>
      <rc t="1" v="4282"/>
    </bk>
    <bk>
      <rc t="1" v="4283"/>
    </bk>
    <bk>
      <rc t="1" v="4284"/>
    </bk>
    <bk>
      <rc t="1" v="4285"/>
    </bk>
    <bk>
      <rc t="1" v="4286"/>
    </bk>
    <bk>
      <rc t="1" v="4287"/>
    </bk>
    <bk>
      <rc t="1" v="4288"/>
    </bk>
    <bk>
      <rc t="1" v="4289"/>
    </bk>
    <bk>
      <rc t="1" v="4290"/>
    </bk>
    <bk>
      <rc t="1" v="4291"/>
    </bk>
    <bk>
      <rc t="1" v="4292"/>
    </bk>
    <bk>
      <rc t="1" v="4293"/>
    </bk>
    <bk>
      <rc t="1" v="4294"/>
    </bk>
    <bk>
      <rc t="1" v="4295"/>
    </bk>
    <bk>
      <rc t="1" v="4296"/>
    </bk>
    <bk>
      <rc t="1" v="4297"/>
    </bk>
    <bk>
      <rc t="1" v="4298"/>
    </bk>
    <bk>
      <rc t="1" v="4299"/>
    </bk>
    <bk>
      <rc t="1" v="4300"/>
    </bk>
    <bk>
      <rc t="1" v="4301"/>
    </bk>
    <bk>
      <rc t="1" v="4302"/>
    </bk>
    <bk>
      <rc t="1" v="4303"/>
    </bk>
    <bk>
      <rc t="1" v="4304"/>
    </bk>
    <bk>
      <rc t="1" v="4305"/>
    </bk>
    <bk>
      <rc t="1" v="4306"/>
    </bk>
    <bk>
      <rc t="1" v="4307"/>
    </bk>
    <bk>
      <rc t="1" v="4308"/>
    </bk>
    <bk>
      <rc t="1" v="4309"/>
    </bk>
    <bk>
      <rc t="1" v="4310"/>
    </bk>
    <bk>
      <rc t="1" v="4311"/>
    </bk>
    <bk>
      <rc t="1" v="4312"/>
    </bk>
    <bk>
      <rc t="1" v="4313"/>
    </bk>
    <bk>
      <rc t="1" v="4314"/>
    </bk>
    <bk>
      <rc t="1" v="4315"/>
    </bk>
    <bk>
      <rc t="1" v="4316"/>
    </bk>
    <bk>
      <rc t="1" v="4317"/>
    </bk>
    <bk>
      <rc t="1" v="4318"/>
    </bk>
    <bk>
      <rc t="1" v="4319"/>
    </bk>
    <bk>
      <rc t="1" v="4320"/>
    </bk>
    <bk>
      <rc t="1" v="4321"/>
    </bk>
    <bk>
      <rc t="1" v="4322"/>
    </bk>
    <bk>
      <rc t="1" v="4323"/>
    </bk>
    <bk>
      <rc t="1" v="4324"/>
    </bk>
    <bk>
      <rc t="1" v="4325"/>
    </bk>
    <bk>
      <rc t="1" v="4326"/>
    </bk>
    <bk>
      <rc t="1" v="4327"/>
    </bk>
    <bk>
      <rc t="1" v="4328"/>
    </bk>
    <bk>
      <rc t="1" v="4329"/>
    </bk>
    <bk>
      <rc t="1" v="4330"/>
    </bk>
    <bk>
      <rc t="1" v="4331"/>
    </bk>
    <bk>
      <rc t="1" v="4332"/>
    </bk>
    <bk>
      <rc t="1" v="4333"/>
    </bk>
    <bk>
      <rc t="1" v="4334"/>
    </bk>
    <bk>
      <rc t="1" v="4335"/>
    </bk>
    <bk>
      <rc t="1" v="4336"/>
    </bk>
    <bk>
      <rc t="1" v="4337"/>
    </bk>
    <bk>
      <rc t="1" v="4338"/>
    </bk>
    <bk>
      <rc t="1" v="4339"/>
    </bk>
    <bk>
      <rc t="1" v="4340"/>
    </bk>
    <bk>
      <rc t="1" v="4341"/>
    </bk>
    <bk>
      <rc t="1" v="4342"/>
    </bk>
    <bk>
      <rc t="1" v="4343"/>
    </bk>
    <bk>
      <rc t="1" v="4344"/>
    </bk>
    <bk>
      <rc t="1" v="4345"/>
    </bk>
    <bk>
      <rc t="1" v="4346"/>
    </bk>
    <bk>
      <rc t="1" v="4347"/>
    </bk>
    <bk>
      <rc t="1" v="4348"/>
    </bk>
    <bk>
      <rc t="1" v="4349"/>
    </bk>
    <bk>
      <rc t="1" v="4350"/>
    </bk>
    <bk>
      <rc t="1" v="4351"/>
    </bk>
    <bk>
      <rc t="1" v="4352"/>
    </bk>
    <bk>
      <rc t="1" v="4353"/>
    </bk>
    <bk>
      <rc t="1" v="4354"/>
    </bk>
    <bk>
      <rc t="1" v="4355"/>
    </bk>
    <bk>
      <rc t="1" v="4356"/>
    </bk>
    <bk>
      <rc t="1" v="4357"/>
    </bk>
    <bk>
      <rc t="1" v="4358"/>
    </bk>
    <bk>
      <rc t="1" v="4359"/>
    </bk>
    <bk>
      <rc t="1" v="4360"/>
    </bk>
    <bk>
      <rc t="1" v="4361"/>
    </bk>
    <bk>
      <rc t="1" v="4362"/>
    </bk>
    <bk>
      <rc t="1" v="4363"/>
    </bk>
    <bk>
      <rc t="1" v="4364"/>
    </bk>
    <bk>
      <rc t="1" v="4365"/>
    </bk>
    <bk>
      <rc t="1" v="4366"/>
    </bk>
    <bk>
      <rc t="1" v="4367"/>
    </bk>
    <bk>
      <rc t="1" v="4368"/>
    </bk>
    <bk>
      <rc t="1" v="4369"/>
    </bk>
    <bk>
      <rc t="1" v="4370"/>
    </bk>
    <bk>
      <rc t="1" v="4371"/>
    </bk>
    <bk>
      <rc t="1" v="4372"/>
    </bk>
    <bk>
      <rc t="1" v="4373"/>
    </bk>
    <bk>
      <rc t="1" v="4374"/>
    </bk>
    <bk>
      <rc t="1" v="4375"/>
    </bk>
    <bk>
      <rc t="1" v="4376"/>
    </bk>
    <bk>
      <rc t="1" v="4377"/>
    </bk>
    <bk>
      <rc t="1" v="4378"/>
    </bk>
    <bk>
      <rc t="1" v="4379"/>
    </bk>
    <bk>
      <rc t="1" v="4380"/>
    </bk>
    <bk>
      <rc t="1" v="4381"/>
    </bk>
    <bk>
      <rc t="1" v="4382"/>
    </bk>
    <bk>
      <rc t="1" v="4383"/>
    </bk>
    <bk>
      <rc t="1" v="4384"/>
    </bk>
    <bk>
      <rc t="1" v="4385"/>
    </bk>
    <bk>
      <rc t="1" v="4386"/>
    </bk>
    <bk>
      <rc t="1" v="4387"/>
    </bk>
    <bk>
      <rc t="1" v="4388"/>
    </bk>
    <bk>
      <rc t="1" v="4389"/>
    </bk>
    <bk>
      <rc t="1" v="4390"/>
    </bk>
    <bk>
      <rc t="1" v="4391"/>
    </bk>
    <bk>
      <rc t="1" v="4392"/>
    </bk>
    <bk>
      <rc t="1" v="4393"/>
    </bk>
    <bk>
      <rc t="1" v="4394"/>
    </bk>
    <bk>
      <rc t="1" v="4395"/>
    </bk>
    <bk>
      <rc t="1" v="4396"/>
    </bk>
    <bk>
      <rc t="1" v="4397"/>
    </bk>
    <bk>
      <rc t="1" v="4398"/>
    </bk>
    <bk>
      <rc t="1" v="4399"/>
    </bk>
    <bk>
      <rc t="1" v="4400"/>
    </bk>
    <bk>
      <rc t="1" v="4401"/>
    </bk>
    <bk>
      <rc t="1" v="4402"/>
    </bk>
    <bk>
      <rc t="1" v="4403"/>
    </bk>
    <bk>
      <rc t="1" v="4404"/>
    </bk>
    <bk>
      <rc t="1" v="4405"/>
    </bk>
    <bk>
      <rc t="1" v="4406"/>
    </bk>
    <bk>
      <rc t="1" v="4407"/>
    </bk>
    <bk>
      <rc t="1" v="4408"/>
    </bk>
    <bk>
      <rc t="1" v="4409"/>
    </bk>
    <bk>
      <rc t="1" v="4410"/>
    </bk>
    <bk>
      <rc t="1" v="4411"/>
    </bk>
    <bk>
      <rc t="1" v="4412"/>
    </bk>
    <bk>
      <rc t="1" v="4413"/>
    </bk>
    <bk>
      <rc t="1" v="4414"/>
    </bk>
    <bk>
      <rc t="1" v="4415"/>
    </bk>
    <bk>
      <rc t="1" v="4416"/>
    </bk>
    <bk>
      <rc t="1" v="4417"/>
    </bk>
    <bk>
      <rc t="1" v="4418"/>
    </bk>
    <bk>
      <rc t="1" v="4419"/>
    </bk>
    <bk>
      <rc t="1" v="4420"/>
    </bk>
    <bk>
      <rc t="1" v="4421"/>
    </bk>
    <bk>
      <rc t="1" v="4422"/>
    </bk>
    <bk>
      <rc t="1" v="4423"/>
    </bk>
    <bk>
      <rc t="1" v="4424"/>
    </bk>
    <bk>
      <rc t="1" v="4425"/>
    </bk>
    <bk>
      <rc t="1" v="4426"/>
    </bk>
    <bk>
      <rc t="1" v="4427"/>
    </bk>
    <bk>
      <rc t="1" v="4428"/>
    </bk>
    <bk>
      <rc t="1" v="4429"/>
    </bk>
    <bk>
      <rc t="1" v="4430"/>
    </bk>
    <bk>
      <rc t="1" v="4431"/>
    </bk>
    <bk>
      <rc t="1" v="4432"/>
    </bk>
    <bk>
      <rc t="1" v="4433"/>
    </bk>
    <bk>
      <rc t="1" v="4434"/>
    </bk>
    <bk>
      <rc t="1" v="4435"/>
    </bk>
    <bk>
      <rc t="1" v="4436"/>
    </bk>
    <bk>
      <rc t="1" v="4437"/>
    </bk>
    <bk>
      <rc t="1" v="4438"/>
    </bk>
    <bk>
      <rc t="1" v="4439"/>
    </bk>
    <bk>
      <rc t="1" v="4440"/>
    </bk>
    <bk>
      <rc t="1" v="4441"/>
    </bk>
    <bk>
      <rc t="1" v="4442"/>
    </bk>
    <bk>
      <rc t="1" v="4443"/>
    </bk>
    <bk>
      <rc t="1" v="4444"/>
    </bk>
    <bk>
      <rc t="1" v="4445"/>
    </bk>
    <bk>
      <rc t="1" v="4446"/>
    </bk>
    <bk>
      <rc t="1" v="4447"/>
    </bk>
    <bk>
      <rc t="1" v="4448"/>
    </bk>
    <bk>
      <rc t="1" v="4449"/>
    </bk>
    <bk>
      <rc t="1" v="4450"/>
    </bk>
    <bk>
      <rc t="1" v="4451"/>
    </bk>
    <bk>
      <rc t="1" v="4452"/>
    </bk>
    <bk>
      <rc t="1" v="4453"/>
    </bk>
    <bk>
      <rc t="1" v="4454"/>
    </bk>
    <bk>
      <rc t="1" v="4455"/>
    </bk>
    <bk>
      <rc t="1" v="4456"/>
    </bk>
    <bk>
      <rc t="1" v="4457"/>
    </bk>
    <bk>
      <rc t="1" v="4458"/>
    </bk>
    <bk>
      <rc t="1" v="4459"/>
    </bk>
    <bk>
      <rc t="1" v="4460"/>
    </bk>
    <bk>
      <rc t="1" v="4461"/>
    </bk>
    <bk>
      <rc t="1" v="4462"/>
    </bk>
    <bk>
      <rc t="1" v="4463"/>
    </bk>
    <bk>
      <rc t="1" v="4464"/>
    </bk>
    <bk>
      <rc t="1" v="4465"/>
    </bk>
    <bk>
      <rc t="1" v="4466"/>
    </bk>
    <bk>
      <rc t="1" v="4467"/>
    </bk>
    <bk>
      <rc t="1" v="4468"/>
    </bk>
    <bk>
      <rc t="1" v="4469"/>
    </bk>
    <bk>
      <rc t="1" v="4470"/>
    </bk>
    <bk>
      <rc t="1" v="4471"/>
    </bk>
    <bk>
      <rc t="1" v="4472"/>
    </bk>
    <bk>
      <rc t="1" v="4473"/>
    </bk>
    <bk>
      <rc t="1" v="4474"/>
    </bk>
    <bk>
      <rc t="1" v="4475"/>
    </bk>
    <bk>
      <rc t="1" v="4476"/>
    </bk>
    <bk>
      <rc t="1" v="4477"/>
    </bk>
    <bk>
      <rc t="1" v="4478"/>
    </bk>
    <bk>
      <rc t="1" v="4479"/>
    </bk>
    <bk>
      <rc t="1" v="4480"/>
    </bk>
    <bk>
      <rc t="1" v="4481"/>
    </bk>
    <bk>
      <rc t="1" v="4482"/>
    </bk>
    <bk>
      <rc t="1" v="4483"/>
    </bk>
    <bk>
      <rc t="1" v="4484"/>
    </bk>
    <bk>
      <rc t="1" v="4485"/>
    </bk>
    <bk>
      <rc t="1" v="4486"/>
    </bk>
    <bk>
      <rc t="1" v="4487"/>
    </bk>
    <bk>
      <rc t="1" v="4488"/>
    </bk>
    <bk>
      <rc t="1" v="4489"/>
    </bk>
    <bk>
      <rc t="1" v="4490"/>
    </bk>
    <bk>
      <rc t="1" v="4491"/>
    </bk>
    <bk>
      <rc t="1" v="4492"/>
    </bk>
    <bk>
      <rc t="1" v="4493"/>
    </bk>
    <bk>
      <rc t="1" v="4494"/>
    </bk>
    <bk>
      <rc t="1" v="4495"/>
    </bk>
    <bk>
      <rc t="1" v="4496"/>
    </bk>
    <bk>
      <rc t="1" v="4497"/>
    </bk>
    <bk>
      <rc t="1" v="4498"/>
    </bk>
    <bk>
      <rc t="1" v="4499"/>
    </bk>
    <bk>
      <rc t="1" v="4500"/>
    </bk>
    <bk>
      <rc t="1" v="4501"/>
    </bk>
    <bk>
      <rc t="1" v="4502"/>
    </bk>
    <bk>
      <rc t="1" v="4503"/>
    </bk>
    <bk>
      <rc t="1" v="4504"/>
    </bk>
    <bk>
      <rc t="1" v="4505"/>
    </bk>
    <bk>
      <rc t="1" v="4506"/>
    </bk>
    <bk>
      <rc t="1" v="4507"/>
    </bk>
    <bk>
      <rc t="1" v="4508"/>
    </bk>
    <bk>
      <rc t="1" v="4509"/>
    </bk>
    <bk>
      <rc t="1" v="4510"/>
    </bk>
    <bk>
      <rc t="1" v="4511"/>
    </bk>
    <bk>
      <rc t="1" v="4512"/>
    </bk>
    <bk>
      <rc t="1" v="4513"/>
    </bk>
    <bk>
      <rc t="1" v="4514"/>
    </bk>
    <bk>
      <rc t="1" v="4515"/>
    </bk>
    <bk>
      <rc t="1" v="4516"/>
    </bk>
    <bk>
      <rc t="1" v="4517"/>
    </bk>
    <bk>
      <rc t="1" v="4518"/>
    </bk>
    <bk>
      <rc t="1" v="4519"/>
    </bk>
    <bk>
      <rc t="1" v="4520"/>
    </bk>
    <bk>
      <rc t="1" v="4521"/>
    </bk>
    <bk>
      <rc t="1" v="4522"/>
    </bk>
    <bk>
      <rc t="1" v="4523"/>
    </bk>
    <bk>
      <rc t="1" v="4524"/>
    </bk>
    <bk>
      <rc t="1" v="4525"/>
    </bk>
    <bk>
      <rc t="1" v="4526"/>
    </bk>
    <bk>
      <rc t="1" v="4527"/>
    </bk>
    <bk>
      <rc t="1" v="4528"/>
    </bk>
    <bk>
      <rc t="1" v="4529"/>
    </bk>
    <bk>
      <rc t="1" v="4530"/>
    </bk>
    <bk>
      <rc t="1" v="4531"/>
    </bk>
    <bk>
      <rc t="1" v="4532"/>
    </bk>
    <bk>
      <rc t="1" v="4533"/>
    </bk>
    <bk>
      <rc t="1" v="4534"/>
    </bk>
    <bk>
      <rc t="1" v="4535"/>
    </bk>
    <bk>
      <rc t="1" v="4536"/>
    </bk>
    <bk>
      <rc t="1" v="4537"/>
    </bk>
    <bk>
      <rc t="1" v="4538"/>
    </bk>
    <bk>
      <rc t="1" v="4539"/>
    </bk>
    <bk>
      <rc t="1" v="4540"/>
    </bk>
    <bk>
      <rc t="1" v="4541"/>
    </bk>
    <bk>
      <rc t="1" v="4542"/>
    </bk>
    <bk>
      <rc t="1" v="4543"/>
    </bk>
    <bk>
      <rc t="1" v="4544"/>
    </bk>
    <bk>
      <rc t="1" v="4545"/>
    </bk>
    <bk>
      <rc t="1" v="4546"/>
    </bk>
    <bk>
      <rc t="1" v="4547"/>
    </bk>
    <bk>
      <rc t="1" v="4548"/>
    </bk>
    <bk>
      <rc t="1" v="4549"/>
    </bk>
    <bk>
      <rc t="1" v="4550"/>
    </bk>
    <bk>
      <rc t="1" v="4551"/>
    </bk>
    <bk>
      <rc t="1" v="4552"/>
    </bk>
    <bk>
      <rc t="1" v="4553"/>
    </bk>
    <bk>
      <rc t="1" v="4554"/>
    </bk>
    <bk>
      <rc t="1" v="4555"/>
    </bk>
    <bk>
      <rc t="1" v="4556"/>
    </bk>
    <bk>
      <rc t="1" v="4557"/>
    </bk>
    <bk>
      <rc t="1" v="4558"/>
    </bk>
    <bk>
      <rc t="1" v="4559"/>
    </bk>
    <bk>
      <rc t="1" v="4560"/>
    </bk>
    <bk>
      <rc t="1" v="4561"/>
    </bk>
    <bk>
      <rc t="1" v="4562"/>
    </bk>
    <bk>
      <rc t="1" v="4563"/>
    </bk>
    <bk>
      <rc t="1" v="4564"/>
    </bk>
    <bk>
      <rc t="1" v="4565"/>
    </bk>
    <bk>
      <rc t="1" v="4566"/>
    </bk>
    <bk>
      <rc t="1" v="4567"/>
    </bk>
    <bk>
      <rc t="1" v="4568"/>
    </bk>
    <bk>
      <rc t="1" v="4569"/>
    </bk>
    <bk>
      <rc t="1" v="4570"/>
    </bk>
    <bk>
      <rc t="1" v="4571"/>
    </bk>
    <bk>
      <rc t="1" v="4572"/>
    </bk>
    <bk>
      <rc t="1" v="4573"/>
    </bk>
    <bk>
      <rc t="1" v="4574"/>
    </bk>
    <bk>
      <rc t="1" v="4575"/>
    </bk>
    <bk>
      <rc t="1" v="4576"/>
    </bk>
    <bk>
      <rc t="1" v="4577"/>
    </bk>
    <bk>
      <rc t="1" v="4578"/>
    </bk>
    <bk>
      <rc t="1" v="4579"/>
    </bk>
    <bk>
      <rc t="1" v="4580"/>
    </bk>
    <bk>
      <rc t="1" v="4581"/>
    </bk>
    <bk>
      <rc t="1" v="4582"/>
    </bk>
    <bk>
      <rc t="1" v="4583"/>
    </bk>
    <bk>
      <rc t="1" v="4584"/>
    </bk>
    <bk>
      <rc t="1" v="4585"/>
    </bk>
    <bk>
      <rc t="1" v="4586"/>
    </bk>
    <bk>
      <rc t="1" v="4587"/>
    </bk>
    <bk>
      <rc t="1" v="4588"/>
    </bk>
    <bk>
      <rc t="1" v="4589"/>
    </bk>
    <bk>
      <rc t="1" v="4590"/>
    </bk>
    <bk>
      <rc t="1" v="4591"/>
    </bk>
    <bk>
      <rc t="1" v="4592"/>
    </bk>
    <bk>
      <rc t="1" v="4593"/>
    </bk>
    <bk>
      <rc t="1" v="4594"/>
    </bk>
    <bk>
      <rc t="1" v="4595"/>
    </bk>
    <bk>
      <rc t="1" v="4596"/>
    </bk>
    <bk>
      <rc t="1" v="4597"/>
    </bk>
    <bk>
      <rc t="1" v="4598"/>
    </bk>
    <bk>
      <rc t="1" v="4599"/>
    </bk>
    <bk>
      <rc t="1" v="4600"/>
    </bk>
    <bk>
      <rc t="1" v="4601"/>
    </bk>
    <bk>
      <rc t="1" v="4602"/>
    </bk>
    <bk>
      <rc t="1" v="4603"/>
    </bk>
    <bk>
      <rc t="1" v="4604"/>
    </bk>
    <bk>
      <rc t="1" v="4605"/>
    </bk>
    <bk>
      <rc t="1" v="4606"/>
    </bk>
    <bk>
      <rc t="1" v="4607"/>
    </bk>
    <bk>
      <rc t="1" v="4608"/>
    </bk>
    <bk>
      <rc t="1" v="4609"/>
    </bk>
    <bk>
      <rc t="1" v="4610"/>
    </bk>
    <bk>
      <rc t="1" v="4611"/>
    </bk>
    <bk>
      <rc t="1" v="4612"/>
    </bk>
    <bk>
      <rc t="1" v="4613"/>
    </bk>
    <bk>
      <rc t="1" v="4614"/>
    </bk>
    <bk>
      <rc t="1" v="4615"/>
    </bk>
    <bk>
      <rc t="1" v="4616"/>
    </bk>
    <bk>
      <rc t="1" v="4617"/>
    </bk>
    <bk>
      <rc t="1" v="4618"/>
    </bk>
    <bk>
      <rc t="1" v="4619"/>
    </bk>
    <bk>
      <rc t="1" v="4620"/>
    </bk>
    <bk>
      <rc t="1" v="4621"/>
    </bk>
    <bk>
      <rc t="1" v="4622"/>
    </bk>
    <bk>
      <rc t="1" v="4623"/>
    </bk>
    <bk>
      <rc t="1" v="4624"/>
    </bk>
    <bk>
      <rc t="1" v="4625"/>
    </bk>
    <bk>
      <rc t="1" v="4626"/>
    </bk>
    <bk>
      <rc t="1" v="4627"/>
    </bk>
    <bk>
      <rc t="1" v="4628"/>
    </bk>
    <bk>
      <rc t="1" v="4629"/>
    </bk>
    <bk>
      <rc t="1" v="4630"/>
    </bk>
    <bk>
      <rc t="1" v="4631"/>
    </bk>
    <bk>
      <rc t="1" v="4632"/>
    </bk>
    <bk>
      <rc t="1" v="4633"/>
    </bk>
    <bk>
      <rc t="1" v="4634"/>
    </bk>
    <bk>
      <rc t="1" v="4635"/>
    </bk>
    <bk>
      <rc t="1" v="4636"/>
    </bk>
    <bk>
      <rc t="1" v="4637"/>
    </bk>
    <bk>
      <rc t="1" v="4638"/>
    </bk>
    <bk>
      <rc t="1" v="4639"/>
    </bk>
    <bk>
      <rc t="1" v="4640"/>
    </bk>
    <bk>
      <rc t="1" v="4641"/>
    </bk>
    <bk>
      <rc t="1" v="4642"/>
    </bk>
    <bk>
      <rc t="1" v="4643"/>
    </bk>
    <bk>
      <rc t="1" v="4644"/>
    </bk>
    <bk>
      <rc t="1" v="4645"/>
    </bk>
    <bk>
      <rc t="1" v="4646"/>
    </bk>
    <bk>
      <rc t="1" v="4647"/>
    </bk>
    <bk>
      <rc t="1" v="4648"/>
    </bk>
    <bk>
      <rc t="1" v="4649"/>
    </bk>
    <bk>
      <rc t="1" v="4650"/>
    </bk>
    <bk>
      <rc t="1" v="4651"/>
    </bk>
    <bk>
      <rc t="1" v="4652"/>
    </bk>
    <bk>
      <rc t="1" v="4653"/>
    </bk>
    <bk>
      <rc t="1" v="4654"/>
    </bk>
    <bk>
      <rc t="1" v="4655"/>
    </bk>
    <bk>
      <rc t="1" v="4656"/>
    </bk>
    <bk>
      <rc t="1" v="4657"/>
    </bk>
    <bk>
      <rc t="1" v="4658"/>
    </bk>
    <bk>
      <rc t="1" v="4659"/>
    </bk>
    <bk>
      <rc t="1" v="4660"/>
    </bk>
    <bk>
      <rc t="1" v="4661"/>
    </bk>
    <bk>
      <rc t="1" v="4662"/>
    </bk>
    <bk>
      <rc t="1" v="4663"/>
    </bk>
    <bk>
      <rc t="1" v="4664"/>
    </bk>
    <bk>
      <rc t="1" v="4665"/>
    </bk>
    <bk>
      <rc t="1" v="4666"/>
    </bk>
    <bk>
      <rc t="1" v="4667"/>
    </bk>
    <bk>
      <rc t="1" v="4668"/>
    </bk>
    <bk>
      <rc t="1" v="4669"/>
    </bk>
    <bk>
      <rc t="1" v="4670"/>
    </bk>
    <bk>
      <rc t="1" v="4671"/>
    </bk>
    <bk>
      <rc t="1" v="4672"/>
    </bk>
    <bk>
      <rc t="1" v="4673"/>
    </bk>
    <bk>
      <rc t="1" v="4674"/>
    </bk>
    <bk>
      <rc t="1" v="4675"/>
    </bk>
    <bk>
      <rc t="1" v="4676"/>
    </bk>
    <bk>
      <rc t="1" v="4677"/>
    </bk>
    <bk>
      <rc t="1" v="4678"/>
    </bk>
    <bk>
      <rc t="1" v="4679"/>
    </bk>
    <bk>
      <rc t="1" v="4680"/>
    </bk>
    <bk>
      <rc t="1" v="4681"/>
    </bk>
    <bk>
      <rc t="1" v="4682"/>
    </bk>
    <bk>
      <rc t="1" v="4683"/>
    </bk>
    <bk>
      <rc t="1" v="4684"/>
    </bk>
    <bk>
      <rc t="1" v="4685"/>
    </bk>
    <bk>
      <rc t="1" v="4686"/>
    </bk>
    <bk>
      <rc t="1" v="4687"/>
    </bk>
    <bk>
      <rc t="1" v="4688"/>
    </bk>
    <bk>
      <rc t="1" v="4689"/>
    </bk>
    <bk>
      <rc t="1" v="4690"/>
    </bk>
    <bk>
      <rc t="1" v="4691"/>
    </bk>
    <bk>
      <rc t="1" v="4692"/>
    </bk>
    <bk>
      <rc t="1" v="4693"/>
    </bk>
    <bk>
      <rc t="1" v="4694"/>
    </bk>
    <bk>
      <rc t="1" v="4695"/>
    </bk>
    <bk>
      <rc t="1" v="4696"/>
    </bk>
    <bk>
      <rc t="1" v="4697"/>
    </bk>
    <bk>
      <rc t="1" v="4698"/>
    </bk>
    <bk>
      <rc t="1" v="4699"/>
    </bk>
    <bk>
      <rc t="1" v="4700"/>
    </bk>
    <bk>
      <rc t="1" v="4701"/>
    </bk>
    <bk>
      <rc t="1" v="4702"/>
    </bk>
    <bk>
      <rc t="1" v="4703"/>
    </bk>
    <bk>
      <rc t="1" v="4704"/>
    </bk>
    <bk>
      <rc t="1" v="4705"/>
    </bk>
    <bk>
      <rc t="1" v="4706"/>
    </bk>
    <bk>
      <rc t="1" v="4707"/>
    </bk>
    <bk>
      <rc t="1" v="4708"/>
    </bk>
    <bk>
      <rc t="1" v="4709"/>
    </bk>
    <bk>
      <rc t="1" v="4710"/>
    </bk>
    <bk>
      <rc t="1" v="4711"/>
    </bk>
    <bk>
      <rc t="1" v="4712"/>
    </bk>
    <bk>
      <rc t="1" v="4713"/>
    </bk>
    <bk>
      <rc t="1" v="4714"/>
    </bk>
    <bk>
      <rc t="1" v="4715"/>
    </bk>
    <bk>
      <rc t="1" v="4716"/>
    </bk>
    <bk>
      <rc t="1" v="4717"/>
    </bk>
    <bk>
      <rc t="1" v="4718"/>
    </bk>
    <bk>
      <rc t="1" v="4719"/>
    </bk>
    <bk>
      <rc t="1" v="4720"/>
    </bk>
    <bk>
      <rc t="1" v="4721"/>
    </bk>
    <bk>
      <rc t="1" v="4722"/>
    </bk>
    <bk>
      <rc t="1" v="4723"/>
    </bk>
    <bk>
      <rc t="1" v="4724"/>
    </bk>
    <bk>
      <rc t="1" v="4725"/>
    </bk>
    <bk>
      <rc t="1" v="4726"/>
    </bk>
    <bk>
      <rc t="1" v="4727"/>
    </bk>
    <bk>
      <rc t="1" v="4728"/>
    </bk>
    <bk>
      <rc t="1" v="4729"/>
    </bk>
    <bk>
      <rc t="1" v="4730"/>
    </bk>
    <bk>
      <rc t="1" v="4731"/>
    </bk>
    <bk>
      <rc t="1" v="4732"/>
    </bk>
    <bk>
      <rc t="1" v="4733"/>
    </bk>
    <bk>
      <rc t="1" v="4734"/>
    </bk>
    <bk>
      <rc t="1" v="4735"/>
    </bk>
    <bk>
      <rc t="1" v="4736"/>
    </bk>
    <bk>
      <rc t="1" v="4737"/>
    </bk>
    <bk>
      <rc t="1" v="4738"/>
    </bk>
    <bk>
      <rc t="1" v="4739"/>
    </bk>
    <bk>
      <rc t="1" v="4740"/>
    </bk>
    <bk>
      <rc t="1" v="4741"/>
    </bk>
    <bk>
      <rc t="1" v="4742"/>
    </bk>
    <bk>
      <rc t="1" v="4743"/>
    </bk>
    <bk>
      <rc t="1" v="4744"/>
    </bk>
    <bk>
      <rc t="1" v="4745"/>
    </bk>
    <bk>
      <rc t="1" v="4746"/>
    </bk>
    <bk>
      <rc t="1" v="4747"/>
    </bk>
    <bk>
      <rc t="1" v="4748"/>
    </bk>
    <bk>
      <rc t="1" v="4749"/>
    </bk>
    <bk>
      <rc t="1" v="4750"/>
    </bk>
    <bk>
      <rc t="1" v="4751"/>
    </bk>
    <bk>
      <rc t="1" v="4752"/>
    </bk>
    <bk>
      <rc t="1" v="4753"/>
    </bk>
    <bk>
      <rc t="1" v="4754"/>
    </bk>
    <bk>
      <rc t="1" v="4755"/>
    </bk>
    <bk>
      <rc t="1" v="4756"/>
    </bk>
    <bk>
      <rc t="1" v="4757"/>
    </bk>
    <bk>
      <rc t="1" v="4758"/>
    </bk>
    <bk>
      <rc t="1" v="4759"/>
    </bk>
    <bk>
      <rc t="1" v="4760"/>
    </bk>
    <bk>
      <rc t="1" v="4761"/>
    </bk>
    <bk>
      <rc t="1" v="4762"/>
    </bk>
    <bk>
      <rc t="1" v="4763"/>
    </bk>
    <bk>
      <rc t="1" v="4764"/>
    </bk>
    <bk>
      <rc t="1" v="4765"/>
    </bk>
    <bk>
      <rc t="1" v="4766"/>
    </bk>
    <bk>
      <rc t="1" v="4767"/>
    </bk>
    <bk>
      <rc t="1" v="4768"/>
    </bk>
    <bk>
      <rc t="1" v="4769"/>
    </bk>
    <bk>
      <rc t="1" v="4770"/>
    </bk>
    <bk>
      <rc t="1" v="4771"/>
    </bk>
    <bk>
      <rc t="1" v="4772"/>
    </bk>
    <bk>
      <rc t="1" v="4773"/>
    </bk>
    <bk>
      <rc t="1" v="4774"/>
    </bk>
    <bk>
      <rc t="1" v="4775"/>
    </bk>
    <bk>
      <rc t="1" v="4776"/>
    </bk>
    <bk>
      <rc t="1" v="4777"/>
    </bk>
    <bk>
      <rc t="1" v="4778"/>
    </bk>
    <bk>
      <rc t="1" v="4779"/>
    </bk>
    <bk>
      <rc t="1" v="4780"/>
    </bk>
    <bk>
      <rc t="1" v="4781"/>
    </bk>
    <bk>
      <rc t="1" v="4782"/>
    </bk>
    <bk>
      <rc t="1" v="4783"/>
    </bk>
    <bk>
      <rc t="1" v="4784"/>
    </bk>
    <bk>
      <rc t="1" v="4785"/>
    </bk>
    <bk>
      <rc t="1" v="4786"/>
    </bk>
    <bk>
      <rc t="1" v="4787"/>
    </bk>
    <bk>
      <rc t="1" v="4788"/>
    </bk>
    <bk>
      <rc t="1" v="4789"/>
    </bk>
    <bk>
      <rc t="1" v="4790"/>
    </bk>
    <bk>
      <rc t="1" v="4791"/>
    </bk>
    <bk>
      <rc t="1" v="4792"/>
    </bk>
    <bk>
      <rc t="1" v="4793"/>
    </bk>
    <bk>
      <rc t="1" v="4794"/>
    </bk>
    <bk>
      <rc t="1" v="4795"/>
    </bk>
    <bk>
      <rc t="1" v="4796"/>
    </bk>
    <bk>
      <rc t="1" v="4797"/>
    </bk>
    <bk>
      <rc t="1" v="4798"/>
    </bk>
    <bk>
      <rc t="1" v="4799"/>
    </bk>
    <bk>
      <rc t="1" v="4800"/>
    </bk>
    <bk>
      <rc t="1" v="4801"/>
    </bk>
    <bk>
      <rc t="1" v="4802"/>
    </bk>
    <bk>
      <rc t="1" v="4803"/>
    </bk>
    <bk>
      <rc t="1" v="4804"/>
    </bk>
    <bk>
      <rc t="1" v="4805"/>
    </bk>
    <bk>
      <rc t="1" v="4806"/>
    </bk>
    <bk>
      <rc t="1" v="4807"/>
    </bk>
    <bk>
      <rc t="1" v="4808"/>
    </bk>
    <bk>
      <rc t="1" v="4809"/>
    </bk>
    <bk>
      <rc t="1" v="4810"/>
    </bk>
    <bk>
      <rc t="1" v="4811"/>
    </bk>
    <bk>
      <rc t="1" v="4812"/>
    </bk>
    <bk>
      <rc t="1" v="4813"/>
    </bk>
    <bk>
      <rc t="1" v="4814"/>
    </bk>
    <bk>
      <rc t="1" v="4815"/>
    </bk>
    <bk>
      <rc t="1" v="4816"/>
    </bk>
    <bk>
      <rc t="1" v="4817"/>
    </bk>
    <bk>
      <rc t="1" v="4818"/>
    </bk>
    <bk>
      <rc t="1" v="4819"/>
    </bk>
    <bk>
      <rc t="1" v="4820"/>
    </bk>
    <bk>
      <rc t="1" v="4821"/>
    </bk>
    <bk>
      <rc t="1" v="4822"/>
    </bk>
    <bk>
      <rc t="1" v="4823"/>
    </bk>
    <bk>
      <rc t="1" v="4824"/>
    </bk>
    <bk>
      <rc t="1" v="4825"/>
    </bk>
    <bk>
      <rc t="1" v="4826"/>
    </bk>
    <bk>
      <rc t="1" v="4827"/>
    </bk>
    <bk>
      <rc t="1" v="4828"/>
    </bk>
    <bk>
      <rc t="1" v="4829"/>
    </bk>
    <bk>
      <rc t="1" v="4830"/>
    </bk>
    <bk>
      <rc t="1" v="4831"/>
    </bk>
    <bk>
      <rc t="1" v="4832"/>
    </bk>
    <bk>
      <rc t="1" v="4833"/>
    </bk>
    <bk>
      <rc t="1" v="4834"/>
    </bk>
    <bk>
      <rc t="1" v="4835"/>
    </bk>
    <bk>
      <rc t="1" v="4836"/>
    </bk>
    <bk>
      <rc t="1" v="4837"/>
    </bk>
    <bk>
      <rc t="1" v="4838"/>
    </bk>
    <bk>
      <rc t="1" v="4839"/>
    </bk>
    <bk>
      <rc t="1" v="4840"/>
    </bk>
    <bk>
      <rc t="1" v="4841"/>
    </bk>
    <bk>
      <rc t="1" v="4842"/>
    </bk>
    <bk>
      <rc t="1" v="4843"/>
    </bk>
    <bk>
      <rc t="1" v="4844"/>
    </bk>
    <bk>
      <rc t="1" v="4845"/>
    </bk>
    <bk>
      <rc t="1" v="4846"/>
    </bk>
    <bk>
      <rc t="1" v="4847"/>
    </bk>
    <bk>
      <rc t="1" v="4848"/>
    </bk>
    <bk>
      <rc t="1" v="4849"/>
    </bk>
    <bk>
      <rc t="1" v="4850"/>
    </bk>
    <bk>
      <rc t="1" v="4851"/>
    </bk>
    <bk>
      <rc t="1" v="4852"/>
    </bk>
    <bk>
      <rc t="1" v="4853"/>
    </bk>
    <bk>
      <rc t="1" v="4854"/>
    </bk>
    <bk>
      <rc t="1" v="4855"/>
    </bk>
    <bk>
      <rc t="1" v="4856"/>
    </bk>
    <bk>
      <rc t="1" v="4857"/>
    </bk>
    <bk>
      <rc t="1" v="4858"/>
    </bk>
    <bk>
      <rc t="1" v="4859"/>
    </bk>
    <bk>
      <rc t="1" v="4860"/>
    </bk>
    <bk>
      <rc t="1" v="4861"/>
    </bk>
    <bk>
      <rc t="1" v="4862"/>
    </bk>
    <bk>
      <rc t="1" v="4863"/>
    </bk>
    <bk>
      <rc t="1" v="4864"/>
    </bk>
    <bk>
      <rc t="1" v="4865"/>
    </bk>
    <bk>
      <rc t="1" v="4866"/>
    </bk>
    <bk>
      <rc t="1" v="4867"/>
    </bk>
    <bk>
      <rc t="1" v="4868"/>
    </bk>
    <bk>
      <rc t="1" v="4869"/>
    </bk>
    <bk>
      <rc t="1" v="4870"/>
    </bk>
    <bk>
      <rc t="1" v="4871"/>
    </bk>
    <bk>
      <rc t="1" v="4872"/>
    </bk>
    <bk>
      <rc t="1" v="4873"/>
    </bk>
    <bk>
      <rc t="1" v="4874"/>
    </bk>
    <bk>
      <rc t="1" v="4875"/>
    </bk>
    <bk>
      <rc t="1" v="4876"/>
    </bk>
    <bk>
      <rc t="1" v="4877"/>
    </bk>
    <bk>
      <rc t="1" v="4878"/>
    </bk>
    <bk>
      <rc t="1" v="4879"/>
    </bk>
    <bk>
      <rc t="1" v="4880"/>
    </bk>
    <bk>
      <rc t="1" v="4881"/>
    </bk>
    <bk>
      <rc t="1" v="4882"/>
    </bk>
    <bk>
      <rc t="1" v="4883"/>
    </bk>
    <bk>
      <rc t="1" v="4884"/>
    </bk>
    <bk>
      <rc t="1" v="4885"/>
    </bk>
    <bk>
      <rc t="1" v="4886"/>
    </bk>
    <bk>
      <rc t="1" v="4887"/>
    </bk>
    <bk>
      <rc t="1" v="4888"/>
    </bk>
    <bk>
      <rc t="1" v="4889"/>
    </bk>
    <bk>
      <rc t="1" v="4890"/>
    </bk>
    <bk>
      <rc t="1" v="4891"/>
    </bk>
    <bk>
      <rc t="1" v="4892"/>
    </bk>
    <bk>
      <rc t="1" v="4893"/>
    </bk>
    <bk>
      <rc t="1" v="4894"/>
    </bk>
    <bk>
      <rc t="1" v="4895"/>
    </bk>
    <bk>
      <rc t="1" v="4896"/>
    </bk>
    <bk>
      <rc t="1" v="4897"/>
    </bk>
    <bk>
      <rc t="1" v="4898"/>
    </bk>
    <bk>
      <rc t="1" v="4899"/>
    </bk>
    <bk>
      <rc t="1" v="4900"/>
    </bk>
    <bk>
      <rc t="1" v="4901"/>
    </bk>
    <bk>
      <rc t="1" v="4902"/>
    </bk>
    <bk>
      <rc t="1" v="4903"/>
    </bk>
    <bk>
      <rc t="1" v="4904"/>
    </bk>
    <bk>
      <rc t="1" v="4905"/>
    </bk>
    <bk>
      <rc t="1" v="4906"/>
    </bk>
    <bk>
      <rc t="1" v="4907"/>
    </bk>
    <bk>
      <rc t="1" v="4908"/>
    </bk>
    <bk>
      <rc t="1" v="4909"/>
    </bk>
    <bk>
      <rc t="1" v="4910"/>
    </bk>
    <bk>
      <rc t="1" v="4911"/>
    </bk>
    <bk>
      <rc t="1" v="4912"/>
    </bk>
    <bk>
      <rc t="1" v="4913"/>
    </bk>
    <bk>
      <rc t="1" v="4914"/>
    </bk>
    <bk>
      <rc t="1" v="4915"/>
    </bk>
    <bk>
      <rc t="1" v="4916"/>
    </bk>
    <bk>
      <rc t="1" v="4917"/>
    </bk>
    <bk>
      <rc t="1" v="4918"/>
    </bk>
    <bk>
      <rc t="1" v="4919"/>
    </bk>
    <bk>
      <rc t="1" v="4920"/>
    </bk>
  </valueMetadata>
</metadata>
</file>

<file path=xl/sharedStrings.xml><?xml version="1.0" encoding="utf-8"?>
<sst xmlns="http://schemas.openxmlformats.org/spreadsheetml/2006/main" count="33377" uniqueCount="8452">
  <si>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</si>
  <si>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</si>
  <si>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</si>
  <si>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</si>
  <si>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</si>
  <si>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</si>
  <si>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</si>
  <si>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</si>
  <si>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</si>
  <si>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</si>
  <si>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</si>
  <si>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</si>
  <si>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</si>
  <si>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</si>
  <si>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</si>
  <si>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</si>
  <si>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</si>
  <si>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</si>
  <si>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</si>
  <si>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</si>
  <si>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</si>
  <si>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</si>
  <si>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</si>
  <si>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</si>
  <si>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</si>
  <si>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</si>
  <si>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</si>
  <si>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</si>
  <si>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</si>
  <si>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</si>
  <si>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</si>
  <si>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</si>
  <si>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</si>
  <si>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</si>
  <si>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</si>
  <si>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</si>
  <si>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</si>
  <si>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</si>
  <si>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</si>
  <si>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</si>
  <si>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</si>
  <si>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</si>
  <si>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</si>
  <si>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</si>
  <si>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</si>
  <si>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</si>
  <si>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</si>
  <si>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</si>
  <si>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</si>
  <si>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</si>
  <si>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</si>
  <si>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</si>
  <si>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</si>
  <si>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</si>
  <si>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</si>
  <si>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</si>
  <si>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</si>
  <si>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</si>
  <si>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</si>
  <si>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</si>
  <si>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</si>
  <si>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</si>
  <si>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</si>
  <si>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</si>
  <si>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</si>
  <si>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</si>
  <si>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</si>
  <si>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</si>
  <si>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</si>
  <si>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</si>
  <si>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</si>
  <si>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</si>
  <si>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</si>
  <si>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</si>
  <si>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</si>
  <si>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</si>
  <si>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</si>
  <si>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</si>
  <si>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</si>
  <si>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</si>
  <si>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</si>
  <si>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</si>
  <si>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</si>
  <si>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</si>
  <si>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</si>
  <si>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</si>
  <si>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</si>
  <si>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</si>
  <si>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</si>
  <si>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</si>
  <si>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</si>
  <si>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</si>
  <si>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</si>
  <si>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</si>
  <si>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</si>
  <si>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</si>
  <si>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</si>
  <si>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</si>
  <si>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</si>
  <si>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</si>
  <si>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</si>
  <si>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</si>
  <si>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</si>
  <si>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</si>
  <si>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</si>
  <si>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</si>
  <si>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</si>
  <si>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</si>
  <si>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</si>
  <si>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</si>
  <si>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</si>
  <si>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</si>
  <si>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</si>
  <si>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</si>
  <si>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</si>
  <si>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</si>
  <si>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</si>
  <si>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</si>
  <si>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</si>
  <si>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</si>
  <si>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</si>
  <si>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</si>
  <si>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</si>
  <si>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</si>
  <si>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</si>
  <si>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</si>
  <si>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</si>
  <si>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</si>
  <si>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</si>
  <si>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</si>
  <si>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</si>
  <si>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</si>
  <si>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</si>
  <si>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</si>
  <si>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</si>
  <si>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</si>
  <si>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</si>
  <si>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</si>
  <si>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</si>
  <si>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</si>
  <si>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</si>
  <si>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</si>
  <si>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</si>
  <si>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</si>
  <si>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</si>
  <si>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</si>
  <si>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</si>
  <si>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</si>
  <si>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</si>
  <si>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</si>
  <si>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</si>
  <si>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</si>
  <si>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</si>
  <si>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</si>
  <si>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</si>
  <si>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</si>
  <si>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</si>
  <si>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</si>
  <si>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</si>
  <si>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</si>
  <si>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</si>
  <si>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</si>
  <si>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</si>
  <si>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</si>
  <si>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</si>
  <si>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</si>
  <si>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</si>
  <si>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</si>
  <si>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</si>
  <si>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</si>
  <si>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</si>
  <si>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</si>
  <si>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</si>
  <si>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</si>
  <si>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</si>
  <si>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</si>
  <si>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</si>
  <si>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</si>
  <si>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</si>
  <si>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</si>
  <si>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</si>
  <si>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</si>
  <si>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</si>
  <si>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</si>
  <si>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</si>
  <si>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</si>
  <si>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</si>
  <si>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</si>
  <si>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</si>
  <si>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</si>
  <si>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</si>
  <si>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</si>
  <si>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</si>
  <si>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</si>
  <si>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</si>
  <si>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</si>
  <si>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</si>
  <si>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</si>
  <si>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</si>
  <si>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</si>
  <si>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</si>
  <si>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</si>
  <si>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</si>
  <si>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</si>
  <si>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</si>
  <si>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</si>
  <si>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</si>
  <si>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</si>
  <si>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</si>
  <si>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</si>
  <si>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</si>
  <si>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</si>
  <si>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</si>
  <si>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</si>
  <si>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</si>
  <si>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</si>
  <si>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</si>
  <si>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</si>
  <si>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</si>
  <si>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</si>
  <si>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</si>
  <si>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</si>
  <si>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</si>
  <si>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</si>
  <si>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</si>
  <si>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</si>
  <si>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</si>
  <si>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</si>
  <si>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</si>
  <si>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</si>
  <si>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</si>
  <si>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</si>
  <si>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</si>
  <si>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</si>
  <si>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</si>
  <si>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</si>
  <si>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</si>
  <si>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</si>
  <si>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</si>
  <si>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</si>
  <si>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</si>
  <si>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</si>
  <si>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</si>
  <si>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</si>
  <si>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</si>
  <si>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</si>
  <si>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</si>
  <si>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</si>
  <si>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</si>
  <si>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</si>
  <si>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</si>
  <si>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</si>
  <si>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</si>
  <si>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</si>
  <si>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</si>
  <si>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</si>
  <si>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</si>
  <si>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</si>
  <si>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</si>
  <si>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</si>
  <si>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</si>
  <si>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</si>
  <si>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</si>
  <si>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</si>
  <si>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</si>
  <si>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</si>
  <si>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</si>
  <si>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</si>
  <si>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</si>
  <si>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</si>
  <si>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</si>
  <si>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</si>
  <si>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</si>
  <si>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</si>
  <si>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</si>
  <si>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</si>
  <si>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</si>
  <si>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</si>
  <si>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</si>
  <si>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</si>
  <si>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</si>
  <si>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</si>
  <si>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</si>
  <si>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</si>
  <si>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</si>
  <si>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</si>
  <si>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</si>
  <si>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</si>
  <si>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</si>
  <si>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</si>
  <si>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</si>
  <si>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</si>
  <si>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</si>
  <si>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</si>
  <si>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</si>
  <si>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</si>
  <si>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</si>
  <si>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</si>
  <si>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</si>
  <si>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</si>
  <si>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</si>
  <si>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</si>
  <si>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</si>
  <si>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</si>
  <si>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</si>
  <si>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</si>
  <si>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</si>
  <si>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</si>
  <si>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</si>
  <si>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</si>
  <si>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</si>
  <si>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</si>
  <si>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</si>
  <si>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</si>
  <si>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</si>
  <si>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</si>
  <si>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</si>
  <si>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</si>
  <si>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</si>
  <si>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</si>
  <si>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</si>
  <si>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</si>
  <si>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</si>
  <si>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</si>
  <si>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</si>
  <si>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</si>
  <si>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</si>
  <si>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</si>
  <si>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</si>
  <si>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</si>
  <si>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</si>
  <si>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</si>
  <si>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</si>
  <si>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</si>
  <si>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</si>
  <si>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</si>
  <si>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</si>
  <si>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</si>
  <si>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</si>
  <si>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</si>
  <si>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</si>
  <si>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</si>
  <si>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</si>
  <si>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</si>
  <si>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</si>
  <si>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</si>
  <si>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</si>
  <si>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</si>
  <si>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</si>
  <si>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</si>
  <si>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</si>
  <si>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</si>
  <si>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</si>
  <si>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</si>
  <si>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</si>
  <si>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</si>
  <si>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</si>
  <si>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</si>
  <si>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</si>
  <si>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</si>
  <si>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</si>
  <si>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</si>
  <si>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</si>
  <si>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</si>
  <si>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</si>
  <si>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</si>
  <si>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</si>
  <si>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</si>
  <si>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</si>
  <si>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</si>
  <si>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</si>
  <si>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</si>
  <si>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</si>
  <si>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</si>
  <si>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</si>
  <si>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</si>
  <si>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</si>
  <si>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</si>
  <si>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</si>
  <si>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</si>
  <si>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</si>
  <si>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</si>
  <si>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</si>
  <si>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</si>
  <si>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</si>
  <si>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</si>
  <si>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</si>
  <si>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</si>
  <si>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</si>
  <si>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</si>
  <si>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</si>
  <si>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</si>
  <si>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</si>
  <si>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</si>
  <si>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</si>
  <si>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</si>
  <si>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</si>
  <si>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</si>
  <si>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</si>
  <si>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</si>
  <si>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</si>
  <si>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</si>
  <si>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</si>
  <si>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</si>
  <si>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</si>
  <si>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</si>
  <si>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</si>
  <si>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</si>
  <si>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</si>
  <si>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</si>
  <si>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</si>
  <si>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</si>
  <si>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</si>
  <si>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</si>
  <si>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</si>
  <si>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</si>
  <si>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</si>
  <si>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</si>
  <si>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</si>
  <si>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</si>
  <si>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</si>
  <si>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</si>
  <si>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</si>
  <si>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</si>
  <si>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</si>
  <si>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</si>
  <si>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</si>
  <si>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</si>
  <si>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</si>
  <si>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</si>
  <si>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</si>
  <si>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</si>
  <si>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</si>
  <si>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</si>
  <si>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</si>
  <si>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</si>
  <si>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</si>
  <si>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</si>
  <si>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</si>
  <si>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</si>
  <si>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</si>
  <si>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</si>
  <si>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</si>
  <si>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</si>
  <si>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</si>
  <si>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</si>
  <si>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</si>
  <si>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</si>
  <si>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</si>
  <si>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</si>
  <si>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</si>
  <si>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</si>
  <si>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</si>
  <si>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</si>
  <si>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</si>
  <si>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</si>
  <si>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</si>
  <si>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</si>
  <si>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</si>
  <si>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</si>
  <si>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</si>
  <si>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</si>
  <si>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</si>
  <si>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</si>
  <si>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</si>
  <si>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</si>
  <si>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</si>
  <si>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</si>
  <si>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</si>
  <si>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</si>
  <si>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</si>
  <si>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</si>
  <si>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</si>
  <si>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</si>
  <si>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</si>
  <si>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</si>
  <si>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</si>
  <si>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</si>
  <si>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</si>
  <si>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</si>
  <si>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</si>
  <si>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</si>
  <si>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</si>
  <si>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</si>
  <si>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</si>
  <si>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</si>
  <si>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</si>
  <si>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</si>
  <si>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</si>
  <si>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</si>
  <si>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</si>
  <si>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</si>
  <si>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</si>
  <si>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</si>
  <si>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</si>
  <si>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</si>
  <si>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</si>
  <si>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</si>
  <si>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</si>
  <si>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</si>
  <si>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</si>
  <si>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</si>
  <si>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</si>
  <si>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</si>
  <si>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</si>
  <si>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</si>
  <si>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</si>
  <si>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</si>
  <si>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</si>
  <si>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</si>
  <si>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</si>
  <si>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</si>
  <si>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</si>
  <si>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</si>
  <si>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</si>
  <si>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</si>
  <si>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</si>
  <si>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</si>
  <si>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</si>
  <si>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</si>
  <si>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</si>
  <si>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</si>
  <si>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</si>
  <si>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</si>
  <si>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</si>
  <si>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</si>
  <si>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</si>
  <si>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</si>
  <si>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</si>
  <si>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</si>
  <si>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</si>
  <si>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</si>
  <si>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</si>
  <si>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</si>
  <si>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</si>
  <si>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</si>
  <si>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</si>
  <si>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</si>
  <si>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</si>
  <si>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</si>
  <si>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</si>
  <si>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</si>
  <si>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</si>
  <si>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</si>
  <si>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</si>
  <si>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</si>
  <si>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</si>
  <si>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</si>
  <si>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</si>
  <si>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</si>
  <si>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</si>
  <si>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</si>
  <si>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</si>
  <si>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</si>
  <si>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</si>
  <si>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</si>
  <si>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</si>
  <si>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</si>
  <si>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</si>
  <si>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</si>
  <si>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</si>
  <si>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</si>
  <si>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</si>
  <si>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</si>
  <si>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</si>
  <si>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</si>
  <si>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</si>
  <si>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</si>
  <si>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</si>
  <si>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</si>
  <si>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</si>
  <si>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</si>
  <si>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</si>
  <si>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</si>
  <si>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</si>
  <si>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</si>
  <si>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</si>
  <si>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</si>
  <si>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</si>
  <si>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</si>
  <si>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</si>
  <si>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</si>
  <si>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</si>
  <si>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</si>
  <si>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</si>
  <si>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</si>
  <si>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</si>
  <si>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</si>
  <si>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</si>
  <si>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</si>
  <si>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</si>
  <si>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</si>
  <si>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</si>
  <si>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</si>
  <si>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</si>
  <si>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</si>
  <si>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</si>
  <si>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</si>
  <si>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</si>
  <si>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</si>
  <si>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</si>
  <si>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</si>
  <si>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</si>
  <si>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</si>
  <si>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</si>
  <si>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</si>
  <si>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</si>
  <si>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</si>
  <si>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</si>
  <si>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</si>
  <si>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</si>
  <si>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</si>
  <si>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</si>
  <si>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</si>
  <si>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</si>
  <si>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</si>
  <si>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</si>
  <si>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</si>
  <si>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</si>
  <si>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</si>
  <si>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</si>
  <si>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</si>
  <si>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</si>
  <si>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</si>
  <si>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</si>
  <si>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</si>
  <si>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</si>
  <si>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</si>
  <si>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</si>
  <si>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</si>
  <si>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</si>
  <si>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</si>
  <si>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</si>
  <si>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</si>
  <si>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</si>
  <si>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</si>
  <si>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</si>
  <si>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</si>
  <si>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</si>
  <si>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</si>
  <si>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</si>
  <si>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</si>
  <si>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</si>
  <si>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</si>
  <si>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</si>
  <si>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</si>
  <si>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</si>
  <si>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</si>
  <si>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</si>
  <si>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</si>
  <si>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</si>
  <si>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</si>
  <si>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</si>
  <si>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</si>
  <si>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</si>
  <si>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</si>
  <si>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</si>
  <si>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</si>
  <si>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</si>
  <si>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</si>
  <si>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</si>
  <si>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</si>
  <si>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</si>
  <si>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</si>
  <si>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</si>
  <si>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</si>
  <si>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</si>
  <si>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</si>
  <si>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</si>
  <si>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</si>
  <si>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</si>
  <si>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</si>
  <si>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</si>
  <si>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</si>
  <si>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</si>
  <si>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</si>
  <si>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</si>
  <si>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</si>
  <si>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</si>
  <si>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</si>
  <si>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</si>
  <si>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</si>
  <si>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</si>
  <si>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</si>
  <si>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</si>
  <si>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</si>
  <si>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</si>
  <si>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</si>
  <si>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</si>
  <si>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</si>
  <si>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</si>
  <si>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</si>
  <si>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</si>
  <si>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</si>
  <si>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</si>
  <si>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</si>
  <si>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</si>
  <si>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</si>
  <si>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</si>
  <si>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</si>
  <si>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</si>
  <si>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</si>
  <si>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</si>
  <si>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</si>
  <si>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</si>
  <si>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</si>
  <si>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</si>
  <si>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</si>
  <si>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</si>
  <si>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</si>
  <si>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</si>
  <si>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</si>
  <si>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</si>
  <si>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</si>
  <si>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</si>
  <si>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</si>
  <si>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</si>
  <si>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</si>
  <si>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</si>
  <si>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</si>
  <si>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</si>
  <si>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</si>
  <si>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</si>
  <si>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</si>
  <si>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</si>
  <si>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</si>
  <si>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</si>
  <si>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</si>
  <si>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</si>
  <si>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</si>
  <si>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</si>
  <si>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</si>
  <si>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</si>
  <si>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</si>
  <si>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</si>
  <si>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</si>
  <si>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</si>
  <si>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</si>
  <si>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</si>
  <si>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</si>
  <si>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</si>
  <si>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</si>
  <si>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</si>
  <si>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</si>
  <si>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</si>
  <si>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</si>
  <si>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</si>
  <si>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</si>
  <si>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</si>
  <si>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</si>
  <si>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</si>
  <si>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</si>
  <si>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</si>
  <si>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</si>
  <si>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</si>
  <si>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</si>
  <si>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</si>
  <si>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</si>
  <si>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</si>
  <si>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</si>
  <si>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</si>
  <si>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</si>
  <si>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</si>
  <si>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</si>
  <si>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</si>
  <si>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</si>
  <si>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</si>
  <si>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</si>
  <si>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</si>
  <si>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</si>
  <si>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</si>
  <si>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</si>
  <si>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</si>
  <si>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</si>
  <si>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</si>
  <si>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</si>
  <si>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</si>
  <si>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</si>
  <si>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</si>
  <si>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</si>
  <si>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</si>
  <si>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</si>
  <si>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</si>
  <si>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</si>
  <si>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</si>
  <si>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</si>
  <si>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</si>
  <si>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</si>
  <si>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</si>
  <si>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</si>
  <si>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</si>
  <si>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</si>
  <si>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</si>
  <si>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</si>
  <si>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</si>
  <si>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</si>
  <si>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</si>
  <si>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</si>
  <si>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</si>
  <si>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</si>
  <si>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</si>
  <si>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</si>
  <si>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</si>
  <si>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</si>
  <si>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</si>
  <si>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</si>
  <si>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</si>
  <si>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</si>
  <si>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</si>
  <si>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</si>
  <si>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</si>
  <si>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</si>
  <si>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</si>
  <si>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</si>
  <si>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</si>
  <si>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</si>
  <si>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</si>
  <si>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</si>
  <si>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</si>
  <si>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</si>
  <si>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</si>
  <si>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</si>
  <si>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</si>
  <si>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</si>
  <si>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</si>
  <si>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</si>
  <si>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</si>
  <si>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</si>
  <si>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</si>
  <si>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</si>
  <si>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</si>
  <si>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</si>
  <si>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</si>
  <si>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</si>
  <si>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</si>
  <si>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</si>
  <si>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</si>
  <si>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</si>
  <si>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</si>
  <si>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</si>
  <si>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</si>
  <si>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</si>
  <si>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</si>
  <si>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</si>
  <si>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</si>
  <si>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</si>
  <si>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</si>
  <si>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</si>
  <si>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</si>
  <si>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</si>
  <si>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</si>
  <si>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</si>
  <si>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</si>
  <si>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</si>
  <si>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</si>
  <si>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</si>
  <si>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</si>
  <si>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</si>
  <si>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</si>
  <si>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</si>
  <si>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</si>
  <si>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</si>
  <si>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</si>
  <si>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</si>
  <si>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</si>
  <si>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</si>
  <si>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</si>
  <si>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</si>
  <si>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</si>
  <si>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</si>
  <si>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</si>
  <si>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</si>
  <si>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</si>
  <si>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</si>
  <si>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</si>
  <si>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</si>
  <si>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</si>
  <si>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</si>
  <si>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</si>
  <si>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</si>
  <si>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</si>
  <si>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</si>
  <si>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</si>
  <si>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</si>
  <si>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</si>
  <si>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</si>
  <si>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</si>
  <si>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</si>
  <si>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</si>
  <si>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</si>
  <si>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</si>
  <si>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</si>
  <si>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</si>
  <si>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</si>
  <si>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</si>
  <si>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</si>
  <si>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</si>
  <si>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</si>
  <si>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</si>
  <si>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</si>
  <si>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</si>
  <si>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</si>
  <si>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</si>
  <si>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</si>
  <si>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</si>
  <si>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</si>
  <si>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</si>
  <si>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</si>
  <si>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</si>
  <si>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</si>
  <si>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</si>
  <si>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</si>
  <si>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</si>
  <si>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</si>
  <si>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</si>
  <si>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</si>
  <si>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</si>
  <si>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</si>
  <si>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</si>
  <si>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</si>
  <si>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</si>
  <si>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</si>
  <si>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</si>
  <si>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</si>
  <si>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</si>
  <si>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</si>
  <si>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</si>
  <si>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</si>
  <si>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</si>
  <si>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</si>
  <si>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</si>
  <si>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</si>
  <si>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</si>
  <si>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</si>
  <si>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</si>
  <si>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</si>
  <si>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</si>
  <si>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</si>
  <si>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</si>
  <si>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</si>
  <si>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</si>
  <si>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</si>
  <si>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</si>
  <si>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</si>
  <si>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</si>
  <si>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</si>
  <si>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</si>
  <si>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</si>
  <si>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</si>
  <si>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</si>
  <si>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</si>
  <si>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</si>
  <si>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</si>
  <si>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</si>
  <si>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</si>
  <si>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</si>
  <si>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</si>
  <si>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</si>
  <si>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</si>
  <si>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</si>
  <si>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</si>
  <si>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</si>
  <si>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</si>
  <si>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</si>
  <si>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</si>
  <si>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</si>
  <si>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</si>
  <si>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</si>
  <si>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</si>
  <si>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</si>
  <si>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</si>
  <si>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</si>
  <si>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</si>
  <si>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</si>
  <si>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</si>
  <si>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</si>
  <si>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</si>
  <si>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</si>
  <si>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</si>
  <si>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</si>
  <si>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</si>
  <si>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</si>
  <si>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</si>
  <si>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</si>
  <si>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</si>
  <si>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</si>
  <si>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</si>
  <si>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</si>
  <si>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</si>
  <si>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</si>
  <si>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</si>
  <si>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</si>
  <si>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</si>
  <si>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</si>
  <si>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</si>
  <si>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</si>
  <si>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</si>
  <si>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</si>
  <si>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</si>
  <si>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</si>
  <si>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</si>
  <si>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</si>
  <si>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</si>
  <si>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</si>
  <si>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</si>
  <si>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</si>
  <si>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</si>
  <si>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</si>
  <si>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</si>
  <si>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</si>
  <si>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</si>
  <si>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</si>
  <si>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</si>
  <si>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</si>
  <si>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</si>
  <si>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</si>
  <si>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</si>
  <si>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</si>
  <si>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</si>
  <si>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</si>
  <si>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</si>
  <si>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</si>
  <si>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</si>
  <si>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</si>
  <si>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</si>
  <si>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</si>
  <si>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</si>
  <si>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</si>
  <si>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</si>
  <si>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</si>
  <si>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</si>
  <si>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</si>
  <si>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</si>
  <si>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</si>
  <si>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</si>
  <si>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</si>
  <si>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</si>
  <si>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</si>
  <si>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</si>
  <si>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</si>
  <si>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</si>
  <si>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</si>
  <si>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</si>
  <si>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</si>
  <si>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</si>
  <si>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</si>
  <si>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</si>
  <si>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</si>
  <si>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</si>
  <si>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</si>
  <si>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</si>
  <si>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</si>
  <si>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</si>
  <si>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</si>
  <si>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</si>
  <si>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</si>
  <si>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</si>
  <si>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</si>
  <si>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</si>
  <si>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</si>
  <si>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</si>
  <si>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</si>
  <si>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</si>
  <si>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</si>
  <si>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</si>
  <si>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</si>
  <si>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</si>
  <si>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</si>
  <si>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</si>
  <si>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</si>
  <si>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</si>
  <si>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</si>
  <si>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</si>
  <si>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</si>
  <si>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</si>
  <si>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</si>
  <si>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</si>
  <si>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</si>
  <si>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</si>
  <si>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</si>
  <si>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</si>
  <si>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</si>
  <si>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</si>
  <si>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</si>
  <si>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</si>
  <si>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</si>
  <si>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</si>
  <si>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</si>
  <si>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</si>
  <si>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</si>
  <si>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</si>
  <si>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</si>
  <si>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</si>
  <si>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</si>
  <si>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</si>
  <si>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</si>
  <si>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</si>
  <si>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</si>
  <si>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</si>
  <si>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</si>
  <si>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</si>
  <si>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</si>
  <si>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</si>
  <si>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</si>
  <si>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</si>
  <si>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</si>
  <si>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</si>
  <si>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</si>
  <si>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</si>
  <si>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</si>
  <si>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</si>
  <si>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</si>
  <si>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</si>
  <si>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</si>
  <si>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</si>
  <si>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</si>
  <si>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</si>
  <si>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</si>
  <si>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</si>
  <si>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</si>
  <si>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</si>
  <si>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</si>
  <si>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</si>
  <si>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</si>
  <si>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</si>
  <si>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</si>
  <si>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</si>
  <si>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</si>
  <si>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</si>
  <si>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</si>
  <si>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</si>
  <si>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</si>
  <si>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</si>
  <si>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</si>
  <si>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</si>
  <si>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</si>
  <si>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</si>
  <si>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</si>
  <si>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</si>
  <si>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</si>
  <si>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</si>
  <si>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</si>
  <si>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</si>
  <si>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</si>
  <si>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</si>
  <si>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</si>
  <si>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</si>
  <si>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</si>
  <si>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</si>
  <si>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</si>
  <si>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</si>
  <si>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</si>
  <si>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</si>
  <si>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</si>
  <si>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</si>
  <si>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</si>
  <si>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</si>
  <si>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</si>
  <si>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</si>
  <si>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</si>
  <si>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</si>
  <si>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</si>
  <si>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</si>
  <si>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</si>
  <si>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</si>
  <si>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</si>
  <si>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</si>
  <si>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</si>
  <si>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</si>
  <si>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</si>
  <si>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</si>
  <si>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</si>
  <si>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</si>
  <si>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</si>
  <si>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</si>
  <si>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</si>
  <si>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</si>
  <si>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</si>
  <si>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</si>
  <si>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</si>
  <si>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</si>
  <si>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</si>
  <si>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</si>
  <si>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</si>
  <si>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</si>
  <si>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</si>
  <si>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</si>
  <si>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</si>
  <si>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</si>
  <si>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</si>
  <si>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</si>
  <si>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</si>
  <si>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</si>
  <si>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</si>
  <si>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</si>
  <si>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</si>
  <si>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</si>
  <si>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</si>
  <si>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</si>
  <si>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</si>
  <si>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</si>
  <si>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</si>
  <si>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</si>
  <si>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</si>
  <si>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</si>
  <si>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</si>
  <si>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</si>
  <si>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</si>
  <si>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</si>
  <si>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</si>
  <si>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</si>
  <si>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</si>
  <si>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</si>
  <si>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</si>
  <si>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</si>
  <si>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</si>
  <si>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</si>
  <si>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</si>
  <si>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</si>
  <si>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</si>
  <si>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</si>
  <si>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</si>
  <si>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</si>
  <si>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</si>
  <si>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</si>
  <si>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</si>
  <si>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</si>
  <si>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</si>
  <si>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</si>
  <si>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</si>
  <si>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</si>
  <si>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</si>
  <si>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</si>
  <si>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</si>
  <si>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</si>
  <si>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</si>
  <si>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</si>
  <si>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</si>
  <si>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</si>
  <si>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</si>
  <si>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</si>
  <si>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</si>
  <si>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</si>
  <si>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</si>
  <si>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</si>
  <si>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</si>
  <si>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</si>
  <si>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</si>
  <si>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</si>
  <si>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</si>
  <si>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</si>
  <si>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</si>
  <si>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</si>
  <si>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</si>
  <si>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</si>
  <si>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</si>
  <si>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</si>
  <si>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</si>
  <si>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</si>
  <si>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</si>
  <si>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</si>
  <si>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</si>
  <si>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</si>
  <si>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</si>
  <si>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</si>
  <si>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</si>
  <si>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</si>
  <si>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</si>
  <si>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</si>
  <si>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</si>
  <si>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</si>
  <si>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</si>
  <si>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</si>
  <si>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</si>
  <si>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</si>
  <si>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</si>
  <si>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</si>
  <si>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</si>
  <si>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</si>
  <si>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</si>
  <si>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</si>
  <si>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</si>
  <si>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</si>
  <si>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</si>
  <si>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</si>
  <si>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</si>
  <si>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</si>
  <si>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</si>
  <si>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</si>
  <si>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</si>
  <si>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</si>
  <si>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</si>
  <si>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</si>
  <si>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</si>
  <si>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</si>
  <si>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</si>
  <si>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</si>
  <si>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</si>
  <si>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</si>
  <si>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</si>
  <si>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</si>
  <si>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</si>
  <si>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</si>
  <si>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</si>
  <si>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</si>
  <si>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</si>
  <si>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</si>
  <si>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</si>
  <si>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</si>
  <si>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</si>
  <si>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</si>
  <si>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</si>
  <si>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</si>
  <si>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</si>
  <si>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</si>
  <si>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</si>
  <si>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</si>
  <si>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</si>
  <si>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</si>
  <si>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</si>
  <si>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</si>
  <si>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</si>
  <si>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</si>
  <si>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</si>
  <si>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</si>
  <si>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</si>
  <si>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</si>
  <si>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</si>
  <si>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</si>
  <si>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</si>
  <si>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</si>
  <si>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</si>
  <si>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</si>
  <si>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</si>
  <si>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</si>
  <si>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</si>
  <si>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</si>
  <si>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</si>
  <si>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</si>
  <si>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</si>
  <si>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</si>
  <si>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</si>
  <si>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</si>
  <si>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</si>
  <si>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</si>
  <si>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</si>
  <si>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</si>
  <si>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</si>
  <si>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</si>
  <si>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</si>
  <si>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</si>
  <si>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</si>
  <si>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</si>
  <si>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</si>
  <si>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</si>
  <si>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</si>
  <si>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</si>
  <si>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</si>
  <si>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</si>
  <si>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</si>
  <si>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</si>
  <si>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</si>
  <si>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</si>
  <si>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</si>
  <si>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</si>
  <si>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</si>
  <si>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</si>
  <si>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</si>
  <si>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</si>
  <si>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</si>
  <si>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</si>
  <si>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</si>
  <si>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</si>
  <si>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</si>
  <si>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</si>
  <si>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</si>
  <si>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</si>
  <si>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</si>
  <si>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</si>
  <si>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</si>
  <si>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</si>
  <si>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</si>
  <si>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</si>
  <si>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</si>
  <si>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</si>
  <si>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</si>
  <si>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</si>
  <si>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</si>
  <si>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</si>
  <si>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</si>
  <si>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</si>
  <si>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</si>
  <si>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</si>
  <si>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</si>
  <si>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</si>
  <si>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</si>
  <si>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</si>
  <si>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</si>
  <si>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</si>
  <si>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</si>
  <si>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</si>
  <si>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</si>
  <si>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</si>
  <si>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</si>
  <si>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</si>
  <si>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</si>
  <si>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</si>
  <si>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</si>
  <si>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</si>
  <si>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</si>
  <si>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</si>
  <si>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</si>
  <si>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</si>
  <si>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</si>
  <si>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</si>
  <si>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</si>
  <si>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</si>
  <si>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</si>
  <si>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</si>
  <si>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</si>
  <si>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</si>
  <si>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</si>
  <si>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</si>
  <si>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</si>
  <si>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</si>
  <si>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</si>
  <si>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</si>
  <si>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</si>
  <si>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</si>
  <si>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</si>
  <si>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</si>
  <si>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</si>
  <si>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</si>
  <si>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</si>
  <si>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</si>
  <si>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</si>
  <si>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</si>
  <si>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</si>
  <si>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</si>
  <si>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</si>
  <si>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</si>
  <si>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</si>
  <si>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</si>
  <si>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</si>
  <si>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</si>
  <si>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</si>
  <si>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</si>
  <si>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</si>
  <si>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</si>
  <si>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</si>
  <si>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</si>
  <si>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</si>
  <si>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</si>
  <si>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</si>
  <si>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</si>
  <si>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</si>
  <si>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</si>
  <si>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</si>
  <si>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</si>
  <si>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</si>
  <si>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</si>
  <si>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</si>
  <si>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</si>
  <si>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</si>
  <si>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</si>
  <si>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</si>
  <si>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</si>
  <si>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</si>
  <si>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</si>
  <si>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</si>
  <si>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</si>
  <si>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</si>
  <si>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</si>
  <si>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</si>
  <si>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</si>
  <si>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</si>
  <si>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</si>
  <si>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</si>
  <si>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</si>
  <si>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</si>
  <si>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</si>
  <si>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</si>
  <si>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</si>
  <si>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</si>
  <si>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</si>
  <si>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</si>
  <si>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</si>
  <si>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</si>
  <si>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</si>
  <si>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</si>
  <si>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</si>
  <si>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</si>
  <si>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</si>
  <si>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</si>
  <si>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</si>
  <si>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</si>
  <si>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</si>
  <si>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</si>
  <si>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</si>
  <si>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</si>
  <si>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</si>
  <si>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</si>
  <si>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</si>
  <si>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</si>
  <si>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</si>
  <si>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</si>
  <si>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</si>
  <si>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</si>
  <si>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</si>
  <si>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</si>
  <si>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</si>
  <si>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</si>
  <si>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</si>
  <si>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</si>
  <si>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</si>
  <si>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</si>
  <si>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</si>
  <si>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</si>
  <si>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</si>
  <si>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</si>
  <si>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</si>
  <si>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</si>
  <si>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</si>
  <si>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</si>
  <si>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</si>
  <si>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</si>
  <si>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</si>
  <si>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</si>
  <si>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</si>
  <si>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</si>
  <si>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</si>
  <si>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</si>
  <si>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</si>
  <si>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</si>
  <si>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</si>
  <si>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</si>
  <si>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</si>
  <si>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</si>
  <si>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</si>
  <si>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</si>
  <si>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</si>
  <si>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</si>
  <si>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</si>
  <si>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</si>
  <si>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</si>
  <si>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</si>
  <si>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</si>
  <si>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</si>
  <si>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</si>
  <si>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</si>
  <si>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</si>
  <si>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</si>
  <si>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</si>
  <si>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</si>
  <si>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</si>
  <si>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</si>
  <si>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</si>
  <si>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</si>
  <si>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</si>
  <si>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</si>
  <si>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</si>
  <si>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</si>
  <si>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</si>
  <si>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</si>
  <si>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</si>
  <si>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</si>
  <si>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</si>
  <si>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</si>
  <si>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</si>
  <si>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</si>
  <si>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</si>
  <si>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</si>
  <si>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</si>
  <si>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</si>
  <si>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</si>
  <si>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</si>
  <si>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</si>
  <si>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</si>
  <si>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</si>
  <si>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</si>
  <si>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</si>
  <si>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</si>
  <si>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</si>
  <si>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</si>
  <si>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</si>
  <si>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</si>
  <si>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</si>
  <si>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</si>
  <si>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</si>
  <si>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</si>
  <si>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</si>
  <si>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</si>
  <si>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</si>
  <si>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</si>
  <si>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</si>
  <si>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</si>
  <si>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</si>
  <si>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</si>
  <si>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</si>
  <si>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</si>
  <si>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</si>
  <si>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</si>
  <si>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</si>
  <si>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</si>
  <si>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</si>
  <si>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</si>
  <si>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</si>
  <si>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</si>
  <si>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</si>
  <si>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</si>
  <si>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</si>
  <si>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</si>
  <si>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</si>
  <si>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</si>
  <si>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</si>
  <si>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</si>
  <si>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</si>
  <si>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</si>
  <si>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</si>
  <si>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</si>
  <si>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</si>
  <si>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</si>
  <si>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</si>
  <si>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</si>
  <si>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</si>
  <si>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</si>
  <si>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</si>
  <si>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</si>
  <si>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</si>
  <si>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</si>
  <si>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</si>
  <si>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</si>
  <si>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</si>
  <si>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</si>
  <si>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</si>
  <si>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</si>
  <si>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</si>
  <si>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</si>
  <si>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</si>
  <si>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</si>
  <si>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</si>
  <si>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</si>
  <si>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</si>
  <si>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</si>
  <si>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</si>
  <si>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</si>
  <si>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</si>
  <si>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</si>
  <si>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</si>
  <si>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</si>
  <si>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</si>
  <si>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</si>
  <si>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</si>
  <si>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</si>
  <si>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</si>
  <si>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</si>
  <si>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</si>
  <si>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</si>
  <si>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</si>
  <si>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</si>
  <si>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</si>
  <si>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</si>
  <si>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</si>
  <si>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</si>
  <si>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</si>
  <si>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</si>
  <si>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</si>
  <si>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</si>
  <si>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</si>
  <si>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</si>
  <si>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</si>
  <si>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</si>
  <si>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</si>
  <si>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</si>
  <si>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</si>
  <si>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</si>
  <si>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</si>
  <si>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</si>
  <si>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</si>
  <si>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</si>
  <si>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</si>
  <si>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</si>
  <si>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</si>
  <si>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</si>
  <si>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</si>
  <si>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</si>
  <si>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</si>
  <si>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</si>
  <si>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</si>
  <si>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</si>
  <si>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</si>
  <si>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</si>
  <si>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</si>
  <si>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</si>
  <si>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</si>
  <si>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</si>
  <si>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</si>
  <si>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</si>
  <si>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</si>
  <si>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</si>
  <si>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</si>
  <si>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</si>
  <si>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</si>
  <si>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</si>
  <si>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</si>
  <si>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</si>
  <si>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</si>
  <si>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</si>
  <si>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</si>
  <si>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</si>
  <si>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</si>
  <si>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</si>
  <si>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</si>
  <si>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</si>
  <si>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</si>
  <si>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</si>
  <si>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</si>
  <si>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</si>
  <si>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</si>
  <si>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</si>
  <si>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</si>
  <si>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</si>
  <si>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</si>
  <si>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</si>
  <si>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</si>
  <si>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</si>
  <si>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</si>
  <si>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</si>
  <si>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</si>
  <si>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</si>
  <si>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</si>
  <si>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</si>
  <si>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</si>
  <si>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</si>
  <si>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</si>
  <si>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</si>
  <si>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</si>
  <si>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</si>
  <si>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</si>
  <si>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</si>
  <si>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</si>
  <si>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</si>
  <si>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</si>
  <si>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</si>
  <si>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</si>
  <si>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</si>
  <si>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</si>
  <si>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</si>
  <si>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</si>
  <si>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</si>
  <si>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</si>
  <si>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</si>
  <si>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</si>
  <si>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</si>
  <si>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</si>
  <si>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</si>
  <si>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</si>
  <si>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</si>
  <si>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</si>
  <si>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</si>
  <si>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</si>
  <si>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</si>
  <si>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</si>
  <si>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</si>
  <si>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</si>
  <si>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</si>
  <si>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</si>
  <si>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</si>
  <si>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</si>
  <si>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</si>
  <si>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</si>
  <si>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</si>
  <si>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</si>
  <si>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</si>
  <si>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</si>
  <si>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</si>
  <si>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</si>
  <si>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</si>
  <si>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</si>
  <si>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</si>
  <si>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</si>
  <si>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</si>
  <si>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</si>
  <si>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</si>
  <si>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</si>
  <si>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</si>
  <si>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</si>
  <si>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</si>
  <si>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</si>
  <si>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</si>
  <si>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</si>
  <si>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</si>
  <si>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</si>
  <si>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</si>
  <si>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</si>
  <si>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</si>
  <si>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</si>
  <si>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</si>
  <si>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</si>
  <si>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</si>
  <si>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</si>
  <si>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</si>
  <si>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</si>
  <si>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</si>
  <si>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</si>
  <si>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</si>
  <si>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</si>
  <si>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</si>
  <si>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</si>
  <si>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</si>
  <si>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</si>
  <si>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</si>
  <si>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</si>
  <si>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</si>
  <si>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</si>
  <si>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</si>
  <si>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</si>
  <si>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</si>
  <si>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</si>
  <si>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</si>
  <si>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</si>
  <si>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</si>
  <si>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</si>
  <si>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</si>
  <si>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</si>
  <si>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</si>
  <si>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</si>
  <si>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</si>
  <si>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</si>
  <si>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</si>
  <si>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</si>
  <si>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</si>
  <si>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</si>
  <si>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</si>
  <si>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</si>
  <si>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</si>
  <si>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</si>
  <si>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</si>
  <si>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</si>
  <si>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</si>
  <si>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</si>
  <si>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</si>
  <si>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</si>
  <si>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</si>
  <si>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</si>
  <si>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</si>
  <si>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</si>
  <si>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</si>
  <si>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</si>
  <si>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</si>
  <si>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</si>
  <si>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</si>
  <si>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</si>
  <si>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</si>
  <si>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</si>
  <si>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</si>
  <si>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</si>
  <si>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</si>
  <si>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</si>
  <si>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</si>
  <si>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</si>
  <si>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</si>
  <si>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</si>
  <si>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</si>
  <si>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</si>
  <si>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</si>
  <si>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</si>
  <si>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</si>
  <si>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</si>
  <si>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</si>
  <si>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</si>
  <si>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</si>
  <si>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</si>
  <si>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</si>
  <si>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</si>
  <si>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</si>
  <si>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</si>
  <si>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</si>
  <si>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</si>
  <si>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</si>
  <si>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</si>
  <si>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</si>
  <si>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</si>
  <si>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</si>
  <si>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</si>
  <si>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</si>
  <si>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</si>
  <si>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</si>
  <si>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</si>
  <si>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</si>
  <si>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</si>
  <si>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</si>
  <si>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</si>
  <si>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</si>
  <si>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</si>
  <si>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</si>
  <si>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</si>
  <si>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</si>
  <si>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</si>
  <si>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</si>
  <si>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</si>
  <si>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</si>
  <si>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</si>
  <si>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</si>
  <si>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</si>
  <si>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</si>
  <si>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</si>
  <si>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</si>
  <si>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</si>
  <si>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</si>
  <si>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</si>
  <si>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</si>
  <si>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</si>
  <si>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</si>
  <si>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</si>
  <si>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</si>
  <si>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</si>
  <si>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</si>
  <si>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</si>
  <si>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</si>
  <si>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</si>
  <si>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</si>
  <si>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</si>
  <si>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</si>
  <si>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</si>
  <si>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</si>
  <si>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</si>
  <si>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</si>
  <si>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</si>
  <si>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</si>
  <si>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</si>
  <si>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</si>
  <si>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</si>
  <si>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</si>
  <si>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</si>
  <si>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</si>
  <si>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</si>
  <si>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</si>
  <si>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</si>
  <si>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</si>
  <si>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</si>
  <si>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</si>
  <si>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</si>
  <si>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</si>
  <si>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</si>
  <si>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</si>
  <si>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</si>
  <si>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</si>
  <si>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</si>
  <si>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</si>
  <si>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</si>
  <si>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</si>
  <si>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</si>
  <si>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</si>
  <si>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</si>
  <si>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</si>
  <si>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</si>
  <si>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</si>
  <si>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</si>
  <si>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</si>
  <si>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</si>
  <si>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</si>
  <si>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</si>
  <si>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</si>
  <si>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</si>
  <si>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</si>
  <si>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</si>
  <si>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</si>
  <si>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</si>
  <si>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</si>
  <si>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</si>
  <si>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</si>
  <si>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</si>
  <si>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</si>
  <si>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</si>
  <si>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</si>
  <si>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</si>
  <si>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</si>
  <si>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</si>
  <si>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</si>
  <si>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</si>
  <si>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</si>
  <si>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</si>
  <si>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</si>
  <si>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</si>
  <si>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</si>
  <si>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</si>
  <si>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</si>
  <si>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</si>
  <si>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</si>
  <si>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</si>
  <si>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</si>
  <si>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</si>
  <si>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</si>
  <si>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</si>
  <si>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</si>
  <si>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</si>
  <si>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</si>
  <si>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</si>
  <si>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</si>
  <si>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</si>
  <si>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</si>
  <si>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</si>
  <si>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</si>
  <si>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</si>
  <si>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</si>
  <si>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</si>
  <si>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</si>
  <si>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</si>
  <si>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</si>
  <si>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</si>
  <si>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</si>
  <si>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</si>
  <si>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</si>
  <si>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</si>
  <si>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</si>
  <si>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</si>
  <si>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</si>
  <si>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</si>
  <si>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</si>
  <si>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</si>
  <si>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</si>
  <si>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</si>
  <si>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</si>
  <si>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</si>
  <si>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</si>
  <si>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</si>
  <si>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</si>
  <si>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</si>
  <si>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</si>
  <si>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</si>
  <si>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</si>
  <si>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</si>
  <si>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</si>
  <si>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</si>
  <si>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</si>
  <si>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</si>
  <si>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</si>
  <si>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</si>
  <si>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</si>
  <si>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</si>
  <si>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</si>
  <si>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</si>
  <si>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</si>
  <si>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</si>
  <si>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</si>
  <si>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</si>
  <si>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</si>
  <si>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</si>
  <si>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</si>
  <si>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</si>
  <si>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</si>
  <si>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</si>
  <si>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</si>
  <si>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</si>
  <si>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</si>
  <si>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</si>
  <si>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</si>
  <si>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</si>
  <si>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</si>
  <si>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</si>
  <si>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</si>
  <si>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</si>
  <si>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</si>
  <si>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</si>
  <si>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</si>
  <si>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</si>
  <si>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</si>
  <si>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</si>
  <si>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</si>
  <si>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</si>
  <si>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</si>
  <si>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</si>
  <si>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</si>
  <si>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</si>
  <si>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</si>
  <si>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</si>
  <si>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</si>
  <si>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</si>
  <si>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</si>
  <si>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</si>
  <si>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</si>
  <si>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</si>
  <si>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</si>
  <si>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</si>
  <si>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</si>
  <si>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</si>
  <si>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</si>
  <si>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</si>
  <si>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</si>
  <si>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</si>
  <si>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</si>
  <si>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</si>
  <si>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</si>
  <si>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</si>
  <si>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</si>
  <si>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</si>
  <si>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</si>
  <si>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</si>
  <si>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</si>
  <si>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</si>
  <si>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</si>
  <si>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</si>
  <si>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</si>
  <si>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</si>
  <si>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</si>
  <si>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</si>
  <si>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</si>
  <si>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</si>
  <si>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</si>
  <si>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</si>
  <si>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</si>
  <si>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</si>
  <si>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</si>
  <si>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</si>
  <si>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</si>
  <si>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</si>
  <si>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</si>
  <si>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</si>
  <si>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</si>
  <si>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</si>
  <si>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</si>
  <si>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</si>
  <si>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</si>
  <si>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</si>
  <si>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</si>
  <si>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</si>
  <si>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</si>
  <si>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</si>
  <si>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</si>
  <si>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</si>
  <si>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</si>
  <si>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</si>
  <si>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</si>
  <si>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</si>
  <si>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</si>
  <si>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</si>
  <si>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</si>
  <si>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</si>
  <si>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</si>
  <si>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</si>
  <si>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</si>
  <si>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</si>
  <si>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</si>
  <si>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</si>
  <si>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</si>
  <si>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</si>
  <si>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</si>
  <si>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</si>
  <si>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</si>
  <si>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</si>
  <si>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</si>
  <si>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</si>
  <si>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</si>
  <si>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</si>
  <si>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</si>
  <si>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</si>
  <si>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</si>
  <si>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</si>
  <si>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</si>
  <si>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</si>
  <si>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</si>
  <si>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</si>
  <si>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</si>
  <si>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</si>
  <si>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</si>
  <si>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</si>
  <si>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</si>
  <si>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</si>
  <si>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</si>
  <si>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</si>
  <si>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</si>
  <si>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</si>
  <si>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</si>
  <si>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</si>
  <si>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</si>
  <si>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</si>
  <si>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</si>
  <si>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</si>
  <si>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</si>
  <si>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</si>
  <si>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</si>
  <si>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</si>
  <si>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</si>
  <si>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</si>
  <si>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</si>
  <si>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</si>
  <si>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</si>
  <si>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</si>
  <si>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</si>
  <si>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</si>
  <si>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</si>
  <si>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</si>
  <si>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</si>
  <si>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</si>
  <si>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</si>
  <si>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</si>
  <si>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</si>
  <si>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</si>
  <si>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</si>
  <si>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</si>
  <si>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</si>
  <si>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</si>
  <si>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</si>
  <si>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</si>
  <si>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</si>
  <si>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</si>
  <si>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</si>
  <si>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</si>
  <si>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</si>
  <si>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</si>
  <si>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</si>
  <si>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</si>
  <si>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</si>
  <si>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</si>
  <si>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</si>
  <si>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</si>
  <si>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</si>
  <si>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</si>
  <si>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</si>
  <si>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</si>
  <si>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</si>
  <si>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</si>
  <si>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</si>
  <si>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</si>
  <si>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</si>
  <si>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</si>
  <si>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</si>
  <si>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</si>
  <si>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</si>
  <si>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</si>
  <si>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</si>
  <si>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</si>
  <si>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</si>
  <si>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</si>
  <si>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</si>
  <si>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</si>
  <si>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</si>
  <si>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</si>
  <si>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</si>
  <si>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</si>
  <si>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</si>
  <si>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</si>
  <si>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</si>
  <si>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</si>
  <si>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</si>
  <si>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</si>
  <si>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</si>
  <si>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</si>
  <si>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</si>
  <si>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</si>
  <si>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</si>
  <si>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</si>
  <si>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</si>
  <si>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</si>
  <si>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</si>
  <si>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</si>
  <si>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</si>
  <si>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</si>
  <si>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</si>
  <si>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</si>
  <si>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</si>
  <si>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</si>
  <si>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</si>
  <si>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</si>
  <si>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</si>
  <si>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</si>
  <si>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</si>
  <si>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</si>
  <si>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</si>
  <si>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</si>
  <si>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</si>
  <si>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</si>
  <si>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</si>
  <si>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</si>
  <si>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</si>
  <si>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</si>
  <si>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</si>
  <si>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</si>
  <si>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</si>
  <si>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</si>
  <si>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</si>
  <si>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</si>
  <si>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</si>
  <si>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</si>
  <si>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</si>
  <si>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</si>
  <si>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</si>
  <si>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</si>
  <si>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</si>
  <si>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</si>
  <si>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</si>
  <si>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</si>
  <si>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</si>
  <si>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</si>
  <si>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</si>
  <si>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</si>
  <si>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</si>
  <si>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</si>
  <si>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</si>
  <si>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</si>
  <si>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</si>
  <si>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</si>
  <si>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</si>
  <si>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</si>
  <si>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</si>
  <si>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</si>
  <si>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</si>
  <si>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</si>
  <si>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</si>
  <si>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</si>
  <si>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</si>
  <si>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</si>
  <si>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</si>
  <si>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</si>
  <si>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</si>
  <si>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</si>
  <si>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</si>
  <si>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</si>
  <si>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</si>
  <si>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</si>
  <si>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</si>
  <si>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</si>
  <si>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</si>
  <si>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</si>
  <si>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</si>
  <si>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</si>
  <si>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</si>
  <si>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</si>
  <si>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</si>
  <si>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</si>
  <si>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</si>
  <si>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</si>
  <si>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</si>
  <si>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</si>
  <si>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</si>
  <si>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</si>
  <si>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</si>
  <si>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</si>
  <si>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</si>
  <si>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</si>
  <si>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</si>
  <si>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</si>
  <si>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</si>
  <si>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</si>
  <si>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</si>
  <si>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</si>
  <si>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</si>
  <si>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</si>
  <si>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</si>
  <si>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</si>
  <si>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</si>
  <si>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</si>
  <si>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</si>
  <si>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</si>
  <si>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</si>
  <si>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</si>
  <si>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</si>
  <si>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</si>
  <si>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</si>
  <si>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</si>
  <si>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</si>
  <si>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</si>
  <si>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</si>
  <si>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</si>
  <si>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</si>
  <si>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</si>
  <si>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</si>
  <si>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</si>
  <si>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</si>
  <si>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</si>
  <si>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</si>
  <si>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</si>
  <si>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</si>
  <si>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</si>
  <si>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</si>
  <si>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</si>
  <si>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</si>
  <si>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</si>
  <si>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</si>
  <si>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</si>
  <si>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</si>
  <si>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</si>
  <si>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</si>
  <si>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</si>
  <si>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</si>
  <si>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</si>
  <si>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</si>
  <si>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</si>
  <si>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</si>
  <si>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</si>
  <si>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</si>
  <si>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</si>
  <si>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</si>
  <si>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</si>
  <si>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</si>
  <si>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</si>
  <si>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</si>
  <si>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</si>
  <si>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</si>
  <si>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</si>
  <si>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</si>
  <si>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</si>
  <si>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</si>
  <si>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</si>
  <si>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</si>
  <si>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</si>
  <si>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</si>
  <si>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</si>
  <si>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</si>
  <si>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</si>
  <si>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</si>
  <si>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</si>
  <si>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</si>
  <si>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</si>
  <si>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</si>
  <si>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</si>
  <si>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</si>
  <si>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</si>
  <si>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</si>
  <si>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</si>
  <si>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</si>
  <si>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</si>
  <si>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</si>
  <si>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</si>
  <si>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</si>
  <si>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</si>
  <si>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</si>
  <si>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</si>
  <si>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</si>
  <si>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</si>
  <si>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</si>
  <si>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</si>
  <si>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</si>
  <si>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</si>
  <si>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</si>
  <si>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</si>
  <si>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</si>
  <si>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</si>
  <si>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</si>
  <si>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</si>
  <si>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</si>
  <si>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</si>
  <si>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</si>
  <si>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</si>
  <si>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</si>
  <si>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</si>
  <si>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</si>
  <si>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</si>
  <si>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</si>
  <si>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</si>
  <si>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</si>
  <si>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</si>
  <si>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</si>
  <si>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</si>
  <si>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</si>
  <si>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</si>
  <si>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</si>
  <si>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</si>
  <si>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</si>
  <si>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</si>
  <si>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</si>
  <si>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</si>
  <si>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</si>
  <si>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</si>
  <si>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</si>
  <si>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</si>
  <si>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</si>
  <si>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</si>
  <si>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</si>
  <si>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</si>
  <si>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</si>
  <si>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</si>
  <si>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</si>
  <si>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</si>
  <si>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</si>
  <si>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</si>
  <si>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</si>
  <si>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</si>
  <si>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</si>
  <si>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</si>
  <si>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</si>
  <si>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</si>
  <si>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</si>
  <si>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</si>
  <si>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</si>
  <si>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</si>
  <si>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</si>
  <si>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</si>
  <si>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</si>
  <si>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</si>
  <si>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</si>
  <si>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</si>
  <si>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</si>
  <si>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</si>
  <si>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</si>
  <si>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</si>
  <si>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</si>
  <si>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</si>
  <si>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</si>
  <si>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</si>
  <si>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</si>
  <si>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</si>
  <si>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</si>
  <si>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</si>
  <si>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</si>
  <si>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</si>
  <si>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</si>
  <si>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</si>
  <si>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</si>
  <si>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</si>
  <si>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</si>
  <si>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</si>
  <si>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</si>
  <si>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</si>
  <si>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</si>
  <si>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</si>
  <si>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</si>
  <si>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</si>
  <si>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</si>
  <si>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</si>
  <si>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</si>
  <si>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</si>
  <si>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</si>
  <si>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</si>
  <si>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</si>
  <si>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</si>
  <si>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</si>
  <si>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</si>
  <si>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</si>
  <si>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</si>
  <si>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</si>
  <si>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</si>
  <si>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</si>
  <si>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</si>
  <si>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</si>
  <si>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</si>
  <si>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</si>
  <si>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</si>
  <si>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</si>
  <si>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</si>
  <si>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</si>
  <si>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</si>
  <si>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</si>
  <si>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</si>
  <si>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</si>
  <si>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</si>
  <si>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</si>
  <si>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</si>
  <si>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</si>
  <si>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</si>
  <si>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</si>
  <si>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</si>
  <si>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</si>
  <si>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</si>
  <si>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</si>
  <si>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</si>
  <si>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</si>
  <si>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</si>
  <si>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</si>
  <si>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</si>
  <si>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</si>
  <si>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</si>
  <si>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</si>
  <si>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</si>
  <si>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</si>
  <si>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</si>
  <si>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</si>
  <si>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</si>
  <si>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</si>
  <si>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</si>
  <si>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</si>
  <si>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</si>
  <si>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</si>
  <si>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</si>
  <si>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</si>
  <si>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</si>
  <si>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</si>
  <si>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</si>
  <si>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</si>
  <si>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</si>
  <si>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</si>
  <si>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</si>
  <si>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</si>
  <si>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</si>
  <si>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</si>
  <si>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</si>
  <si>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</si>
  <si>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</si>
  <si>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</si>
  <si>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</si>
  <si>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</si>
  <si>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</si>
  <si>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</si>
  <si>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</si>
  <si>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</si>
  <si>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</si>
  <si>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</si>
  <si>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</si>
  <si>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</si>
  <si>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</si>
  <si>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</si>
  <si>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</si>
  <si>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</si>
  <si>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</si>
  <si>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</si>
  <si>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</si>
  <si>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</si>
  <si>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</si>
  <si>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</si>
  <si>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</si>
  <si>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</si>
  <si>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</si>
  <si>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</si>
  <si>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</si>
  <si>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</si>
  <si>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</si>
  <si>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</si>
  <si>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</si>
  <si>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</si>
  <si>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</si>
  <si>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</si>
  <si>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</si>
  <si>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</si>
  <si>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</si>
  <si>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</si>
  <si>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</si>
  <si>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</si>
  <si>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</si>
  <si>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</si>
  <si>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</si>
  <si>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</si>
  <si>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</si>
  <si>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</si>
  <si>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</si>
  <si>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</si>
  <si>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</si>
  <si>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</si>
  <si>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</si>
  <si>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</si>
  <si>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</si>
  <si>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</si>
  <si>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</si>
  <si>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</si>
  <si>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</si>
  <si>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</si>
  <si>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</si>
  <si>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</si>
  <si>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</si>
  <si>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</si>
  <si>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</si>
  <si>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</si>
  <si>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</si>
  <si>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</si>
  <si>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</si>
  <si>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</si>
  <si>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</si>
  <si>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</si>
  <si>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</si>
  <si>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</si>
  <si>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</si>
  <si>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</si>
  <si>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</si>
  <si>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</si>
  <si>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</si>
  <si>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</si>
  <si>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</si>
  <si>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</si>
  <si>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</si>
  <si>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</si>
  <si>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</si>
  <si>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</si>
  <si>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</si>
  <si>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</si>
  <si>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</si>
  <si>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</si>
  <si>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</si>
  <si>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</si>
  <si>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</si>
  <si>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</si>
  <si>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</si>
  <si>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</si>
  <si>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</si>
  <si>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</si>
  <si>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</si>
  <si>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</si>
  <si>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</si>
  <si>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</si>
  <si>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</si>
  <si>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</si>
  <si>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</si>
  <si>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</si>
  <si>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</si>
  <si>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</si>
  <si>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</si>
  <si>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</si>
  <si>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</si>
  <si>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</si>
  <si>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</si>
  <si>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</si>
  <si>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</si>
  <si>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</si>
  <si>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</si>
  <si>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</si>
  <si>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</si>
  <si>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</si>
  <si>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</si>
  <si>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</si>
  <si>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</si>
  <si>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</si>
  <si>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</si>
  <si>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</si>
  <si>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</si>
  <si>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</si>
  <si>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</si>
  <si>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</si>
  <si>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</si>
  <si>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</si>
  <si>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</si>
  <si>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</si>
  <si>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</si>
  <si>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</si>
  <si>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</si>
  <si>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</si>
  <si>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</si>
  <si>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</si>
  <si>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</si>
  <si>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</si>
  <si>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</si>
  <si>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</si>
  <si>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</si>
  <si>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</si>
  <si>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</si>
  <si>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</si>
  <si>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</si>
  <si>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</si>
  <si>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</si>
  <si>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</si>
  <si>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</si>
  <si>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</si>
  <si>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</si>
  <si>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</si>
  <si>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</si>
  <si>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</si>
  <si>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</si>
  <si>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</si>
  <si>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</si>
  <si>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</si>
  <si>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</si>
  <si>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</si>
  <si>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</si>
  <si>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</si>
  <si>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</si>
  <si>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</si>
  <si>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</si>
  <si>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</si>
  <si>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</si>
  <si>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</si>
  <si>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</si>
  <si>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</si>
  <si>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</si>
  <si>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</si>
  <si>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</si>
  <si>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</si>
  <si>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</si>
  <si>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</si>
  <si>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</si>
  <si>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</si>
  <si>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</si>
  <si>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</si>
  <si>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</si>
  <si>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</si>
  <si>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</si>
  <si>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</si>
  <si>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</si>
  <si>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</si>
  <si>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</si>
  <si>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</si>
  <si>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</si>
  <si>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</si>
  <si>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</si>
  <si>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</si>
  <si>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</si>
  <si>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</si>
  <si>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</si>
  <si>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</si>
  <si>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</si>
  <si>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</si>
  <si>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</si>
  <si>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</si>
  <si>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</si>
  <si>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</si>
  <si>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</si>
  <si>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</si>
  <si>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</si>
  <si>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</si>
  <si>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</si>
  <si>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</si>
  <si>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</si>
  <si>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</si>
  <si>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</si>
  <si>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</si>
  <si>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</si>
  <si>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</si>
  <si>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</si>
  <si>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</si>
  <si>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</si>
  <si>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</si>
  <si>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</si>
  <si>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</si>
  <si>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</si>
  <si>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</si>
  <si>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</si>
  <si>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</si>
  <si>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</si>
  <si>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</si>
  <si>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</si>
  <si>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</si>
  <si>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</si>
  <si>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</si>
  <si>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</si>
  <si>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</si>
  <si>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</si>
  <si>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</si>
  <si>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</si>
  <si>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</si>
  <si>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</si>
  <si>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</si>
  <si>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</si>
  <si>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</si>
  <si>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</si>
  <si>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</si>
  <si>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</si>
  <si>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</si>
  <si>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</si>
  <si>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</si>
  <si>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</si>
  <si>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</si>
  <si>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</si>
  <si>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</si>
  <si>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</si>
  <si>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</si>
  <si>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</si>
  <si>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</si>
  <si>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</si>
  <si>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</si>
  <si>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</si>
  <si>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</si>
  <si>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</si>
  <si>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</si>
  <si>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</si>
  <si>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</si>
  <si>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</si>
  <si>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</si>
  <si>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</si>
  <si>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</si>
  <si>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</si>
  <si>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</si>
  <si>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</si>
  <si>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</si>
  <si>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</si>
  <si>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</si>
  <si>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</si>
  <si>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</si>
  <si>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</si>
  <si>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</si>
  <si>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</si>
  <si>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</si>
  <si>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</si>
  <si>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</si>
  <si>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</si>
  <si>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</si>
  <si>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</si>
  <si>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</si>
  <si>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</si>
  <si>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</si>
  <si>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</si>
  <si>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</si>
  <si>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</si>
  <si>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</si>
  <si>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</si>
  <si>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</si>
  <si>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</si>
  <si>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</si>
  <si>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</si>
  <si>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</si>
  <si>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</si>
  <si>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</si>
  <si>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</si>
  <si>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</si>
  <si>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</si>
  <si>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</si>
  <si>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</si>
  <si>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</si>
  <si>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</si>
  <si>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</si>
  <si>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</si>
  <si>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</si>
  <si>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</si>
  <si>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</si>
  <si>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</si>
  <si>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</si>
  <si>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</si>
  <si>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</si>
  <si>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</si>
  <si>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</si>
  <si>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</si>
  <si>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</si>
  <si>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</si>
  <si>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</si>
  <si>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</si>
  <si>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</si>
  <si>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</si>
  <si>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</si>
  <si>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</si>
  <si>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</si>
  <si>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</si>
  <si>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</si>
  <si>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</si>
  <si>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</si>
  <si>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</si>
  <si>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</si>
  <si>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</si>
  <si>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</si>
  <si>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</si>
  <si>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</si>
  <si>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</si>
  <si>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</si>
  <si>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</si>
  <si>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</si>
  <si>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</si>
  <si>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</si>
  <si>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</si>
  <si>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</si>
  <si>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</si>
  <si>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</si>
  <si>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</si>
  <si>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</si>
  <si>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</si>
  <si>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</si>
  <si>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</si>
  <si>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</si>
  <si>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</si>
  <si>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</si>
  <si>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</si>
  <si>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</si>
  <si>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</si>
  <si>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</si>
  <si>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</si>
  <si>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</si>
  <si>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</si>
  <si>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</si>
  <si>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</si>
  <si>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</si>
  <si>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</si>
  <si>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</si>
  <si>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</si>
  <si>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</si>
  <si>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</si>
  <si>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</si>
  <si>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</si>
  <si>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</si>
  <si>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</si>
  <si>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</si>
  <si>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</si>
  <si>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</si>
  <si>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</si>
  <si>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</si>
  <si>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</si>
  <si>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</si>
  <si>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</si>
  <si>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</si>
  <si>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</si>
  <si>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</si>
  <si>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</si>
  <si>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</si>
  <si>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</si>
  <si>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</si>
  <si>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</si>
  <si>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</si>
  <si>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</si>
  <si>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</si>
  <si>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</si>
  <si>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</si>
  <si>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</si>
  <si>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</si>
  <si>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</si>
  <si>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</si>
  <si>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</si>
  <si>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</si>
  <si>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</si>
  <si>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</si>
  <si>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</si>
  <si>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</si>
  <si>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</si>
  <si>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</si>
  <si>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</si>
  <si>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</si>
  <si>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</si>
  <si>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</si>
  <si>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</si>
  <si>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</si>
  <si>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</si>
  <si>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</si>
  <si>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</si>
  <si>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</si>
  <si>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</si>
  <si>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</si>
  <si>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</si>
  <si>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</si>
  <si>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</si>
  <si>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</si>
  <si>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</si>
  <si>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</si>
  <si>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</si>
  <si>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</si>
  <si>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</si>
  <si>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</si>
  <si>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</si>
  <si>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</si>
  <si>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</si>
  <si>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</si>
  <si>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</si>
  <si>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</si>
  <si>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</si>
  <si>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</si>
  <si>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</si>
  <si>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</si>
  <si>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</si>
  <si>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</si>
  <si>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</si>
  <si>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</si>
  <si>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</si>
  <si>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</si>
  <si>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</si>
  <si>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</si>
  <si>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</si>
  <si>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</si>
  <si>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</si>
  <si>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</si>
  <si>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</si>
  <si>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</si>
  <si>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</si>
  <si>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</si>
  <si>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</si>
  <si>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</si>
  <si>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</si>
  <si>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</si>
  <si>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</si>
  <si>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</si>
  <si>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</si>
  <si>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</si>
  <si>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</si>
  <si>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</si>
  <si>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</si>
  <si>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</si>
  <si>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</si>
  <si>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</si>
  <si>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</si>
  <si>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</si>
  <si>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</si>
  <si>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</si>
  <si>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</si>
  <si>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</si>
  <si>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</si>
  <si>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</si>
  <si>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</si>
  <si>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</si>
  <si>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</si>
  <si>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</si>
  <si>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</si>
  <si>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</si>
  <si>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</si>
  <si>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</si>
  <si>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</si>
  <si>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</si>
  <si>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</si>
  <si>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</si>
  <si>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</si>
  <si>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</si>
  <si>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</si>
  <si>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</si>
  <si>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</si>
  <si>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</si>
  <si>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</si>
  <si>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</si>
  <si>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</si>
  <si>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</si>
  <si>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</si>
  <si>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</si>
  <si>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</si>
  <si>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</si>
  <si>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</si>
  <si>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</si>
  <si>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</si>
  <si>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</si>
  <si>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</si>
  <si>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</si>
  <si>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</si>
  <si>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</si>
  <si>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</si>
  <si>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</si>
  <si>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</si>
  <si>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</si>
  <si>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</si>
  <si>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</si>
  <si>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</si>
  <si>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</si>
  <si>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</si>
  <si>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</si>
  <si>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</si>
  <si>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</si>
  <si>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</si>
  <si>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</si>
  <si>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</si>
  <si>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</si>
  <si>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</si>
  <si>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</si>
  <si>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</si>
  <si>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</si>
  <si>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</si>
  <si>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</si>
  <si>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</si>
  <si>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</si>
  <si>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</si>
  <si>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</si>
  <si>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</si>
  <si>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</si>
  <si>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</si>
  <si>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</si>
  <si>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</si>
  <si>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</si>
  <si>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</si>
  <si>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</si>
  <si>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</si>
  <si>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</si>
  <si>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</si>
  <si>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</si>
  <si>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</si>
  <si>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</si>
  <si>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</si>
  <si>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</si>
  <si>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</si>
  <si>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</si>
  <si>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</si>
  <si>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</si>
  <si>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</si>
  <si>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</si>
  <si>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</si>
  <si>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</si>
  <si>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</si>
  <si>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</si>
  <si>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</si>
  <si>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</si>
  <si>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</si>
  <si>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</si>
  <si>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</si>
  <si>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</si>
  <si>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</si>
  <si>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</si>
  <si>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</si>
  <si>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</si>
  <si>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</si>
  <si>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</si>
  <si>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</si>
  <si>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</si>
  <si>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</si>
  <si>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</si>
  <si>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</si>
  <si>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</si>
  <si>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</si>
  <si>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</si>
  <si>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</si>
  <si>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</si>
  <si>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</si>
  <si>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</si>
  <si>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</si>
  <si>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</si>
  <si>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</si>
  <si>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</si>
  <si>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</si>
  <si>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</si>
  <si>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</si>
  <si>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</si>
  <si>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</si>
  <si>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</si>
  <si>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</si>
  <si>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</si>
  <si>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</si>
  <si>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</si>
  <si>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</si>
  <si>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</si>
  <si>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</si>
  <si>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</si>
  <si>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</si>
  <si>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</si>
  <si>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</si>
  <si>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</si>
  <si>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</si>
  <si>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</si>
  <si>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</si>
  <si>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</si>
  <si>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</si>
  <si>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</si>
  <si>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</si>
  <si>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</si>
  <si>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</si>
  <si>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</si>
  <si>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</si>
  <si>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</si>
  <si>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</si>
  <si>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</si>
  <si>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</si>
  <si>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</si>
  <si>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</si>
  <si>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</si>
  <si>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</si>
  <si>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</si>
  <si>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</si>
  <si>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</si>
  <si>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</si>
  <si>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</si>
  <si>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</si>
  <si>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</si>
  <si>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</si>
  <si>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</si>
  <si>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</si>
  <si>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</si>
  <si>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</si>
  <si>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</si>
  <si>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</si>
  <si>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</si>
  <si>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</si>
  <si>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</si>
  <si>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</si>
  <si>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</si>
  <si>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</si>
  <si>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</si>
  <si>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</si>
  <si>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</si>
  <si>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</si>
  <si>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</si>
  <si>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</si>
  <si>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</si>
  <si>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</si>
  <si>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</si>
  <si>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</si>
  <si>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</si>
  <si>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</si>
  <si>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</si>
  <si>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</si>
  <si>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</si>
  <si>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</si>
  <si>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</si>
  <si>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</si>
  <si>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</si>
  <si>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</si>
  <si>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</si>
  <si>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</si>
  <si>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</si>
  <si>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</si>
  <si>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</si>
  <si>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</si>
  <si>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</si>
  <si>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</si>
  <si>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</si>
  <si>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</si>
  <si>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</si>
  <si>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</si>
  <si>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</si>
  <si>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</si>
  <si>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</si>
  <si>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</si>
  <si>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</si>
  <si>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</si>
  <si>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</si>
  <si>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</si>
  <si>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</si>
  <si>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</si>
  <si>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</si>
  <si>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</si>
  <si>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</si>
  <si>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</si>
  <si>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</si>
  <si>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</si>
  <si>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</si>
  <si>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</si>
  <si>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</si>
  <si>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</si>
  <si>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</si>
  <si>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</si>
  <si>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</si>
  <si>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</si>
  <si>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</si>
  <si>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</si>
  <si>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</si>
  <si>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</si>
  <si>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</si>
  <si>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</si>
  <si>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</si>
  <si>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</si>
  <si>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</si>
  <si>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</si>
  <si>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</si>
  <si>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</si>
  <si>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</si>
  <si>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</si>
  <si>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</si>
  <si>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</si>
  <si>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</si>
  <si>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</si>
  <si>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</si>
  <si>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</si>
  <si>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</si>
  <si>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</si>
  <si>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</si>
  <si>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</si>
  <si>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</si>
  <si>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</si>
  <si>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</si>
  <si>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</si>
  <si>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</si>
  <si>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</si>
  <si>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</si>
  <si>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</si>
  <si>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</si>
  <si>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</si>
  <si>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</si>
  <si>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</si>
  <si>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</si>
  <si>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</si>
  <si>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</si>
  <si>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</si>
  <si>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</si>
  <si>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</si>
  <si>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</si>
  <si>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</si>
  <si>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</si>
  <si>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</si>
  <si>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</si>
  <si>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</si>
  <si>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</si>
  <si>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</si>
  <si>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</si>
  <si>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</si>
  <si>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</si>
  <si>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</si>
  <si>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</si>
  <si>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</si>
  <si>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</si>
  <si>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</si>
  <si>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</si>
  <si>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</si>
  <si>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</si>
  <si>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</si>
  <si>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</si>
  <si>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</si>
  <si>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</si>
  <si>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</si>
  <si>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</si>
  <si>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</si>
  <si>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</si>
  <si>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</si>
  <si>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</si>
  <si>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</si>
  <si>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</si>
  <si>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</si>
  <si>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</si>
  <si>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</si>
  <si>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</si>
  <si>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</si>
  <si>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</si>
  <si>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</si>
  <si>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</si>
  <si>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</si>
  <si>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</si>
  <si>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</si>
  <si>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</si>
  <si>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</si>
  <si>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</si>
  <si>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</si>
  <si>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</si>
  <si>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</si>
  <si>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</si>
  <si>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</si>
  <si>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</si>
  <si>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</si>
  <si>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</si>
  <si>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</si>
  <si>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</si>
  <si>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</si>
  <si>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</si>
  <si>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</si>
  <si>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</si>
  <si>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</si>
  <si>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</si>
  <si>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</si>
  <si>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</si>
  <si>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</si>
  <si>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</si>
  <si>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</si>
  <si>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</si>
  <si>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</si>
  <si>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</si>
  <si>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</si>
  <si>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</si>
  <si>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</si>
  <si>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</si>
  <si>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</si>
  <si>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</si>
  <si>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</si>
  <si>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</si>
  <si>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</si>
  <si>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</si>
  <si>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</si>
  <si>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</si>
  <si>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</si>
  <si>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</si>
  <si>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</si>
  <si>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</si>
  <si>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</si>
  <si>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</si>
  <si>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</si>
  <si>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</si>
  <si>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</si>
  <si>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</si>
  <si>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</si>
  <si>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</si>
  <si>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</si>
  <si>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</si>
  <si>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</si>
  <si>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</si>
  <si>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</si>
  <si>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</si>
  <si>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</si>
  <si>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</si>
  <si>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</si>
  <si>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</si>
  <si>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</si>
  <si>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</si>
  <si>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</si>
  <si>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</si>
  <si>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</si>
  <si>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</si>
  <si>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</si>
  <si>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</si>
  <si>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</si>
  <si>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</si>
  <si>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</si>
  <si>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</si>
  <si>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</si>
  <si>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</si>
  <si>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</si>
  <si>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</si>
  <si>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</si>
  <si>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</si>
  <si>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</si>
  <si>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</si>
  <si>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</si>
  <si>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</si>
  <si>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</si>
  <si>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</si>
  <si>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</si>
  <si>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</si>
  <si>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</si>
  <si>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</si>
  <si>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</si>
  <si>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</si>
  <si>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</si>
  <si>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</si>
  <si>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</si>
  <si>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</si>
  <si>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</si>
  <si>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</si>
  <si>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</si>
  <si>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</si>
  <si>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</si>
  <si>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</si>
  <si>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</si>
  <si>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</si>
  <si>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</si>
  <si>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</si>
  <si>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</si>
  <si>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</si>
  <si>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</si>
  <si>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</si>
  <si>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</si>
  <si>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</si>
  <si>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</si>
  <si>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</si>
  <si>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</si>
  <si>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</si>
  <si>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</si>
  <si>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</si>
  <si>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</si>
  <si>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</si>
  <si>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</si>
  <si>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</si>
  <si>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</si>
  <si>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</si>
  <si>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</si>
  <si>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</si>
  <si>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</si>
  <si>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</si>
  <si>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</si>
  <si>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</si>
  <si>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</si>
  <si>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</si>
  <si>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</si>
  <si>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</si>
  <si>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</si>
  <si>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</si>
  <si>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</si>
  <si>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</si>
  <si>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</si>
  <si>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</si>
  <si>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</si>
  <si>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</si>
  <si>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</si>
  <si>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</si>
  <si>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</si>
  <si>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</si>
  <si>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</si>
  <si>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</si>
  <si>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</si>
  <si>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</si>
  <si>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</si>
  <si>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</si>
  <si>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</si>
  <si>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</si>
  <si>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</si>
  <si>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</si>
  <si>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</si>
  <si>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</si>
  <si>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</si>
  <si>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</si>
  <si>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</si>
  <si>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</si>
  <si>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</si>
  <si>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</si>
  <si>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</si>
  <si>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</si>
  <si>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</si>
  <si>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</si>
  <si>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</si>
  <si>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</si>
  <si>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</si>
  <si>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</si>
  <si>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</si>
  <si>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</si>
  <si>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</si>
  <si>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</si>
  <si>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</si>
  <si>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</si>
  <si>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</si>
  <si>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</si>
  <si>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</si>
  <si>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</si>
  <si>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</si>
  <si>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</si>
  <si>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</si>
  <si>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</si>
  <si>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</si>
  <si>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</si>
  <si>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</si>
  <si>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</si>
  <si>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</si>
  <si>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</si>
  <si>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</si>
  <si>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</si>
  <si>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</si>
  <si>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</si>
  <si>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</si>
  <si>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</si>
  <si>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</si>
  <si>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</si>
  <si>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</si>
  <si>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</si>
  <si>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</si>
  <si>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</si>
  <si>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</si>
  <si>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</si>
  <si>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</si>
  <si>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</si>
  <si>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</si>
  <si>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</si>
  <si>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</si>
  <si>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</si>
  <si>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</si>
  <si>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</si>
  <si>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</si>
  <si>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</si>
  <si>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</si>
  <si>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</si>
  <si>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</si>
  <si>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</si>
  <si>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</si>
  <si>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</si>
  <si>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</si>
  <si>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</si>
  <si>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</si>
  <si>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</si>
  <si>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</si>
  <si>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</si>
  <si>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</si>
  <si>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</si>
  <si>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</si>
  <si>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</si>
  <si>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</si>
  <si>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</si>
  <si>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</si>
  <si>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</si>
  <si>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</si>
  <si>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</si>
  <si>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</si>
  <si>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</si>
  <si>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</si>
  <si>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</si>
  <si>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</si>
  <si>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</si>
  <si>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</si>
  <si>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</si>
  <si>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</si>
  <si>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</si>
  <si>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</si>
  <si>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</si>
  <si>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</si>
  <si>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</si>
  <si>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</si>
  <si>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</si>
  <si>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</si>
  <si>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</si>
  <si>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</si>
  <si>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</si>
  <si>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</si>
  <si>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</si>
  <si>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</si>
  <si>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</si>
  <si>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</si>
  <si>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</si>
  <si>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</si>
  <si>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</si>
  <si>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</si>
  <si>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</si>
  <si>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</si>
  <si>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</si>
  <si>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</si>
  <si>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</si>
  <si>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</si>
  <si>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</si>
  <si>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</si>
  <si>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</si>
  <si>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</si>
  <si>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</si>
  <si>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</si>
  <si>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</si>
  <si>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</si>
  <si>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</si>
  <si>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</si>
  <si>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</si>
  <si>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</si>
  <si>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</si>
  <si>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</si>
  <si>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</si>
  <si>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</si>
  <si>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</si>
  <si>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</si>
  <si>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</si>
  <si>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</si>
  <si>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</si>
  <si>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</si>
  <si>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</si>
  <si>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</si>
  <si>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</si>
  <si>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</si>
  <si>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</si>
  <si>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</si>
  <si>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</si>
  <si>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</si>
  <si>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</si>
  <si>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</si>
  <si>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</si>
  <si>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</si>
  <si>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</si>
  <si>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</si>
  <si>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</si>
  <si>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</si>
  <si>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</si>
  <si>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</si>
  <si>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</si>
  <si>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</si>
  <si>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</si>
  <si>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</si>
  <si>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</si>
  <si>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</si>
  <si>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</si>
  <si>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</si>
  <si>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</si>
  <si>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</si>
  <si>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</si>
  <si>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</si>
  <si>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</si>
  <si>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</si>
  <si>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</si>
  <si>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</si>
  <si>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</si>
  <si>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</si>
  <si>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</si>
  <si>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</si>
  <si>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</si>
  <si>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</si>
  <si>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</si>
  <si>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</si>
  <si>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</si>
  <si>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</si>
  <si>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</si>
  <si>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</si>
  <si>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</si>
  <si>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</si>
  <si>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</si>
  <si>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</si>
  <si>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</si>
  <si>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</si>
  <si>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</si>
  <si>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</si>
  <si>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</si>
  <si>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</si>
  <si>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</si>
  <si>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</si>
  <si>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</si>
  <si>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</si>
  <si>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</si>
  <si>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</si>
  <si>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</si>
  <si>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</si>
  <si>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</si>
  <si>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</si>
  <si>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</si>
  <si>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</si>
  <si>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</si>
  <si>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</si>
  <si>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</si>
  <si>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</si>
  <si>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</si>
  <si>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</si>
  <si>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</si>
  <si>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</si>
  <si>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</si>
  <si>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</si>
  <si>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</si>
  <si>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</si>
  <si>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</si>
  <si>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</si>
  <si>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</si>
  <si>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</si>
  <si>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</si>
  <si>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</si>
  <si>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</si>
  <si>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</si>
  <si>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</si>
  <si>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</si>
  <si>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</si>
  <si>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</si>
  <si>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</si>
  <si>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</si>
  <si>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</si>
  <si>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</si>
  <si>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</si>
  <si>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</si>
  <si>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</si>
  <si>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</si>
  <si>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</si>
  <si>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</si>
  <si>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</si>
  <si>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</si>
  <si>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</si>
  <si>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</si>
  <si>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</si>
  <si>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</si>
  <si>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</si>
  <si>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</si>
  <si>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</si>
  <si>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</si>
  <si>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</si>
  <si>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</si>
  <si>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</si>
  <si>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</si>
  <si>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</si>
  <si>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</si>
  <si>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</si>
  <si>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</si>
  <si>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</si>
  <si>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</si>
  <si>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</si>
  <si>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</si>
  <si>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</si>
  <si>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</si>
  <si>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</si>
  <si>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</si>
  <si>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</si>
  <si>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</si>
  <si>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</si>
  <si>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</si>
  <si>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</si>
  <si>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</si>
  <si>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</si>
  <si>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</si>
  <si>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</si>
  <si>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</si>
  <si>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</si>
  <si>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</si>
  <si>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</si>
  <si>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</si>
  <si>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</si>
  <si>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</si>
  <si>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</si>
  <si>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</si>
  <si>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</si>
  <si>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</si>
  <si>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</si>
  <si>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</si>
  <si>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</si>
  <si>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</si>
  <si>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</si>
  <si>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</si>
  <si>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</si>
  <si>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</si>
  <si>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</si>
  <si>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</si>
  <si>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</si>
  <si>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</si>
  <si>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</si>
  <si>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</si>
  <si>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</si>
  <si>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</si>
  <si>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</si>
  <si>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</si>
  <si>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</si>
  <si>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</si>
  <si>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</si>
  <si>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</si>
  <si>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</si>
  <si>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</si>
  <si>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</si>
  <si>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</si>
  <si>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</si>
  <si>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</si>
  <si>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</si>
  <si>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</si>
  <si>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</si>
  <si>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</si>
  <si>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</si>
  <si>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</si>
  <si>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</si>
  <si>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</si>
  <si>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</si>
  <si>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</si>
  <si>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</si>
  <si>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</si>
  <si>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</si>
  <si>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</si>
  <si>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</si>
  <si>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</si>
  <si>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</si>
  <si>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</si>
  <si>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</si>
  <si>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</si>
  <si>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</si>
  <si>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</si>
  <si>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</si>
  <si>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</si>
  <si>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</si>
  <si>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</si>
  <si>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</si>
  <si>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</si>
  <si>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</si>
  <si>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</si>
  <si>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</si>
  <si>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</si>
  <si>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</si>
  <si>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</si>
  <si>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</si>
  <si>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</si>
  <si>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</si>
  <si>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</si>
  <si>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</si>
  <si>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</si>
  <si>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</si>
  <si>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</si>
  <si>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</si>
  <si>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</si>
  <si>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</si>
  <si>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</si>
  <si>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</si>
  <si>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</si>
  <si>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</si>
  <si>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</si>
  <si>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</si>
  <si>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</si>
  <si>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</si>
  <si>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</si>
  <si>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</si>
  <si>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</si>
  <si>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</si>
  <si>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</si>
  <si>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</si>
  <si>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</si>
  <si>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</si>
  <si>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</si>
  <si>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</si>
  <si>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</si>
  <si>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</si>
  <si>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</si>
  <si>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</si>
  <si>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</si>
  <si>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</si>
  <si>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</si>
  <si>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</si>
  <si>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</si>
  <si>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</si>
  <si>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</si>
  <si>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</si>
  <si>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</si>
  <si>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</si>
  <si>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</si>
  <si>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</si>
  <si>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</si>
  <si>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</si>
  <si>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</si>
  <si>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</si>
  <si>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</si>
  <si>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</si>
  <si>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</si>
  <si>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</si>
  <si>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</si>
  <si>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</si>
  <si>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</si>
  <si>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</si>
  <si>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</si>
  <si>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</si>
  <si>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</si>
  <si>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</si>
  <si>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</si>
  <si>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</si>
  <si>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</si>
  <si>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</si>
  <si>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</si>
  <si>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</si>
  <si>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</si>
  <si>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</si>
  <si>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</si>
  <si>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</si>
  <si>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</si>
  <si>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</si>
  <si>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</si>
  <si>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</si>
  <si>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</si>
  <si>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</si>
  <si>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</si>
  <si>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</si>
  <si>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</si>
  <si>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</si>
  <si>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</si>
  <si>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</si>
  <si>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</si>
  <si>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</si>
  <si>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</si>
  <si>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</si>
  <si>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</si>
  <si>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</si>
  <si>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</si>
  <si>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</si>
  <si>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</si>
  <si>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</si>
  <si>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</si>
  <si>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</si>
  <si>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</si>
  <si>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</si>
  <si>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</si>
  <si>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</si>
  <si>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</si>
  <si>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</si>
  <si>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</si>
  <si>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</si>
  <si>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</si>
  <si>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</si>
  <si>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</si>
  <si>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</si>
  <si>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</si>
  <si>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</si>
  <si>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</si>
  <si>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</si>
  <si>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</si>
  <si>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</si>
  <si>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</si>
  <si>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</si>
  <si>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</si>
  <si>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</si>
  <si>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</si>
  <si>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</si>
  <si>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</si>
  <si>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</si>
  <si>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</si>
  <si>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</si>
  <si>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</si>
  <si>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</si>
  <si>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</si>
  <si>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</si>
  <si>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</si>
  <si>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</si>
  <si>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</si>
  <si>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</si>
  <si>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</si>
  <si>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</si>
  <si>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</si>
  <si>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</si>
  <si>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</si>
  <si>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</si>
  <si>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</si>
  <si>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</si>
  <si>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</si>
  <si>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</si>
  <si>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</si>
  <si>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</si>
  <si>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</si>
  <si>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</si>
  <si>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</si>
  <si>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</si>
  <si>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</si>
  <si>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</si>
  <si>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</si>
  <si>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</si>
  <si>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</si>
  <si>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</si>
  <si>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</si>
  <si>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</si>
  <si>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</si>
  <si>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</si>
  <si>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</si>
  <si>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</si>
  <si>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</si>
  <si>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</si>
  <si>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</si>
  <si>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</si>
  <si>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</si>
  <si>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</si>
  <si>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</si>
  <si>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</si>
  <si>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</si>
  <si>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</si>
  <si>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</si>
  <si>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</si>
  <si>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</si>
  <si>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</si>
  <si>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</si>
  <si>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</si>
  <si>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</si>
  <si>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</si>
  <si>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</si>
  <si>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</si>
  <si>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</si>
  <si>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</si>
  <si>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</si>
  <si>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</si>
  <si>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</si>
  <si>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</si>
  <si>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</si>
  <si>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</si>
  <si>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</si>
  <si>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</si>
  <si>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</si>
  <si>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</si>
  <si>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</si>
  <si>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</si>
  <si>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</si>
  <si>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</si>
  <si>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</si>
  <si>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</si>
  <si>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</si>
  <si>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</si>
  <si>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</si>
  <si>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</si>
  <si>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</si>
  <si>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</si>
  <si>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</si>
  <si>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</si>
  <si>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</si>
  <si>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</si>
  <si>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</si>
  <si>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</si>
  <si>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</si>
  <si>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</si>
  <si>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</si>
  <si>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</si>
  <si>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</si>
  <si>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</si>
  <si>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</si>
  <si>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</si>
  <si>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</si>
  <si>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</si>
  <si>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</si>
  <si>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</si>
  <si>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</si>
  <si>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</si>
  <si>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</si>
  <si>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</si>
  <si>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</si>
  <si>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</si>
  <si>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</si>
  <si>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</si>
  <si>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</si>
  <si>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</si>
  <si>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</si>
  <si>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</si>
  <si>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</si>
  <si>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</si>
  <si>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</si>
  <si>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</si>
  <si>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</si>
  <si>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</si>
  <si>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</si>
  <si>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</si>
  <si>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</si>
  <si>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</si>
  <si>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</si>
  <si>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</si>
  <si>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</si>
  <si>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</si>
  <si>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</si>
  <si>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</si>
  <si>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</si>
  <si>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</si>
  <si>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</si>
  <si>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</si>
  <si>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</si>
  <si>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</si>
  <si>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</si>
  <si>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</si>
  <si>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</si>
  <si>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</si>
  <si>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</si>
  <si>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</si>
  <si>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</si>
  <si>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</si>
  <si>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</si>
  <si>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</si>
  <si>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</si>
  <si>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</si>
  <si>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</si>
  <si>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</si>
  <si>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</si>
  <si>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</si>
  <si>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</si>
  <si>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</si>
  <si>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</si>
  <si>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</si>
  <si>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</si>
  <si>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</si>
  <si>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</si>
  <si>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</si>
  <si>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</si>
  <si>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</si>
  <si>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</si>
  <si>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</si>
  <si>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</si>
  <si>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</si>
  <si>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</si>
  <si>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</si>
  <si>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</si>
  <si>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</si>
  <si>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</si>
  <si>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</si>
  <si>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</si>
  <si>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</si>
  <si>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</si>
  <si>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</si>
  <si>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</si>
  <si>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</si>
  <si>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</si>
  <si>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</si>
  <si>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</si>
  <si>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</si>
  <si>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</si>
  <si>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</si>
  <si>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</si>
  <si>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</si>
  <si>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</si>
  <si>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</si>
  <si>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</si>
  <si>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</si>
  <si>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</si>
  <si>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</si>
  <si>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</si>
  <si>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</si>
  <si>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</si>
  <si>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</si>
  <si>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</si>
  <si>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</si>
  <si>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</si>
  <si>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</si>
  <si>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</si>
  <si>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</si>
  <si>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</si>
  <si>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</si>
  <si>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</si>
  <si>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</si>
  <si>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</si>
  <si>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</si>
  <si>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</si>
  <si>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</si>
  <si>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</si>
  <si>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</si>
  <si>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</si>
  <si>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</si>
  <si>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</si>
  <si>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</si>
  <si>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</si>
  <si>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</si>
  <si>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</si>
  <si>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</si>
  <si>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</si>
  <si>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</si>
  <si>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</si>
  <si>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</si>
  <si>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</si>
  <si>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</si>
  <si>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</si>
  <si>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</si>
  <si>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</si>
  <si>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</si>
  <si>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</si>
  <si>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</si>
  <si>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</si>
  <si>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</si>
  <si>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</si>
  <si>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</si>
  <si>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</si>
  <si>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</si>
  <si>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</si>
  <si>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</si>
  <si>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</si>
  <si>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</si>
  <si>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</si>
  <si>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</si>
  <si>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</si>
  <si>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</si>
  <si>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</si>
  <si>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</si>
  <si>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</si>
  <si>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</si>
  <si>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</si>
  <si>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</si>
  <si>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</si>
  <si>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</si>
  <si>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</si>
  <si>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</si>
  <si>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</si>
  <si>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</si>
  <si>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</si>
  <si>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</si>
  <si>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</si>
  <si>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</si>
  <si>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</si>
  <si>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</si>
  <si>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</si>
  <si>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</si>
  <si>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</si>
  <si>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</si>
  <si>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</si>
  <si>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</si>
  <si>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</si>
  <si>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</si>
  <si>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</si>
  <si>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</si>
  <si>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</si>
  <si>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</si>
  <si>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</si>
  <si>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</si>
  <si>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</si>
  <si>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</si>
  <si>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</si>
  <si>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</si>
  <si>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</si>
  <si>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</si>
  <si>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</si>
  <si>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</si>
  <si>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</si>
  <si>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</si>
  <si>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</si>
  <si>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</si>
  <si>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</si>
  <si>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</si>
  <si>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</si>
  <si>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</si>
  <si>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</si>
  <si>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</si>
  <si>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</si>
  <si>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</si>
  <si>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</si>
  <si>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</si>
  <si>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</si>
  <si>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</si>
  <si>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</si>
  <si>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</si>
  <si>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</si>
  <si>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</si>
  <si>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</si>
  <si>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</si>
  <si>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</si>
  <si>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</si>
  <si>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</si>
  <si>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</si>
  <si>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</si>
  <si>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</si>
  <si>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</si>
  <si>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</si>
  <si>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</si>
  <si>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</si>
  <si>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</si>
  <si>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</si>
  <si>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</si>
  <si>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</si>
  <si>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</si>
  <si>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</si>
  <si>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</si>
  <si>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</si>
  <si>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</si>
  <si>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</si>
  <si>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</si>
  <si>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</si>
  <si>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</si>
  <si>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</si>
  <si>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</si>
  <si>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</si>
  <si>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</si>
  <si>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</si>
  <si>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</si>
  <si>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</si>
  <si>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</si>
  <si>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</si>
  <si>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</si>
  <si>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</si>
  <si>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</si>
  <si>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</si>
  <si>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</si>
  <si>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</si>
  <si>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</si>
  <si>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</si>
  <si>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</si>
  <si>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</si>
  <si>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</si>
  <si>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</si>
  <si>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</si>
  <si>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</si>
  <si>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</si>
  <si>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</si>
  <si>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</si>
  <si>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</si>
  <si>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</si>
  <si>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</si>
  <si>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</si>
  <si>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</si>
  <si>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</si>
  <si>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</si>
  <si>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</si>
  <si>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</si>
  <si>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</si>
  <si>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</si>
  <si>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</si>
  <si>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</si>
  <si>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</si>
  <si>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</si>
  <si>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</si>
  <si>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</si>
  <si>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</si>
  <si>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</si>
  <si>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</si>
  <si>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</si>
  <si>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</si>
  <si>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</si>
  <si>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</si>
  <si>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</si>
  <si>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</si>
  <si>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</si>
  <si>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</si>
  <si>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</si>
  <si>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</si>
  <si>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</si>
  <si>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</si>
  <si>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</si>
  <si>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</si>
  <si>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</si>
  <si>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</si>
  <si>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</si>
  <si>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</si>
  <si>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</si>
  <si>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</si>
  <si>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</si>
  <si>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</si>
  <si>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</si>
  <si>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</si>
  <si>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</si>
  <si>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</si>
  <si>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</si>
  <si>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</si>
  <si>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</si>
  <si>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</si>
  <si>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</si>
  <si>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</si>
  <si>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</si>
  <si>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</si>
  <si>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</si>
  <si>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</si>
  <si>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</si>
  <si>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</si>
  <si>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</si>
  <si>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</si>
  <si>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</si>
  <si>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</si>
  <si>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</si>
  <si>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</si>
  <si>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</si>
  <si>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</si>
  <si>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</si>
  <si>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</si>
  <si>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</si>
  <si>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</si>
  <si>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</si>
  <si>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</si>
  <si>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</si>
  <si>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</si>
  <si>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</si>
  <si>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</si>
  <si>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</si>
  <si>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</si>
  <si>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</si>
  <si>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</si>
  <si>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</si>
  <si>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</si>
  <si>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</si>
  <si>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</si>
  <si>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</si>
  <si>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</si>
  <si>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</si>
  <si>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</si>
  <si>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</si>
  <si>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</si>
  <si>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</si>
  <si>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</si>
  <si>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</si>
  <si>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</si>
  <si>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</si>
  <si>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</si>
  <si>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</si>
  <si>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</si>
  <si>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</si>
  <si>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</si>
  <si>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</si>
  <si>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</si>
  <si>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</si>
  <si>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</si>
  <si>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</si>
  <si>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</si>
  <si>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</si>
  <si>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</si>
  <si>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</si>
  <si>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</si>
  <si>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</si>
  <si>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</si>
  <si>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</si>
  <si>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</si>
  <si>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</si>
  <si>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</si>
  <si>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</si>
  <si>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</si>
  <si>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</si>
  <si>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</si>
  <si>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</si>
  <si>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</si>
  <si>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</si>
  <si>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</si>
  <si>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</si>
  <si>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</si>
  <si>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</si>
  <si>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</si>
  <si>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</si>
  <si>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</si>
  <si>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</si>
  <si>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</si>
  <si>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</si>
  <si>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</si>
  <si>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</si>
  <si>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</si>
  <si>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</si>
  <si>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</si>
  <si>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</si>
  <si>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</si>
  <si>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</si>
  <si>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</si>
  <si>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</si>
  <si>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</si>
  <si>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</si>
  <si>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</si>
  <si>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</si>
  <si>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</si>
  <si>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</si>
  <si>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</si>
  <si>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</si>
  <si>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</si>
  <si>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</si>
  <si>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</si>
  <si>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</si>
  <si>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</si>
  <si>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</si>
  <si>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</si>
  <si>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</si>
  <si>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</si>
  <si>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</si>
  <si>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</si>
  <si>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</si>
  <si>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</si>
  <si>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</si>
  <si>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</si>
  <si>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</si>
  <si>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</si>
  <si>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</si>
  <si>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</si>
  <si>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</si>
  <si>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</si>
  <si>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</si>
  <si>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</si>
  <si>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</si>
  <si>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</si>
  <si>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</si>
  <si>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</si>
  <si>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</si>
  <si>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</si>
  <si>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</si>
  <si>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</si>
  <si>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</si>
  <si>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</si>
  <si>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</si>
  <si>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</si>
  <si>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</si>
  <si>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</si>
  <si>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</si>
  <si>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</si>
  <si>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</si>
  <si>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</si>
  <si>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</si>
  <si>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</si>
  <si>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</si>
  <si>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</si>
  <si>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</si>
  <si>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</si>
  <si>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</si>
  <si>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</si>
  <si>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</si>
  <si>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</si>
  <si>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</si>
  <si>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</si>
  <si>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</si>
  <si>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</si>
  <si>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</si>
  <si>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</si>
  <si>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</si>
  <si>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</si>
  <si>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</si>
  <si>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</si>
  <si>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</si>
  <si>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</si>
  <si>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</si>
  <si>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</si>
  <si>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</si>
  <si>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</si>
  <si>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</si>
  <si>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</si>
  <si>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</si>
  <si>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</si>
  <si>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</si>
  <si>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</si>
  <si>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</si>
  <si>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</si>
  <si>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</si>
  <si>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</si>
  <si>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</si>
  <si>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</si>
  <si>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</si>
  <si>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</si>
  <si>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</si>
  <si>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</si>
  <si>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</si>
  <si>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</si>
  <si>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</si>
  <si>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</si>
  <si>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</si>
  <si>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</si>
  <si>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</si>
  <si>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</si>
  <si>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</si>
  <si>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</si>
  <si>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</si>
  <si>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</si>
  <si>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</si>
  <si>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</si>
  <si>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</si>
  <si>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</si>
  <si>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</si>
  <si>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</si>
  <si>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</si>
  <si>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</si>
  <si>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</si>
  <si>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</si>
  <si>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</si>
  <si>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</si>
  <si>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</si>
  <si>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</si>
  <si>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</si>
  <si>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</si>
  <si>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</si>
  <si>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</si>
  <si>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</si>
  <si>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</si>
  <si>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</si>
  <si>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</si>
  <si>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</si>
  <si>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</si>
  <si>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</si>
  <si>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</si>
  <si>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</si>
  <si>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</si>
  <si>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</si>
  <si>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</si>
  <si>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</si>
  <si>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</si>
  <si>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</si>
  <si>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</si>
  <si>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</si>
  <si>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</si>
  <si>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</si>
  <si>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</si>
  <si>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</si>
  <si>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</si>
  <si>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</si>
  <si>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</si>
  <si>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</si>
  <si>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</si>
  <si>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</si>
  <si>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</si>
  <si>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</si>
  <si>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</si>
  <si>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</si>
  <si>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</si>
  <si>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</si>
  <si>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</si>
  <si>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</si>
  <si>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</si>
  <si>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</si>
  <si>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</si>
  <si>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</si>
  <si>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</si>
  <si>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</si>
  <si>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</si>
  <si>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</si>
  <si>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</si>
  <si>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</si>
  <si>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</si>
  <si>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</si>
  <si>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</si>
  <si>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</si>
  <si>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</si>
  <si>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</si>
  <si>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</si>
  <si>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</si>
  <si>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</si>
  <si>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</si>
  <si>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</si>
  <si>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</si>
  <si>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</si>
  <si>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</si>
  <si>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</si>
  <si>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</si>
  <si>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</si>
  <si>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</si>
  <si>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</si>
  <si>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</si>
  <si>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</si>
  <si>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</si>
  <si>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</si>
  <si>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</si>
  <si>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</si>
  <si>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</si>
  <si>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</si>
  <si>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</si>
  <si>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</si>
  <si>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</si>
  <si>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</si>
  <si>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</si>
  <si>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</si>
  <si>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</si>
  <si>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</si>
  <si>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</si>
  <si>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</si>
  <si>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</si>
  <si>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</si>
  <si>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</si>
  <si>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</si>
  <si>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</si>
  <si>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</si>
  <si>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</si>
  <si>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</si>
  <si>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</si>
  <si>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</si>
  <si>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</si>
  <si>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</si>
  <si>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</si>
  <si>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</si>
  <si>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</si>
  <si>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</si>
  <si>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</si>
  <si>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</si>
  <si>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</si>
  <si>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</si>
  <si>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</si>
  <si>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</si>
  <si>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</si>
  <si>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</si>
  <si>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</si>
  <si>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</si>
  <si>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</si>
  <si>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</si>
  <si>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</si>
  <si>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</si>
  <si>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</si>
  <si>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</si>
  <si>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</si>
  <si>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</si>
  <si>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</si>
  <si>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</si>
  <si>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</si>
  <si>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</si>
  <si>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</si>
  <si>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</si>
  <si>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</si>
  <si>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</si>
  <si>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</si>
  <si>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</si>
  <si>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</si>
  <si>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</si>
  <si>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</si>
  <si>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</si>
  <si>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</si>
  <si>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</si>
  <si>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</si>
  <si>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</si>
  <si>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</si>
  <si>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</si>
  <si>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</si>
  <si>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</si>
  <si>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</si>
  <si>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</si>
  <si>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</si>
  <si>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</si>
  <si>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</si>
  <si>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</si>
  <si>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</si>
  <si>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</si>
  <si>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</si>
  <si>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</si>
  <si>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</si>
  <si>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</si>
  <si>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</si>
  <si>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</si>
  <si>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</si>
  <si>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</si>
  <si>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</si>
  <si>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</si>
  <si>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</si>
  <si>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</si>
  <si>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</si>
  <si>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</si>
  <si>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</si>
  <si>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</si>
  <si>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</si>
  <si>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</si>
  <si>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</si>
  <si>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</si>
  <si>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</si>
  <si>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</si>
  <si>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</si>
  <si>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</si>
  <si>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</si>
  <si>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</si>
  <si>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</si>
  <si>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</si>
  <si>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</si>
  <si>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</si>
  <si>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</si>
  <si>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</si>
  <si>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</si>
  <si>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</si>
  <si>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</si>
  <si>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</si>
  <si>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</si>
  <si>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</si>
  <si>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</si>
  <si>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</si>
  <si>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</si>
  <si>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</si>
  <si>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</si>
  <si>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</si>
  <si>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</si>
  <si>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</si>
  <si>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</si>
  <si>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</si>
  <si>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</si>
  <si>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</si>
  <si>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</si>
  <si>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</si>
  <si>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</si>
  <si>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</si>
  <si>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</si>
  <si>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</si>
  <si>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</si>
  <si>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</si>
  <si>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</si>
  <si>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</si>
  <si>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</si>
  <si>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</si>
  <si>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</si>
  <si>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</si>
  <si>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</si>
  <si>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</si>
  <si>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</si>
  <si>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</si>
  <si>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</si>
  <si>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</si>
  <si>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</si>
  <si>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</si>
  <si>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</si>
  <si>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</si>
  <si>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</si>
  <si>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</si>
  <si>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</si>
  <si>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</si>
  <si>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</si>
  <si>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</si>
  <si>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</si>
  <si>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</si>
  <si>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</si>
  <si>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</si>
  <si>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</si>
  <si>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</si>
  <si>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</si>
  <si>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</si>
  <si>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</si>
  <si>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</si>
  <si>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</si>
  <si>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</si>
  <si>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</si>
  <si>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</si>
  <si>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</si>
  <si>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</si>
  <si>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</si>
  <si>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</si>
  <si>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</si>
  <si>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</si>
  <si>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</si>
  <si>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</si>
  <si>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</si>
  <si>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</si>
  <si>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</si>
  <si>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</si>
  <si>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</si>
  <si>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</si>
  <si>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</si>
  <si>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</si>
  <si>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</si>
  <si>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</si>
  <si>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</si>
  <si>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</si>
  <si>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</si>
  <si>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</si>
  <si>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</si>
  <si>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</si>
  <si>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</si>
  <si>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</si>
  <si>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</si>
  <si>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</si>
  <si>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</si>
  <si>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</si>
  <si>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</si>
  <si>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</si>
  <si>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</si>
  <si>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</si>
  <si>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</si>
  <si>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</si>
  <si>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</si>
  <si>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</si>
  <si>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</si>
  <si>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</si>
  <si>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</si>
  <si>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</si>
  <si>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</si>
  <si>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</si>
  <si>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</si>
  <si>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</si>
  <si>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</si>
  <si>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</si>
  <si>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</si>
  <si>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</si>
  <si>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</si>
  <si>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</si>
  <si>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</si>
  <si>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</si>
  <si>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</si>
  <si>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</si>
  <si>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</si>
  <si>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</si>
  <si>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</si>
  <si>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</si>
  <si>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</si>
  <si>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</si>
  <si>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</si>
  <si>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</si>
  <si>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</si>
  <si>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</si>
  <si>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</si>
  <si>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</si>
  <si>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</si>
  <si>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</si>
  <si>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</si>
  <si>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</si>
  <si>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</si>
  <si>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</si>
  <si>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</si>
  <si>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</si>
  <si>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</si>
  <si>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</si>
  <si>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</si>
  <si>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</si>
  <si>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</si>
  <si>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</si>
  <si>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</si>
  <si>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</si>
  <si>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</si>
  <si>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</si>
  <si>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</si>
  <si>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</si>
  <si>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</si>
  <si>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</si>
  <si>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</si>
  <si>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</si>
  <si>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</si>
  <si>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</si>
  <si>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</si>
  <si>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</si>
  <si>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</si>
  <si>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</si>
  <si>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</si>
  <si>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</si>
  <si>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</si>
  <si>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</si>
  <si>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</si>
  <si>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</si>
  <si>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</si>
  <si>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</si>
  <si>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</si>
  <si>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</si>
  <si>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</si>
  <si>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</si>
  <si>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</si>
  <si>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</si>
  <si>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</si>
  <si>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</si>
  <si>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</si>
  <si>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</si>
  <si>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</si>
  <si>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</si>
  <si>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</si>
  <si>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</si>
  <si>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</si>
  <si>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</si>
  <si>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</si>
  <si>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</si>
  <si>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</si>
  <si>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</si>
  <si>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</si>
  <si>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</si>
  <si>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</si>
  <si>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</si>
  <si>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</si>
  <si>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</si>
  <si>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</si>
  <si>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</si>
  <si>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</si>
  <si>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</si>
  <si>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</si>
  <si>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</si>
  <si>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</si>
  <si>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</si>
  <si>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</si>
  <si>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</si>
  <si>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</si>
  <si>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</si>
  <si>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</si>
  <si>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</si>
  <si>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</si>
  <si>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</si>
  <si>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</si>
  <si>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</si>
  <si>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</si>
  <si>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</si>
  <si>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</si>
  <si>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</si>
  <si>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</si>
  <si>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</si>
  <si>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</si>
  <si>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</si>
  <si>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</si>
  <si>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</si>
  <si>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</si>
  <si>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</si>
  <si>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</si>
  <si>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</si>
  <si>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</si>
  <si>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</si>
  <si>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</si>
  <si>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</si>
  <si>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</si>
  <si>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</si>
  <si>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</si>
  <si>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</si>
  <si>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</si>
  <si>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</si>
  <si>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</si>
  <si>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</si>
  <si>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</si>
  <si>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</si>
  <si>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</si>
  <si>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</si>
  <si>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</si>
  <si>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</si>
  <si>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</si>
  <si>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</si>
  <si>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</si>
  <si>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</si>
  <si>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</si>
  <si>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</si>
  <si>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</si>
  <si>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</si>
  <si>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</si>
  <si>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</si>
  <si>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</si>
  <si>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</si>
  <si>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</si>
  <si>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</si>
  <si>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</si>
  <si>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</si>
  <si>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</si>
  <si>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</si>
  <si>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</si>
  <si>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</si>
  <si>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</si>
  <si>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</si>
  <si>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</si>
  <si>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</si>
  <si>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</si>
  <si>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</si>
  <si>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</si>
  <si>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</si>
  <si>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</si>
  <si>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</si>
  <si>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</si>
  <si>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</si>
  <si>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</si>
  <si>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</si>
  <si>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</si>
  <si>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</si>
  <si>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</si>
  <si>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</si>
  <si>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</si>
  <si>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</si>
  <si>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</si>
  <si>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</si>
  <si>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</si>
  <si>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</si>
  <si>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</si>
  <si>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</si>
  <si>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</si>
  <si>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</si>
  <si>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</si>
  <si>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</si>
  <si>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</si>
  <si>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</si>
  <si>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</si>
  <si>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</si>
  <si>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</si>
  <si>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</si>
  <si>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</si>
  <si>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</si>
  <si>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</si>
  <si>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</si>
  <si>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</si>
  <si>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</si>
  <si>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</si>
  <si>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</si>
  <si>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</si>
  <si>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</si>
  <si>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</si>
  <si>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</si>
  <si>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</si>
  <si>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</si>
  <si>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</si>
  <si>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</si>
  <si>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</si>
  <si>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</si>
  <si>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</si>
  <si>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</si>
  <si>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</si>
  <si>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</si>
  <si>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</si>
  <si>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</si>
  <si>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</si>
  <si>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</si>
  <si>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</si>
  <si>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</si>
  <si>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</si>
  <si>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</si>
  <si>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</si>
  <si>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</si>
  <si>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</si>
  <si>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</si>
  <si>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</si>
  <si>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</si>
  <si>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</si>
  <si>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</si>
  <si>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</si>
  <si>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</si>
  <si>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</si>
  <si>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</si>
  <si>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</si>
  <si>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</si>
  <si>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</si>
  <si>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</si>
  <si>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</si>
  <si>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</si>
  <si>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</si>
  <si>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</si>
  <si>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</si>
  <si>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</si>
  <si>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</si>
  <si>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</si>
  <si>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</si>
  <si>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</si>
  <si>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</si>
  <si>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</si>
  <si>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</si>
  <si>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</si>
  <si>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</si>
  <si>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</si>
  <si>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</si>
  <si>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</si>
  <si>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</si>
  <si>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</si>
  <si>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</si>
  <si>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</si>
  <si>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</si>
  <si>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</si>
  <si>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</si>
  <si>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</si>
  <si>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</si>
  <si>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</si>
  <si>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</si>
  <si>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</si>
  <si>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</si>
  <si>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</si>
  <si>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</si>
  <si>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</si>
  <si>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</si>
  <si>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</si>
  <si>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</si>
  <si>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</si>
  <si>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</si>
  <si>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</si>
  <si>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</si>
  <si>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</si>
  <si>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</si>
  <si>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</si>
  <si>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</si>
  <si>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</si>
  <si>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</si>
  <si>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</si>
  <si>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</si>
  <si>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</si>
  <si>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</si>
  <si>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</si>
  <si>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</si>
  <si>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</si>
  <si>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</si>
  <si>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</si>
  <si>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</si>
  <si>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</si>
  <si>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</si>
  <si>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</si>
  <si>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</si>
  <si>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</si>
  <si>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</si>
  <si>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</si>
  <si>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</si>
  <si>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</si>
  <si>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</si>
  <si>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</si>
  <si>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</si>
  <si>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</si>
  <si>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</si>
  <si>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</si>
  <si>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</si>
  <si>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</si>
  <si>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</si>
  <si>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</si>
  <si>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</si>
  <si>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</si>
  <si>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</si>
  <si>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</si>
  <si>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</si>
  <si>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</si>
  <si>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</si>
  <si>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</si>
  <si>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</si>
  <si>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</si>
  <si>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</si>
  <si>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</si>
  <si>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</si>
  <si>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</si>
  <si>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</si>
  <si>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</si>
  <si>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</si>
  <si>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</si>
  <si>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</si>
  <si>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</si>
  <si>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</si>
  <si>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</si>
  <si>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</si>
  <si>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</si>
  <si>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</si>
  <si>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</si>
  <si>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</si>
  <si>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</si>
  <si>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</si>
  <si>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</si>
  <si>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</si>
  <si>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</si>
  <si>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</si>
  <si>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</si>
  <si>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</si>
  <si>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</si>
  <si>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</si>
  <si>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</si>
  <si>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</si>
  <si>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</si>
  <si>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</si>
  <si>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</si>
  <si>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</si>
  <si>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</si>
  <si>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</si>
  <si>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</si>
  <si>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</si>
  <si>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</si>
  <si>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</si>
  <si>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</si>
  <si>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</si>
  <si>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</si>
  <si>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</si>
  <si>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</si>
  <si>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</si>
  <si>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</si>
  <si>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</si>
  <si>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</si>
  <si>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</si>
  <si>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</si>
  <si>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</si>
  <si>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</si>
  <si>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</si>
  <si>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</si>
  <si>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</si>
  <si>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</si>
  <si>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</si>
  <si>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</si>
  <si>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</si>
  <si>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</si>
  <si>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</si>
  <si>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</si>
  <si>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</si>
  <si>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</si>
  <si>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</si>
  <si>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</si>
  <si>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</si>
  <si>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</si>
  <si>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</si>
  <si>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</si>
  <si>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</si>
  <si>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</si>
  <si>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</si>
  <si>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</si>
  <si>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</si>
  <si>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</si>
  <si>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</si>
  <si>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</si>
  <si>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</si>
  <si>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</si>
  <si>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</si>
  <si>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</si>
  <si>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</si>
  <si>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</si>
  <si>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</si>
  <si>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</si>
  <si>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</si>
  <si>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</si>
  <si>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</si>
  <si>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</si>
  <si>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</si>
  <si>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</si>
  <si>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</si>
  <si>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</si>
  <si>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</si>
  <si>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</si>
  <si>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</si>
  <si>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</si>
  <si>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</si>
  <si>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</si>
  <si>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</si>
  <si>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</si>
  <si>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</si>
  <si>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</si>
  <si>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</si>
  <si>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</si>
  <si>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</si>
  <si>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</si>
  <si>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</si>
  <si>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</si>
  <si>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</si>
  <si>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</si>
  <si>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</si>
  <si>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</si>
  <si>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</si>
  <si>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</si>
  <si>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</si>
  <si>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</si>
  <si>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</si>
  <si>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</si>
  <si>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</si>
  <si>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</si>
  <si>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</si>
  <si>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</si>
  <si>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</si>
  <si>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</si>
  <si>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</si>
  <si>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</si>
  <si>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</si>
  <si>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</si>
  <si>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</si>
  <si>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</si>
  <si>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</si>
  <si>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</si>
  <si>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</si>
  <si>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</si>
  <si>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</si>
  <si>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</si>
  <si>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</si>
  <si>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</si>
  <si>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</si>
  <si>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</si>
  <si>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</si>
  <si>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</si>
  <si>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</si>
  <si>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</si>
  <si>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</si>
  <si>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</si>
  <si>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</si>
  <si>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</si>
  <si>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</si>
  <si>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</si>
  <si>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</si>
  <si>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</si>
  <si>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</si>
  <si>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</si>
  <si>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</si>
  <si>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</si>
  <si>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</si>
  <si>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</si>
  <si>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</si>
  <si>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</si>
  <si>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</si>
  <si>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</si>
  <si>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</si>
  <si>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</si>
  <si>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</si>
  <si>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</si>
  <si>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</si>
  <si>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</si>
  <si>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</si>
  <si>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</si>
  <si>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</si>
  <si>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</si>
  <si>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</si>
  <si>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</si>
  <si>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</si>
  <si>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</si>
  <si>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</si>
  <si>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</si>
  <si>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</si>
  <si>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</si>
  <si>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</si>
  <si>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</si>
  <si>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</si>
  <si>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</si>
  <si>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</si>
  <si>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</si>
  <si>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</si>
  <si>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</si>
  <si>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</si>
  <si>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</si>
  <si>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</si>
  <si>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</si>
  <si>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</si>
  <si>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</si>
  <si>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</si>
  <si>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</si>
  <si>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</si>
  <si>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</si>
  <si>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</si>
  <si>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</si>
  <si>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</si>
  <si>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</si>
  <si>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</si>
  <si>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</si>
  <si>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</si>
  <si>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</si>
  <si>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</si>
  <si>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</si>
  <si>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</si>
  <si>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</si>
  <si>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</si>
  <si>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</si>
  <si>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</si>
  <si>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</si>
  <si>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</si>
  <si>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</si>
  <si>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</si>
  <si>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</si>
  <si>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</si>
  <si>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</si>
  <si>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</si>
  <si>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</si>
  <si>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</si>
  <si>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</si>
  <si>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</si>
  <si>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</si>
  <si>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</si>
  <si>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</si>
  <si>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</si>
  <si>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</si>
  <si>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</si>
  <si>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</si>
  <si>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</si>
  <si>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</si>
  <si>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</si>
  <si>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</si>
  <si>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</si>
  <si>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</si>
  <si>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</si>
  <si>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</si>
  <si>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</si>
  <si>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</si>
  <si>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</si>
  <si>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</si>
  <si>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</si>
  <si>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</si>
  <si>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</si>
  <si>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</si>
  <si>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</si>
  <si>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</si>
  <si>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</si>
  <si>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</si>
  <si>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</si>
  <si>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</si>
  <si>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</si>
  <si>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</si>
  <si>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</si>
  <si>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</si>
  <si>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</si>
  <si>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</si>
  <si>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</si>
  <si>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</si>
  <si>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</si>
  <si>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</si>
  <si>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</si>
  <si>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</si>
  <si>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</si>
  <si>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</si>
  <si>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</si>
  <si>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</si>
  <si>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</si>
  <si>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</si>
  <si>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</si>
  <si>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</si>
  <si>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</si>
  <si>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</si>
  <si>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</si>
  <si>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</si>
  <si>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</si>
  <si>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</si>
  <si>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</si>
  <si>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</si>
  <si>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</si>
  <si>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</si>
  <si>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</si>
  <si>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</si>
  <si>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</si>
  <si>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</si>
  <si>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</si>
  <si>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</si>
  <si>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</si>
  <si>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</si>
  <si>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</si>
  <si>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</si>
  <si>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</si>
  <si>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</si>
  <si>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</si>
  <si>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</si>
  <si>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</si>
  <si>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</si>
  <si>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</si>
  <si>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</si>
  <si>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</si>
  <si>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</si>
  <si>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</si>
  <si>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</si>
  <si>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</si>
  <si>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</si>
  <si>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</si>
  <si>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</si>
  <si>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</si>
  <si>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</si>
  <si>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</si>
  <si>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</si>
  <si>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</si>
  <si>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</si>
  <si>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</si>
  <si>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</si>
  <si>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</si>
  <si>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</si>
  <si>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</si>
  <si>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</si>
  <si>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</si>
  <si>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</si>
  <si>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</si>
  <si>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</si>
  <si>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</si>
  <si>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</si>
  <si>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</si>
  <si>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</si>
  <si>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</si>
  <si>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</si>
  <si>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</si>
  <si>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</si>
  <si>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</si>
  <si>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</si>
  <si>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</si>
  <si>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</si>
  <si>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</si>
  <si>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</si>
  <si>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</si>
  <si>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</si>
  <si>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</si>
  <si>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</si>
  <si>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</si>
  <si>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</si>
  <si>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</si>
  <si>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</si>
  <si>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</si>
  <si>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</si>
  <si>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</si>
  <si>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</si>
  <si>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</si>
  <si>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</si>
  <si>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</si>
  <si>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</si>
  <si>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</si>
  <si>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</si>
  <si>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</si>
  <si>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</si>
  <si>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</si>
  <si>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</si>
  <si>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</si>
  <si>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</si>
  <si>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</si>
  <si>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</si>
  <si>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</si>
  <si>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</si>
  <si>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</si>
  <si>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</si>
  <si>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</si>
  <si>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</si>
  <si>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</si>
  <si>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</si>
  <si>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</si>
  <si>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</si>
  <si>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</si>
  <si>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</si>
  <si>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</si>
  <si>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</si>
  <si>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</si>
  <si>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</si>
  <si>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</si>
  <si>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</si>
  <si>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</si>
  <si>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</si>
  <si>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</si>
  <si>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</si>
  <si>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</si>
  <si>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</si>
  <si>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</si>
  <si>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</si>
  <si>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</si>
  <si>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</si>
  <si>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</si>
  <si>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</si>
  <si>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</si>
  <si>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</si>
  <si>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</si>
  <si>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</si>
  <si>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</si>
  <si>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</si>
  <si>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</si>
  <si>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</si>
  <si>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</si>
  <si>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</si>
  <si>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</si>
  <si>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</si>
  <si>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</si>
  <si>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</si>
  <si>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</si>
  <si>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</si>
  <si>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</si>
  <si>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</si>
  <si>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</si>
  <si>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</si>
  <si>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</si>
  <si>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</si>
  <si>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</si>
  <si>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</si>
  <si>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</si>
  <si>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</si>
  <si>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</si>
  <si>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</si>
  <si>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</si>
  <si>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</si>
  <si>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</si>
  <si>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</si>
  <si>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</si>
  <si>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</si>
  <si>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</si>
  <si>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</si>
  <si>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</si>
  <si>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</si>
  <si>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</si>
  <si>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</si>
  <si>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</si>
  <si>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</si>
  <si>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</si>
  <si>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</si>
  <si>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</si>
  <si>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</si>
  <si>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</si>
  <si>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</si>
  <si>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</si>
  <si>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</si>
  <si>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</si>
  <si>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</si>
  <si>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</si>
  <si>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</si>
  <si>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</si>
  <si>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</si>
  <si>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</si>
  <si>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</si>
  <si>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</si>
  <si>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</si>
  <si>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</si>
  <si>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</si>
  <si>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</si>
  <si>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</si>
  <si>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</si>
  <si>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</si>
  <si>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</si>
  <si>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</si>
  <si>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</si>
  <si>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</si>
  <si>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</si>
  <si>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</si>
  <si>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</si>
  <si>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</si>
  <si>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</si>
  <si>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</si>
  <si>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</si>
  <si>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</si>
  <si>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</si>
  <si>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</si>
  <si>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</si>
  <si>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</si>
  <si>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</si>
  <si>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</si>
  <si>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</si>
  <si>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</si>
  <si>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</si>
  <si>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</si>
  <si>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</si>
  <si>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</si>
  <si>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</si>
  <si>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</si>
  <si>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</si>
  <si>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</si>
  <si>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</si>
  <si>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</si>
  <si>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</si>
  <si>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</si>
  <si>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</si>
  <si>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</si>
  <si>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</si>
  <si>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</si>
  <si>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</si>
  <si>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</si>
  <si>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</si>
  <si>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</si>
  <si>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</si>
  <si>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</si>
  <si>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</si>
  <si>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</si>
  <si>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</si>
  <si>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</si>
  <si>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</si>
  <si>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</si>
  <si>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</si>
  <si>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</si>
  <si>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</si>
  <si>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</si>
  <si>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</si>
  <si>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</si>
  <si>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</si>
  <si>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</si>
  <si>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</si>
  <si>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</si>
  <si>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</si>
  <si>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</si>
  <si>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</si>
  <si>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</si>
  <si>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</si>
  <si>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</si>
  <si>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</si>
  <si>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</si>
  <si>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</si>
  <si>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</si>
  <si>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</si>
  <si>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</si>
  <si>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</si>
  <si>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</si>
  <si>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</si>
  <si>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</si>
  <si>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</si>
  <si>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</si>
  <si>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</si>
  <si>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</si>
  <si>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</si>
  <si>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</si>
  <si>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</si>
  <si>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</si>
  <si>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</si>
  <si>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</si>
  <si>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</si>
  <si>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</si>
  <si>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</si>
  <si>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</si>
  <si>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</si>
  <si>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</si>
  <si>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</si>
  <si>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</si>
  <si>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</si>
  <si>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</si>
  <si>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</si>
  <si>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</si>
  <si>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</si>
  <si>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</si>
  <si>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</si>
  <si>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</si>
  <si>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</si>
  <si>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</si>
  <si>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</si>
  <si>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</si>
  <si>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</si>
  <si>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</si>
  <si>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</si>
  <si>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</si>
  <si>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</si>
  <si>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</si>
  <si>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</si>
  <si>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</si>
  <si>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</si>
  <si>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</si>
  <si>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</si>
  <si>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</si>
  <si>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</si>
  <si>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</si>
  <si>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</si>
  <si>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</si>
  <si>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</si>
  <si>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</si>
  <si>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</si>
  <si>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</si>
  <si>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</si>
  <si>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</si>
  <si>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</si>
  <si>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</si>
  <si>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</si>
  <si>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</si>
  <si>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</si>
  <si>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</si>
  <si>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</si>
  <si>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</si>
  <si>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</si>
  <si>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</si>
  <si>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</si>
  <si>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</si>
  <si>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</si>
  <si>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</si>
  <si>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</si>
  <si>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</si>
  <si>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</si>
  <si>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</si>
  <si>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</si>
  <si>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</si>
  <si>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</si>
  <si>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</si>
  <si>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</si>
  <si>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</si>
  <si>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</si>
  <si>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</si>
  <si>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</si>
  <si>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</si>
  <si>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</si>
  <si>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</si>
  <si>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</si>
  <si>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</si>
  <si>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</si>
  <si>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</si>
  <si>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</si>
  <si>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</si>
  <si>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</si>
  <si>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</si>
  <si>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</si>
  <si>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</si>
  <si>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</si>
  <si>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</si>
  <si>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</si>
  <si>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</si>
  <si>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</si>
  <si>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</si>
  <si>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</si>
  <si>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</si>
  <si>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</si>
  <si>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</si>
  <si>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</si>
  <si>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</si>
  <si>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</si>
  <si>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</si>
  <si>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</si>
  <si>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</si>
  <si>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</si>
  <si>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</si>
  <si>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</si>
  <si>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</si>
  <si>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</si>
  <si>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</si>
  <si>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</si>
  <si>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</si>
  <si>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</si>
  <si>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</si>
  <si>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</si>
  <si>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</si>
  <si>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</si>
  <si>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</si>
  <si>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</si>
  <si>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</si>
  <si>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</si>
  <si>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</si>
  <si>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</si>
  <si>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</si>
  <si>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</si>
  <si>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</si>
  <si>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</si>
  <si>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</si>
  <si>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</si>
  <si>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</si>
  <si>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</si>
  <si>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</si>
  <si>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</si>
  <si>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</si>
  <si>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</si>
  <si>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</si>
  <si>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</si>
  <si>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</si>
  <si>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</si>
  <si>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</si>
  <si>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</si>
  <si>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</si>
  <si>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</si>
  <si>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</si>
  <si>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</si>
  <si>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</si>
  <si>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</si>
  <si>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</si>
  <si>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</si>
  <si>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</si>
  <si>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</si>
  <si>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</si>
  <si>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</si>
  <si>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</si>
  <si>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</si>
  <si>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</si>
  <si>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</si>
  <si>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</si>
  <si>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</si>
  <si>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</si>
  <si>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</si>
  <si>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</si>
  <si>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</si>
  <si>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</si>
  <si>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</si>
  <si>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</si>
  <si>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</si>
  <si>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</si>
  <si>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</si>
  <si>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</si>
  <si>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</si>
  <si>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</si>
  <si>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</si>
  <si>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</si>
  <si>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</si>
  <si>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</si>
  <si>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</si>
  <si>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</si>
  <si>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</si>
  <si>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</si>
  <si>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</si>
  <si>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</si>
  <si>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</si>
  <si>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</si>
  <si>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</si>
  <si>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</si>
  <si>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</si>
  <si>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</si>
  <si>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</si>
  <si>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</si>
  <si>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</si>
  <si>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</si>
  <si>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</si>
  <si>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</si>
  <si>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</si>
  <si>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</si>
  <si>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</si>
  <si>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</si>
  <si>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</si>
  <si>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</si>
  <si>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</si>
  <si>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</si>
  <si>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</si>
  <si>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</si>
  <si>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</si>
  <si>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</si>
  <si>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</si>
  <si>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</si>
  <si>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</si>
  <si>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</si>
  <si>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</si>
  <si>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</si>
  <si>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</si>
  <si>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</si>
  <si>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</si>
  <si>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</si>
  <si>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</si>
  <si>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</si>
  <si>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</si>
  <si>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</si>
  <si>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</si>
  <si>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</si>
  <si>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</si>
  <si>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</si>
  <si>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</si>
  <si>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</si>
  <si>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</si>
  <si>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</si>
  <si>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</si>
  <si>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</si>
  <si>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</si>
  <si>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</si>
  <si>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</si>
  <si>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</si>
  <si>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</si>
  <si>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</si>
  <si>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</si>
  <si>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</si>
  <si>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</si>
  <si>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</si>
  <si>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</si>
  <si>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</si>
  <si>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</si>
  <si>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</si>
  <si>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</si>
  <si>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</si>
  <si>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</si>
  <si>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</si>
  <si>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</si>
  <si>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</si>
  <si>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</si>
  <si>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</si>
  <si>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</si>
  <si>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</si>
  <si>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</si>
  <si>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</si>
  <si>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</si>
  <si>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</si>
  <si>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</si>
  <si>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</si>
  <si>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</si>
  <si>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</si>
  <si>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</si>
  <si>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</si>
  <si>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</si>
  <si>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</si>
  <si>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</si>
  <si>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</si>
  <si>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</si>
  <si>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</si>
  <si>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</si>
  <si>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</si>
  <si>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</si>
  <si>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</si>
  <si>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</si>
  <si>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</si>
  <si>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</si>
  <si>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</si>
  <si>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</si>
  <si>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</si>
  <si>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</si>
  <si>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</si>
  <si>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</si>
  <si>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</si>
  <si>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</si>
  <si>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</si>
  <si>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</si>
  <si>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</si>
  <si>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</si>
  <si>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</si>
  <si>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</si>
  <si>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</si>
  <si>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</si>
  <si>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</si>
  <si>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</si>
  <si>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</si>
  <si>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</si>
  <si>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</si>
  <si>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</si>
  <si>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</si>
  <si>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</si>
  <si>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</si>
  <si>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</si>
  <si>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</si>
  <si>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</si>
  <si>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</si>
  <si>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</si>
  <si>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</si>
  <si>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</si>
  <si>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</si>
  <si>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</si>
  <si>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</si>
  <si>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</si>
  <si>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</si>
  <si>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</si>
  <si>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</si>
  <si>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</si>
  <si>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</si>
  <si>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</si>
  <si>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</si>
  <si>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</si>
  <si>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</si>
  <si>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</si>
  <si>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</si>
  <si>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</si>
  <si>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</si>
  <si>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</si>
  <si>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</si>
  <si>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</si>
  <si>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</si>
  <si>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</si>
  <si>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</si>
  <si>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</si>
  <si>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</si>
  <si>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</si>
  <si>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</si>
  <si>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</si>
  <si>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</si>
  <si>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</si>
  <si>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</si>
  <si>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</si>
  <si>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</si>
  <si>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</si>
  <si>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</si>
  <si>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</si>
  <si>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</si>
  <si>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</si>
  <si>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</si>
  <si>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</si>
  <si>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</si>
  <si>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</si>
  <si>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</si>
  <si>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</si>
  <si>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</si>
  <si>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</si>
  <si>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</si>
  <si>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</si>
  <si>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</si>
  <si>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</si>
  <si>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</si>
  <si>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</si>
  <si>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</si>
  <si>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</si>
  <si>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</si>
  <si>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</si>
  <si>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</si>
  <si>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</si>
  <si>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</si>
  <si>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</si>
  <si>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</si>
  <si>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</si>
  <si>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</si>
  <si>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</si>
  <si>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</si>
  <si>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</si>
  <si>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</si>
  <si>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</si>
  <si>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</si>
  <si>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</si>
  <si>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</si>
  <si>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</si>
  <si>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</si>
  <si>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</si>
  <si>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</si>
  <si>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</si>
  <si>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</si>
  <si>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</si>
  <si>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</si>
  <si>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</si>
  <si>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</si>
  <si>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</si>
  <si>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</si>
  <si>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</si>
  <si>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</si>
  <si>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</si>
  <si>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</si>
  <si>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</si>
  <si>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</si>
  <si>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</si>
  <si>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</si>
  <si>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</si>
  <si>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</si>
  <si>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</si>
  <si>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</si>
  <si>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</si>
  <si>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</si>
  <si>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</si>
  <si>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</si>
  <si>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</si>
  <si>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</si>
  <si>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</si>
  <si>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</si>
  <si>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</si>
  <si>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</si>
  <si>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</si>
  <si>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</si>
  <si>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</si>
  <si>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</si>
  <si>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</si>
  <si>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</si>
  <si>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</si>
  <si>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</si>
  <si>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</si>
  <si>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</si>
  <si>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</si>
  <si>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</si>
  <si>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</si>
  <si>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</si>
  <si>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</si>
  <si>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</si>
  <si>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</si>
  <si>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</si>
  <si>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</si>
  <si>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</si>
  <si>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</si>
  <si>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</si>
  <si>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</si>
  <si>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</si>
  <si>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</si>
  <si>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</si>
  <si>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</si>
  <si>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</si>
  <si>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</si>
  <si>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</si>
  <si>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</si>
  <si>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</si>
  <si>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</si>
  <si>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</si>
  <si>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</si>
  <si>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</si>
  <si>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</si>
  <si>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</si>
  <si>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</si>
  <si>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</si>
  <si>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</si>
  <si>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</si>
  <si>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</si>
  <si>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</si>
  <si>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</si>
  <si>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</si>
  <si>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</si>
  <si>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</si>
  <si>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</si>
  <si>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</si>
  <si>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</si>
  <si>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</si>
  <si>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</si>
  <si>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</si>
  <si>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</si>
  <si>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</si>
  <si>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</si>
  <si>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</si>
  <si>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</si>
  <si>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</si>
  <si>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</si>
  <si>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</si>
  <si>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</si>
  <si>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</si>
  <si>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</si>
  <si>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</si>
  <si>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</si>
  <si>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</si>
  <si>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</si>
  <si>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</si>
  <si>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</si>
  <si>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</si>
  <si>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</si>
  <si>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</si>
  <si>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</si>
  <si>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</si>
  <si>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</si>
  <si>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</si>
  <si>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</si>
  <si>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</si>
  <si>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</si>
  <si>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</si>
  <si>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</si>
  <si>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</si>
  <si>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</si>
  <si>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</si>
  <si>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</si>
  <si>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</si>
  <si>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</si>
  <si>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</si>
  <si>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</si>
  <si>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</si>
  <si>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</si>
  <si>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</si>
  <si>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</si>
  <si>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</si>
  <si>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</si>
  <si>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</si>
  <si>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</si>
  <si>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</si>
  <si>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</si>
  <si>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</si>
  <si>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</si>
  <si>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</si>
  <si>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</si>
  <si>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</si>
  <si>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</si>
  <si>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</si>
  <si>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</si>
  <si>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</si>
  <si>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</si>
  <si>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</si>
  <si>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</si>
  <si>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</si>
  <si>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</si>
  <si>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</si>
  <si>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</si>
  <si>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</si>
  <si>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</si>
  <si>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</si>
  <si>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</si>
  <si>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</si>
  <si>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</si>
  <si>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</si>
  <si>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</si>
  <si>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</si>
  <si>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</si>
  <si>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</si>
  <si>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</si>
  <si>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</si>
  <si>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</si>
  <si>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</si>
  <si>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</si>
  <si>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</si>
  <si>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</si>
  <si>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</si>
  <si>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</si>
  <si>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</si>
  <si>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</si>
  <si>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</si>
  <si>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</si>
  <si>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</si>
  <si>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</si>
  <si>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</si>
  <si>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</si>
  <si>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</si>
  <si>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</si>
  <si>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</si>
  <si>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</si>
  <si>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</si>
  <si>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</si>
  <si>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</si>
  <si>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</si>
  <si>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</si>
  <si>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</si>
  <si>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</si>
  <si>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</si>
  <si>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</si>
  <si>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</si>
  <si>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</si>
  <si>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</si>
  <si>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</si>
  <si>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</si>
  <si>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</si>
  <si>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</si>
  <si>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</si>
  <si>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</si>
  <si>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</si>
  <si>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</si>
  <si>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</si>
  <si>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</si>
  <si>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</si>
  <si>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</si>
  <si>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</si>
  <si>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</si>
  <si>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</si>
  <si>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</si>
  <si>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</si>
  <si>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</si>
  <si>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</si>
  <si>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</si>
  <si>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</si>
  <si>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</si>
  <si>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</si>
  <si>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</si>
  <si>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</si>
  <si>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</si>
  <si>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</si>
  <si>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</si>
  <si>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</si>
  <si>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</si>
  <si>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</si>
  <si>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</si>
  <si>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</si>
  <si>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</si>
  <si>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</si>
  <si>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</si>
  <si>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</si>
  <si>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</si>
  <si>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</si>
  <si>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</si>
  <si>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</si>
  <si>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</si>
  <si>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</si>
  <si>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</si>
  <si>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</si>
  <si>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</si>
  <si>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</si>
  <si>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</si>
  <si>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</si>
  <si>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</si>
  <si>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</si>
  <si>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</si>
  <si>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</si>
  <si>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</si>
  <si>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</si>
  <si>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</si>
  <si>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</si>
  <si>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</si>
  <si>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</si>
  <si>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</si>
  <si>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</si>
  <si>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</si>
  <si>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</si>
  <si>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</si>
  <si>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</si>
  <si>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</si>
  <si>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</si>
  <si>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</si>
  <si>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</si>
  <si>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</si>
  <si>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</si>
  <si>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</si>
  <si>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</si>
  <si>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</si>
  <si>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</si>
  <si>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</si>
  <si>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</si>
  <si>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</si>
  <si>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</si>
  <si>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</si>
  <si>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</si>
  <si>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</si>
  <si>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</si>
  <si>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</si>
  <si>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</si>
  <si>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</si>
  <si>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</si>
  <si>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</si>
  <si>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</si>
  <si>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</si>
  <si>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</si>
  <si>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</si>
  <si>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</si>
  <si>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</si>
  <si>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</si>
  <si>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</si>
  <si>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</si>
  <si>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</si>
  <si>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</si>
  <si>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</si>
  <si>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</si>
  <si>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</si>
  <si>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</si>
  <si>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</si>
  <si>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</si>
  <si>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</si>
  <si>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</si>
  <si>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</si>
  <si>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</si>
  <si>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</si>
  <si>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</si>
  <si>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</si>
  <si>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</si>
  <si>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</si>
  <si>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</si>
  <si>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</si>
  <si>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</si>
  <si>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</si>
  <si>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</si>
  <si>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</si>
  <si>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</si>
  <si>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</si>
  <si>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</si>
  <si>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</si>
  <si>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</si>
  <si>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</si>
  <si>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</si>
  <si>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</si>
  <si>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</si>
  <si>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</si>
  <si>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</si>
  <si>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</si>
  <si>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</si>
  <si>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</si>
  <si>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</si>
  <si>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</si>
  <si>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</si>
  <si>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</si>
  <si>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</si>
  <si>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</si>
  <si>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</si>
  <si>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</si>
  <si>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</si>
  <si>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</si>
  <si>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</si>
  <si>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</si>
  <si>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</si>
  <si>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</si>
  <si>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</si>
  <si>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</si>
  <si>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</si>
  <si>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</si>
  <si>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</si>
  <si>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</si>
  <si>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</si>
  <si>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</si>
  <si>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</si>
  <si>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</si>
  <si>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</si>
  <si>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</si>
  <si>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</si>
  <si>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</si>
  <si>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</si>
  <si>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</si>
  <si>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</si>
  <si>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</si>
  <si>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</si>
  <si>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</si>
  <si>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</si>
  <si>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</si>
  <si>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</si>
  <si>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</si>
  <si>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</si>
  <si>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</si>
  <si>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</si>
  <si>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</si>
  <si>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</si>
  <si>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</si>
  <si>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</si>
  <si>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</si>
  <si>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</si>
  <si>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</si>
  <si>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</si>
  <si>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</si>
  <si>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</si>
  <si>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</si>
  <si>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</si>
  <si>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</si>
  <si>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</si>
  <si>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</si>
  <si>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</si>
  <si>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</si>
  <si>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</si>
  <si>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</si>
  <si>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</si>
  <si>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</si>
  <si>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</si>
  <si>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</si>
  <si>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</si>
  <si>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</si>
  <si>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</si>
  <si>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</si>
  <si>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</si>
  <si>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</si>
  <si>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</si>
  <si>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</si>
  <si>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</si>
  <si>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</si>
  <si>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</si>
  <si>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</si>
  <si>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</si>
  <si>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</si>
  <si>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</si>
  <si>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</si>
  <si>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</si>
  <si>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</si>
  <si>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</si>
  <si>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</si>
  <si>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</si>
  <si>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</si>
  <si>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</si>
  <si>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</si>
  <si>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</si>
  <si>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</si>
  <si>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</si>
  <si>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</si>
  <si>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</si>
  <si>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</si>
  <si>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</si>
  <si>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</si>
  <si>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</si>
  <si>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</si>
  <si>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</si>
  <si>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</si>
  <si>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</si>
  <si>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</si>
  <si>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</si>
  <si>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</si>
  <si>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</si>
  <si>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</si>
  <si>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</si>
  <si>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</si>
  <si>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</si>
  <si>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</si>
  <si>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</si>
  <si>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</si>
  <si>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</si>
  <si>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</si>
  <si>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</si>
  <si>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</si>
  <si>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</si>
  <si>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</si>
  <si>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</si>
  <si>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</si>
  <si>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</si>
  <si>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</si>
  <si>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</si>
  <si>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</si>
  <si>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</si>
  <si>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</si>
  <si>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</si>
  <si>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</si>
  <si>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</si>
  <si>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</si>
  <si>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</si>
  <si>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</si>
  <si>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</si>
  <si>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</si>
  <si>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</si>
  <si>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</si>
  <si>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</si>
  <si>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</si>
  <si>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</si>
  <si>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</si>
  <si>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</si>
  <si>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</si>
  <si>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</si>
  <si>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</si>
  <si>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</si>
  <si>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</si>
  <si>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</si>
  <si>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</si>
  <si>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</si>
  <si>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</si>
  <si>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</si>
  <si>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</si>
  <si>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</si>
  <si>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</si>
  <si>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</si>
  <si>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</si>
  <si>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</si>
  <si>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</si>
  <si>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</si>
  <si>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</si>
  <si>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</si>
  <si>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</si>
  <si>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</si>
  <si>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</si>
  <si>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</si>
  <si>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</si>
  <si>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</si>
  <si>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</si>
  <si>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</si>
  <si>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</si>
  <si>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</si>
  <si>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</si>
  <si>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</si>
  <si>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</si>
  <si>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</si>
  <si>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</si>
  <si>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</si>
  <si>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</si>
  <si>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</si>
  <si>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</si>
  <si>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</si>
  <si>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</si>
  <si>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</si>
  <si>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</si>
  <si>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</si>
  <si>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</si>
  <si>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</si>
  <si>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</si>
  <si>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</si>
  <si>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</si>
  <si>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</si>
  <si>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</si>
  <si>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</si>
  <si>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</si>
  <si>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</si>
  <si>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</si>
  <si>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</si>
  <si>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</si>
  <si>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</si>
  <si>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</si>
  <si>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</si>
  <si>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</si>
  <si>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</si>
  <si>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</si>
  <si>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</si>
  <si>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</si>
  <si>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</si>
  <si>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</si>
  <si>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</si>
  <si>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</si>
  <si>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</si>
  <si>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</si>
  <si>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</si>
  <si>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</si>
  <si>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</si>
  <si>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</si>
  <si>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</si>
  <si>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</si>
  <si>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</si>
  <si>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</si>
  <si>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</si>
  <si>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</si>
  <si>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</si>
  <si>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</si>
  <si>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</si>
  <si>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</si>
  <si>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</si>
  <si>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</si>
  <si>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</si>
  <si>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</si>
  <si>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</si>
  <si>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</si>
  <si>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</si>
  <si>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</si>
  <si>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</si>
  <si>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</si>
  <si>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</si>
  <si>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</si>
  <si>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</si>
  <si>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</si>
  <si>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</si>
  <si>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</si>
  <si>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</si>
  <si>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</si>
  <si>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</si>
  <si>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</si>
  <si>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</si>
  <si>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</si>
  <si>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</si>
  <si>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</si>
  <si>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</si>
  <si>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</si>
  <si>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</si>
  <si>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</si>
  <si>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</si>
  <si>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</si>
  <si>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</si>
  <si>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</si>
  <si>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</si>
  <si>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</si>
  <si>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</si>
  <si>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</si>
  <si>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</si>
  <si>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</si>
  <si>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</si>
  <si>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</si>
  <si>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</si>
  <si>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</si>
  <si>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</si>
  <si>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</si>
  <si>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</si>
  <si>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</si>
  <si>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</si>
  <si>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</si>
  <si>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</si>
  <si>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</si>
  <si>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</si>
  <si>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</si>
  <si>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</si>
  <si>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</si>
  <si>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</si>
  <si>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</si>
  <si>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</si>
  <si>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</si>
  <si>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</si>
  <si>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</si>
  <si>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</si>
  <si>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</si>
  <si>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</si>
  <si>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</si>
  <si>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</si>
  <si>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</si>
  <si>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</si>
  <si>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</si>
  <si>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</si>
  <si>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</si>
  <si>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</si>
  <si>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</si>
  <si>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</si>
  <si>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</si>
  <si>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</si>
  <si>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</si>
  <si>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</si>
  <si>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</si>
  <si>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</si>
  <si>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</si>
  <si>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</si>
  <si>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</si>
  <si>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</si>
  <si>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</si>
  <si>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</si>
  <si>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</si>
  <si>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</si>
  <si>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</si>
  <si>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</si>
  <si>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</si>
  <si>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</si>
  <si>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</si>
  <si>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</si>
  <si>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</si>
  <si>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</si>
  <si>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</si>
  <si>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</si>
  <si>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</si>
  <si>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</si>
  <si>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</si>
  <si>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</si>
  <si>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</si>
  <si>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</si>
  <si>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</si>
  <si>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</si>
  <si>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</si>
  <si>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</si>
  <si>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</si>
  <si>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</si>
  <si>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</si>
  <si>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</si>
  <si>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</si>
  <si>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</si>
  <si>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</si>
  <si>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</si>
  <si>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</si>
  <si>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</si>
  <si>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</si>
  <si>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</si>
  <si>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</si>
  <si>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</si>
  <si>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</si>
  <si>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</si>
  <si>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</si>
  <si>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</si>
  <si>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</si>
  <si>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</si>
  <si>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</si>
  <si>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</si>
  <si>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</si>
  <si>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</si>
  <si>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</si>
  <si>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</si>
  <si>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</si>
  <si>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</si>
  <si>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</si>
  <si>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</si>
  <si>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</si>
  <si>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</si>
  <si>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</si>
  <si>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</si>
  <si>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</si>
  <si>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</si>
  <si>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</si>
  <si>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</si>
  <si>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</si>
  <si>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</si>
  <si>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</si>
  <si>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</si>
  <si>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</si>
  <si>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</si>
  <si>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</si>
  <si>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</si>
  <si>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</si>
  <si>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</si>
  <si>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</si>
  <si>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</si>
  <si>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</si>
  <si>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</si>
  <si>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</si>
  <si>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</si>
  <si>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</si>
  <si>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</si>
  <si>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</si>
  <si>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</si>
  <si>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</si>
  <si>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</si>
  <si>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</si>
  <si>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</si>
  <si>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</si>
  <si>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</si>
  <si>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</si>
  <si>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</si>
  <si>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</si>
  <si>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</si>
  <si>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</si>
  <si>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</si>
  <si>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</si>
  <si>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</si>
  <si>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</si>
  <si>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</si>
  <si>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</si>
  <si>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</si>
  <si>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</si>
  <si>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</si>
  <si>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</si>
  <si>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</si>
  <si>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</si>
  <si>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</si>
  <si>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</si>
  <si>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</si>
  <si>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</si>
  <si>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</si>
  <si>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</si>
  <si>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</si>
  <si>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</si>
  <si>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</si>
  <si>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</si>
  <si>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</si>
  <si>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</si>
  <si>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</si>
  <si>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</si>
  <si>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</si>
  <si>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</si>
  <si>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</si>
  <si>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</si>
  <si>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</si>
  <si>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</si>
  <si>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</si>
  <si>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</si>
  <si>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</si>
  <si>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</si>
  <si>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</si>
  <si>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</si>
  <si>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</si>
  <si>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</si>
  <si>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</si>
  <si>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</si>
  <si>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</si>
  <si>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</si>
  <si>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</si>
  <si>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</si>
  <si>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</si>
  <si>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</si>
  <si>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</si>
  <si>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</si>
  <si>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</si>
  <si>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</si>
  <si>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</si>
  <si>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</si>
  <si>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</si>
  <si>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</si>
  <si>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</si>
  <si>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</si>
  <si>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</si>
  <si>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</si>
  <si>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</si>
  <si>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</si>
  <si>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</si>
  <si>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</si>
  <si>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</si>
  <si>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</si>
  <si>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</si>
  <si>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</si>
  <si>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</si>
  <si>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</si>
  <si>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</si>
  <si>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</si>
  <si>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</si>
  <si>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</si>
  <si>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</si>
  <si>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</si>
  <si>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</si>
  <si>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</si>
  <si>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</si>
  <si>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</si>
  <si>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</si>
  <si>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</si>
  <si>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</si>
  <si>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</si>
  <si>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</si>
  <si>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</si>
  <si>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</si>
  <si>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</si>
  <si>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</si>
  <si>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</si>
  <si>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</si>
  <si>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</si>
  <si>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</si>
  <si>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</si>
  <si>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</si>
  <si>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</si>
  <si>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</si>
  <si>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</si>
  <si>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</si>
  <si>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</si>
  <si>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</si>
  <si>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</si>
  <si>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</si>
  <si>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</si>
  <si>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</si>
  <si>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</si>
  <si>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</si>
  <si>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</si>
  <si>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</si>
  <si>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</si>
  <si>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</si>
  <si>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</si>
  <si>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</si>
  <si>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</si>
  <si>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</si>
  <si>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</si>
  <si>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</si>
  <si>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</si>
  <si>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</si>
  <si>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</si>
  <si>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</si>
  <si>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</si>
  <si>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</si>
  <si>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</si>
  <si>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</si>
  <si>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</si>
  <si>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</si>
  <si>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</si>
  <si>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</si>
  <si>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</si>
  <si>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</si>
  <si>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</si>
  <si>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</si>
  <si>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</si>
  <si>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</si>
  <si>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</si>
  <si>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</si>
  <si>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</si>
  <si>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</si>
  <si>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</si>
  <si>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</si>
  <si>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</si>
  <si>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</si>
  <si>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</si>
  <si>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</si>
  <si>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</si>
  <si>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</si>
  <si>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</si>
  <si>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</si>
  <si>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</si>
  <si>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</si>
  <si>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</si>
  <si>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</si>
  <si>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</si>
  <si>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</si>
  <si>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</si>
  <si>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</si>
  <si>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</si>
  <si>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</si>
  <si>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</si>
  <si>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</si>
  <si>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</si>
  <si>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</si>
  <si>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</si>
  <si>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</si>
  <si>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</si>
  <si>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</si>
  <si>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</si>
  <si>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</si>
  <si>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</si>
  <si>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</si>
  <si>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</si>
  <si>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</si>
  <si>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</si>
  <si>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</si>
  <si>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</si>
  <si>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</si>
  <si>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</si>
  <si>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</si>
  <si>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</si>
  <si>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</si>
  <si>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</si>
  <si>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</si>
  <si>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</si>
  <si>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</si>
  <si>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</si>
  <si>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</si>
  <si>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</si>
  <si>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</si>
  <si>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</si>
  <si>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</si>
  <si>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</si>
  <si>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</si>
  <si>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</si>
  <si>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</si>
  <si>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</si>
  <si>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</si>
  <si>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</si>
  <si>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</si>
  <si>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</si>
  <si>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</si>
  <si>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</si>
  <si>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</si>
  <si>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</si>
  <si>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</si>
  <si>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</si>
  <si>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</si>
  <si>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</si>
  <si>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</si>
  <si>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</si>
  <si>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</si>
  <si>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</si>
  <si>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</si>
  <si>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</si>
  <si>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</si>
  <si>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</si>
  <si>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</si>
  <si>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</si>
  <si>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</si>
  <si>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</si>
  <si>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</si>
  <si>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</si>
  <si>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</si>
  <si>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</si>
  <si>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</si>
  <si>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</si>
  <si>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</si>
  <si>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</si>
  <si>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</si>
  <si>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</si>
  <si>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</si>
  <si>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</si>
  <si>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</si>
  <si>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</si>
  <si>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</si>
  <si>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</si>
  <si>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</si>
  <si>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</si>
  <si>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</si>
  <si>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</si>
  <si>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</si>
  <si>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</si>
  <si>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</si>
  <si>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</si>
  <si>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</si>
  <si>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</si>
  <si>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</si>
  <si>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</si>
  <si>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</si>
  <si>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</si>
  <si>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</si>
  <si>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</si>
  <si>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</si>
  <si>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</si>
  <si>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</si>
  <si>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</si>
  <si>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</si>
  <si>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</si>
  <si>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</si>
  <si>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</si>
  <si>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</si>
  <si>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</si>
  <si>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</si>
  <si>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</si>
  <si>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</si>
  <si>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</si>
  <si>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</si>
  <si>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</si>
  <si>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</si>
  <si>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</si>
  <si>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</si>
  <si>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</si>
  <si>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</si>
  <si>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</si>
  <si>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</si>
  <si>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</si>
  <si>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</si>
  <si>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</si>
  <si>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</si>
  <si>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</si>
  <si>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</si>
  <si>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</si>
  <si>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</si>
  <si>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</si>
  <si>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</si>
  <si>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</si>
  <si>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</si>
  <si>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</si>
  <si>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</si>
  <si>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</si>
  <si>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</si>
  <si>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</si>
  <si>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</si>
  <si>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</si>
  <si>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</si>
  <si>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</si>
  <si>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</si>
  <si>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</si>
  <si>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</si>
  <si>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</si>
  <si>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</si>
  <si>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</si>
  <si>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</si>
  <si>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</si>
  <si>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</si>
  <si>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</si>
  <si>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</si>
  <si>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</si>
  <si>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</si>
  <si>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</si>
  <si>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</si>
  <si>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</si>
  <si>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</si>
  <si>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</si>
  <si>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</si>
  <si>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</si>
  <si>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</si>
  <si>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</si>
  <si>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</si>
  <si>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</si>
  <si>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</si>
  <si>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</si>
  <si>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</si>
  <si>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</si>
  <si>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</si>
  <si>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</si>
  <si>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</si>
  <si>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</si>
  <si>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</si>
  <si>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</si>
  <si>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</si>
  <si>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</si>
  <si>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</si>
  <si>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</si>
  <si>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</si>
  <si>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</si>
  <si>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</si>
  <si>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</si>
  <si>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</si>
  <si>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</si>
  <si>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</si>
  <si>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</si>
  <si>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</si>
  <si>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</si>
  <si>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</si>
  <si>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</si>
  <si>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</si>
  <si>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</si>
  <si>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</si>
  <si>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</si>
  <si>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</si>
  <si>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</si>
  <si>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</si>
  <si>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</si>
  <si>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</si>
  <si>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</si>
  <si>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</si>
  <si>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</si>
  <si>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</si>
  <si>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</si>
  <si>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</si>
  <si>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</si>
  <si>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</si>
  <si>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</si>
  <si>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</si>
  <si>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</si>
  <si>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</si>
  <si>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</si>
  <si>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</si>
  <si>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</si>
  <si>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</si>
  <si>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</si>
  <si>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</si>
  <si>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</si>
  <si>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</si>
  <si>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</si>
  <si>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</si>
  <si>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</si>
  <si>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</si>
  <si>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</si>
  <si>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</si>
  <si>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</si>
  <si>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</si>
  <si>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</si>
  <si>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</si>
  <si>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</si>
  <si>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</si>
  <si>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</si>
  <si>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</si>
  <si>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</si>
  <si>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</si>
  <si>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</si>
  <si>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</si>
  <si>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</si>
  <si>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</si>
  <si>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</si>
  <si>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</si>
  <si>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</si>
  <si>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</si>
  <si>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</si>
  <si>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</si>
  <si>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</si>
  <si>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</si>
  <si>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</si>
  <si>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</si>
  <si>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</si>
  <si>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</si>
  <si>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</si>
  <si>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</si>
  <si>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</si>
  <si>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</si>
  <si>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</si>
  <si>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</si>
  <si>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</si>
  <si>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</si>
  <si>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</si>
  <si>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</si>
  <si>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</si>
  <si>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</si>
  <si>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</si>
  <si>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</si>
  <si>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</si>
  <si>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</si>
  <si>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</si>
  <si>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</si>
  <si>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</si>
  <si>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</si>
  <si>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</si>
  <si>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</si>
  <si>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</si>
  <si>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</si>
  <si>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</si>
  <si>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</si>
  <si>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</si>
  <si>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</si>
  <si>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</si>
  <si>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</si>
  <si>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</si>
  <si>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</si>
  <si>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</si>
  <si>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</si>
  <si>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</si>
  <si>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</si>
  <si>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</si>
  <si>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</si>
  <si>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</si>
  <si>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</si>
  <si>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</si>
  <si>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</si>
  <si>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</si>
  <si>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</si>
  <si>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</si>
  <si>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</si>
  <si>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</si>
  <si>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</si>
  <si>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</si>
  <si>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</si>
  <si>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</si>
  <si>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</si>
  <si>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</si>
  <si>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</si>
  <si>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</si>
  <si>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</si>
  <si>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</si>
  <si>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</si>
  <si>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</si>
  <si>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</si>
  <si>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</si>
  <si>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</si>
  <si>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</si>
  <si>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</si>
  <si>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</si>
  <si>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</si>
  <si>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</si>
  <si>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</si>
  <si>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</si>
  <si>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</si>
  <si>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</si>
  <si>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</si>
  <si>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</si>
  <si>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</si>
  <si>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</si>
  <si>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</si>
  <si>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</si>
  <si>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</si>
  <si>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</si>
  <si>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</si>
  <si>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</si>
  <si>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</si>
  <si>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</si>
  <si>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</si>
  <si>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</si>
  <si>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</si>
  <si>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</si>
  <si>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</si>
  <si>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</si>
  <si>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</si>
  <si>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</si>
  <si>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</si>
  <si>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</si>
  <si>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</si>
  <si>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</si>
  <si>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</si>
  <si>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</si>
  <si>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</si>
  <si>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</si>
  <si>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</si>
  <si>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</si>
  <si>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</si>
  <si>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</si>
  <si>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</si>
  <si>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</si>
  <si>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</si>
  <si>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</si>
  <si>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</si>
  <si>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</si>
  <si>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</si>
  <si>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</si>
  <si>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</si>
  <si>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</si>
  <si>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</si>
  <si>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</si>
  <si>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</si>
  <si>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</si>
  <si>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</si>
  <si>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</si>
  <si>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</si>
  <si>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</si>
  <si>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</si>
  <si>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</si>
  <si>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</si>
  <si>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</si>
  <si>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</si>
  <si>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</si>
  <si>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</si>
  <si>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</si>
  <si>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</si>
  <si>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</si>
  <si>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</si>
  <si>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</si>
  <si>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</si>
  <si>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</si>
  <si>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</si>
  <si>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</si>
  <si>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</si>
  <si>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</si>
  <si>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</si>
  <si>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</si>
  <si>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</si>
  <si>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</si>
  <si>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</si>
  <si>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</si>
  <si>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</si>
  <si>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</si>
  <si>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</si>
  <si>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</si>
  <si>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</si>
  <si>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</si>
  <si>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</si>
  <si>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</si>
  <si>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</si>
  <si>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</si>
  <si>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</si>
  <si>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</si>
  <si>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</si>
  <si>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</si>
  <si>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</si>
  <si>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</si>
  <si>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</si>
  <si>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</si>
  <si>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</si>
  <si>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</si>
  <si>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</si>
  <si>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</si>
  <si>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</si>
  <si>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</si>
  <si>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</si>
  <si>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</si>
  <si>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</si>
  <si>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</si>
  <si>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</si>
  <si>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</si>
  <si>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</si>
  <si>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</si>
  <si>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</si>
  <si>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</si>
  <si>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</si>
  <si>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</si>
  <si>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</si>
  <si>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</si>
  <si>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</si>
  <si>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</si>
  <si>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</si>
  <si>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</si>
  <si>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</si>
  <si>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</si>
  <si>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</si>
  <si>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</si>
  <si>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</si>
  <si>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</si>
  <si>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</si>
  <si>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</si>
  <si>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</si>
  <si>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</si>
  <si>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</si>
  <si>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</si>
  <si>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</si>
  <si>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</si>
  <si>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</si>
  <si>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</si>
  <si>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</si>
  <si>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</si>
  <si>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</si>
  <si>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</si>
  <si>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</si>
  <si>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</si>
  <si>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</si>
  <si>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</si>
  <si>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</si>
  <si>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</si>
  <si>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</si>
  <si>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</si>
  <si>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</si>
  <si>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</si>
  <si>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</si>
  <si>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</si>
  <si>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</si>
  <si>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</si>
  <si>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</si>
  <si>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</si>
  <si>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</si>
  <si>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</si>
  <si>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</si>
  <si>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</si>
  <si>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</si>
  <si>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</si>
  <si>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</si>
  <si>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</si>
  <si>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</si>
  <si>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</si>
  <si>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</si>
  <si>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</si>
  <si>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</si>
  <si>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</si>
  <si>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</si>
  <si>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</si>
  <si>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</si>
  <si>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</si>
  <si>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</si>
  <si>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</si>
  <si>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</si>
  <si>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</si>
  <si>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</si>
  <si>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</si>
  <si>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</si>
  <si>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</si>
  <si>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</si>
  <si>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</si>
  <si>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</si>
  <si>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</si>
  <si>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</si>
  <si>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</si>
  <si>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</si>
  <si>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</si>
  <si>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</si>
  <si>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</si>
  <si>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</si>
  <si>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</si>
  <si>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</si>
  <si>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</si>
  <si>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</si>
  <si>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</si>
  <si>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</si>
  <si>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</si>
  <si>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</si>
  <si>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</si>
  <si>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</si>
  <si>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</si>
  <si>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</si>
  <si>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</si>
  <si>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</si>
  <si>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</si>
  <si>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</si>
  <si>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</si>
  <si>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</si>
  <si>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</si>
  <si>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</si>
  <si>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</si>
  <si>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</si>
  <si>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</si>
  <si>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</si>
  <si>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</si>
  <si>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</si>
  <si>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</si>
  <si>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</si>
  <si>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</si>
  <si>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</si>
  <si>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</si>
  <si>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</si>
  <si>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</si>
  <si>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</si>
  <si>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</si>
  <si>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</si>
  <si>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</si>
  <si>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</si>
  <si>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</si>
  <si>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</si>
  <si>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</si>
  <si>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</si>
  <si>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</si>
  <si>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</si>
  <si>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</si>
  <si>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</si>
  <si>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</si>
  <si>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</si>
  <si>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</si>
  <si>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</si>
  <si>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</si>
  <si>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</si>
  <si>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</si>
  <si>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</si>
  <si>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</si>
  <si>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</si>
  <si>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</si>
  <si>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</si>
  <si>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</si>
  <si>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</si>
  <si>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</si>
  <si>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</si>
  <si>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</si>
  <si>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</si>
  <si>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</si>
  <si>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</si>
  <si>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</si>
  <si>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</si>
  <si>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</si>
  <si>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</si>
  <si>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</si>
  <si>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</si>
  <si>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</si>
  <si>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</si>
  <si>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</si>
  <si>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</si>
  <si>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</si>
  <si>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</si>
  <si>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</si>
  <si>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</si>
  <si>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</si>
  <si>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</si>
  <si>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</si>
  <si>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</si>
  <si>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</si>
  <si>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</si>
  <si>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</si>
  <si>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</si>
  <si>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</si>
  <si>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</si>
  <si>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</si>
  <si>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</si>
  <si>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</si>
  <si>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</si>
  <si>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</si>
  <si>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</si>
  <si>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</si>
  <si>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</si>
  <si>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</si>
  <si>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</si>
  <si>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</si>
  <si>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</si>
  <si>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</si>
  <si>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</si>
  <si>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</si>
  <si>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</si>
  <si>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</si>
  <si>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</si>
  <si>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</si>
  <si>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</si>
  <si>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</si>
  <si>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</si>
  <si>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</si>
  <si>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</si>
  <si>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</si>
  <si>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</si>
  <si>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</si>
  <si>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</si>
  <si>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</si>
  <si>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</si>
  <si>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</si>
  <si>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</si>
  <si>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</si>
  <si>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</si>
  <si>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</si>
  <si>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</si>
  <si>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</si>
  <si>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</si>
  <si>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</si>
  <si>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</si>
  <si>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</si>
  <si>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</si>
  <si>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</si>
  <si>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</si>
  <si>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</si>
  <si>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</si>
  <si>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</si>
  <si>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</si>
  <si>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</si>
  <si>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</si>
  <si>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</si>
  <si>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</si>
  <si>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</si>
  <si>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</si>
  <si>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</si>
  <si>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</si>
  <si>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</si>
  <si>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</si>
  <si>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</si>
  <si>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</si>
  <si>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</si>
  <si>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</si>
  <si>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</si>
  <si>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</si>
  <si>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</si>
  <si>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</si>
  <si>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</si>
  <si>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</si>
  <si>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</si>
  <si>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</si>
  <si>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</si>
  <si>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</si>
  <si>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</si>
  <si>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</si>
  <si>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</si>
  <si>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</si>
  <si>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</si>
  <si>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</si>
  <si>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</si>
  <si>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</si>
  <si>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</si>
  <si>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</si>
  <si>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</si>
  <si>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</si>
  <si>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</si>
  <si>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</si>
  <si>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</si>
  <si>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</si>
  <si>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</si>
  <si>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</si>
  <si>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</si>
  <si>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</si>
  <si>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</si>
  <si>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</si>
  <si>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</si>
  <si>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</si>
  <si>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</si>
  <si>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</si>
  <si>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</si>
  <si>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</si>
  <si>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</si>
  <si>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</si>
  <si>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</si>
  <si>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</si>
  <si>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</si>
  <si>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</si>
  <si>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</si>
  <si>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</si>
  <si>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</si>
  <si>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</si>
  <si>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</si>
  <si>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</si>
  <si>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</si>
  <si>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</si>
  <si>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</si>
  <si>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</si>
  <si>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</si>
  <si>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</si>
  <si>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</si>
  <si>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</si>
  <si>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</si>
  <si>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</si>
  <si>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</si>
  <si>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</si>
  <si>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</si>
  <si>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</si>
  <si>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</si>
  <si>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</si>
  <si>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</si>
  <si>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</si>
  <si>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</si>
  <si>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</si>
  <si>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</si>
  <si>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</si>
  <si>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</si>
  <si>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</si>
  <si>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</si>
  <si>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</si>
  <si>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</si>
  <si>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</si>
  <si>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</si>
  <si>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</si>
  <si>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</si>
  <si>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</si>
  <si>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</si>
  <si>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</si>
  <si>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</si>
  <si>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</si>
  <si>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</si>
  <si>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</si>
  <si>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</si>
  <si>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</si>
  <si>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</si>
  <si>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</si>
  <si>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</si>
  <si>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</si>
  <si>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</si>
  <si>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</si>
  <si>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</si>
  <si>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</si>
  <si>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</si>
  <si>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</si>
  <si>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</si>
  <si>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</si>
  <si>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</si>
  <si>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</si>
  <si>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</si>
  <si>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</si>
  <si>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</si>
  <si>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</si>
  <si>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</si>
  <si>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</si>
  <si>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</si>
  <si>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</si>
  <si>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</si>
  <si>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</si>
  <si>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</si>
  <si>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</si>
  <si>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</si>
  <si>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</si>
  <si>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</si>
  <si>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</si>
  <si>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</si>
  <si>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</si>
  <si>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</si>
  <si>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</si>
  <si>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</si>
  <si>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</si>
  <si>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</si>
  <si>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</si>
  <si>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</si>
  <si>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</si>
  <si>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</si>
  <si>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</si>
  <si>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</si>
  <si>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</si>
  <si>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</si>
  <si>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</si>
  <si>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</si>
  <si>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</si>
  <si>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</si>
  <si>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</si>
  <si>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</si>
  <si>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</si>
  <si>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</si>
  <si>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</si>
  <si>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</si>
  <si>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</si>
  <si>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</si>
  <si>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</si>
  <si>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</si>
  <si>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</si>
  <si>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</si>
  <si>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</si>
  <si>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</si>
  <si>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</si>
  <si>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</si>
  <si>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</si>
  <si>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</si>
  <si>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</si>
  <si>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</si>
  <si>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</si>
  <si>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</si>
  <si>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</si>
  <si>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</si>
  <si>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</si>
  <si>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</si>
  <si>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</si>
  <si>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</si>
  <si>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</si>
  <si>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</si>
  <si>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</si>
  <si>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</si>
  <si>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</si>
  <si>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</si>
  <si>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</si>
  <si>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</si>
  <si>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</si>
  <si>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</si>
  <si>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</si>
  <si>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</si>
  <si>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</si>
  <si>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</si>
  <si>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</si>
  <si>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</si>
  <si>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</si>
  <si>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</si>
  <si>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</si>
  <si>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</si>
  <si>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</si>
  <si>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</si>
  <si>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</si>
  <si>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</si>
  <si>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</si>
  <si>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</si>
  <si>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</si>
  <si>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</si>
  <si>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</si>
  <si>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</si>
  <si>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</si>
  <si>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</si>
  <si>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</si>
  <si>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</si>
  <si>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</si>
  <si>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</si>
  <si>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</si>
  <si>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</si>
  <si>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</si>
  <si>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</si>
  <si>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</si>
  <si>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</si>
  <si>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</si>
  <si>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</si>
  <si>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</si>
  <si>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</si>
  <si>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</si>
  <si>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</si>
  <si>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</si>
  <si>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</si>
  <si>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</si>
  <si>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</si>
  <si>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</si>
  <si>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</si>
  <si>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</si>
  <si>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</si>
  <si>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</si>
  <si>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</si>
  <si>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</si>
  <si>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</si>
  <si>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</si>
  <si>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</si>
  <si>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</si>
  <si>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</si>
  <si>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</si>
  <si>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</si>
  <si>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</si>
  <si>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</si>
  <si>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</si>
  <si>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</si>
  <si>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</si>
  <si>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</si>
  <si>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</si>
  <si>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</si>
  <si>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</si>
  <si>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</si>
  <si>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</si>
  <si>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</si>
  <si>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</si>
  <si>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</si>
  <si>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</si>
  <si>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</si>
  <si>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</si>
  <si>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</si>
  <si>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</si>
  <si>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</si>
  <si>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</si>
  <si>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</si>
  <si>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</si>
  <si>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</si>
  <si>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</si>
  <si>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</si>
  <si>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</si>
  <si>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</si>
  <si>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</si>
  <si>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</si>
  <si>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</si>
  <si>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</si>
  <si>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</si>
  <si>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</si>
  <si>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</si>
  <si>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</si>
  <si>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</si>
  <si>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</si>
  <si>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</si>
  <si>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</si>
  <si>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</si>
  <si>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</si>
  <si>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</si>
  <si>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</si>
  <si>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</si>
  <si>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</si>
  <si>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</si>
  <si>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</si>
  <si>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</si>
  <si>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</si>
  <si>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</si>
  <si>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</si>
  <si>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</si>
  <si>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</si>
  <si>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</si>
  <si>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</si>
  <si>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</si>
  <si>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</si>
  <si>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</si>
  <si>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</si>
  <si>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</si>
  <si>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</si>
  <si>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</si>
  <si>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</si>
  <si>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</si>
  <si>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</si>
  <si>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</si>
  <si>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</si>
  <si>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</si>
  <si>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</si>
  <si>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</si>
  <si>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</si>
  <si>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</si>
  <si>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</si>
  <si>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</si>
  <si>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</si>
  <si>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</si>
  <si>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</si>
  <si>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</si>
  <si>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</si>
  <si>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</si>
  <si>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</si>
  <si>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</si>
  <si>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</si>
  <si>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</si>
  <si>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</si>
  <si>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</si>
  <si>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</si>
  <si>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</si>
  <si>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</si>
  <si>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</si>
  <si>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</si>
  <si>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</si>
  <si>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</si>
  <si>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</si>
  <si>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</si>
  <si>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</si>
  <si>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</si>
  <si>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</si>
  <si>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</si>
  <si>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</si>
  <si>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</si>
  <si>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</si>
  <si>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</si>
  <si>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</si>
  <si>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</si>
  <si>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</si>
  <si>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</si>
  <si>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</si>
  <si>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</si>
  <si>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</si>
  <si>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</si>
  <si>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</si>
  <si>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</si>
  <si>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</si>
  <si>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</si>
  <si>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</si>
  <si>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</si>
  <si>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</si>
  <si>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</si>
  <si>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</si>
  <si>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</si>
  <si>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</si>
  <si>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</si>
  <si>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</si>
  <si>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</si>
  <si>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</si>
  <si>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</si>
  <si>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</si>
  <si>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</si>
  <si>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</si>
  <si>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</si>
  <si>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</si>
  <si>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</si>
  <si>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</si>
  <si>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</si>
  <si>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</si>
  <si>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</si>
  <si>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</si>
  <si>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</si>
  <si>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</si>
  <si>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</si>
  <si>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</si>
  <si>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</si>
  <si>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</si>
  <si>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</si>
  <si>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</si>
  <si>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</si>
  <si>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</si>
  <si>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</si>
  <si>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</si>
  <si>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</si>
  <si>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</si>
  <si>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</si>
  <si>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</si>
  <si>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</si>
  <si>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</si>
  <si>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</si>
  <si>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</si>
  <si>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</si>
  <si>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</si>
  <si>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</si>
  <si>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</si>
  <si>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</si>
  <si>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</si>
  <si>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</si>
  <si>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</si>
  <si>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</si>
  <si>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</si>
  <si>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</si>
  <si>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</si>
  <si>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</si>
  <si>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</si>
  <si>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</si>
  <si>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</si>
  <si>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</si>
  <si>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</si>
  <si>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</si>
  <si>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</si>
  <si>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</si>
  <si>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</si>
  <si>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</si>
  <si>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</si>
  <si>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</si>
  <si>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</si>
  <si>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</si>
  <si>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</si>
  <si>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</si>
  <si>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</si>
  <si>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</si>
  <si>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</si>
  <si>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</si>
  <si>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</si>
  <si>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</si>
  <si>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</si>
  <si>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</si>
  <si>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</si>
  <si>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</si>
  <si>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</si>
  <si>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</si>
  <si>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</si>
  <si>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</si>
  <si>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</si>
  <si>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</si>
  <si>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</si>
  <si>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</si>
  <si>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</si>
  <si>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</si>
  <si>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</si>
  <si>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</si>
  <si>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</si>
  <si>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</si>
  <si>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</si>
  <si>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</si>
  <si>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</si>
  <si>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</si>
  <si>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</si>
  <si>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</si>
  <si>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</si>
  <si>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</si>
  <si>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</si>
  <si>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</si>
  <si>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</si>
  <si>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</si>
  <si>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</si>
  <si>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</si>
  <si>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</si>
  <si>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</si>
  <si>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</si>
  <si>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</si>
  <si>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</si>
  <si>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</si>
  <si>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</si>
  <si>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</si>
  <si>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</si>
  <si>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</si>
  <si>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</si>
  <si>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</si>
  <si>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</si>
  <si>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</si>
  <si>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</si>
  <si>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</si>
  <si>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</si>
  <si>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</si>
  <si>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</si>
  <si>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</si>
  <si>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</si>
  <si>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</si>
  <si>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</si>
  <si>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</si>
  <si>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</si>
  <si>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</si>
  <si>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</si>
  <si>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</si>
  <si>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</si>
  <si>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</si>
  <si>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</si>
  <si>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</si>
  <si>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</si>
  <si>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</si>
  <si>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</si>
  <si>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</si>
  <si>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</si>
  <si>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</si>
  <si>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</si>
  <si>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</si>
  <si>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</si>
  <si>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</si>
  <si>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</si>
  <si>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</si>
  <si>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</si>
  <si>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</si>
  <si>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</si>
  <si>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</si>
  <si>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</si>
  <si>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</si>
  <si>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</si>
  <si>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</si>
  <si>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</si>
  <si>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</si>
  <si>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</si>
  <si>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</si>
  <si>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</si>
  <si>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</si>
  <si>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</si>
  <si>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</si>
  <si>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</si>
  <si>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</si>
  <si>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</si>
  <si>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</si>
  <si>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</si>
  <si>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</si>
  <si>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</si>
  <si>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</si>
  <si>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</si>
  <si>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</si>
  <si>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</si>
  <si>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</si>
  <si>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</si>
  <si>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</si>
  <si>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</si>
  <si>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</si>
  <si>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</si>
  <si>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</si>
  <si>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</si>
  <si>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</si>
  <si>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</si>
  <si>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</si>
  <si>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</si>
  <si>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</si>
  <si>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</si>
  <si>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</si>
  <si>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</si>
  <si>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</si>
  <si>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</si>
  <si>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</si>
  <si>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</si>
  <si>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</si>
  <si>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</si>
  <si>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</si>
  <si>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</si>
  <si>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</si>
  <si>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</si>
  <si>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</si>
  <si>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</si>
  <si>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</si>
  <si>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</si>
  <si>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</si>
  <si>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</si>
  <si>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</si>
  <si>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</si>
  <si>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</si>
  <si>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</si>
  <si>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</si>
  <si>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</si>
  <si>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</si>
  <si>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</si>
  <si>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</si>
  <si>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</si>
  <si>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</si>
  <si>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</si>
  <si>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</si>
  <si>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</si>
  <si>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</si>
  <si>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</si>
  <si>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</si>
  <si>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</si>
  <si>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</si>
  <si>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</si>
  <si>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</si>
  <si>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</si>
  <si>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</si>
  <si>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</si>
  <si>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</si>
  <si>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</si>
  <si>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</si>
  <si>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</si>
  <si>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</si>
  <si>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</si>
  <si>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</si>
  <si>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</si>
  <si>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</si>
  <si>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</si>
  <si>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</si>
  <si>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</si>
  <si>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</si>
  <si>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</si>
  <si>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</si>
  <si>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</si>
  <si>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</si>
  <si>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</si>
  <si>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</si>
  <si>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</si>
  <si>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</si>
  <si>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</si>
  <si>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</si>
  <si>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</si>
  <si>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</si>
  <si>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</si>
  <si>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</si>
  <si>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</si>
  <si>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</si>
  <si>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</si>
  <si>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</si>
  <si>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</si>
  <si>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</si>
  <si>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</si>
  <si>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</si>
  <si>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</si>
  <si>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</si>
  <si>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</si>
  <si>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</si>
  <si>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</si>
  <si>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</si>
  <si>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</si>
  <si>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</si>
  <si>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</si>
  <si>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</si>
  <si>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</si>
  <si>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</si>
  <si>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</si>
  <si>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</si>
  <si>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</si>
  <si>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</si>
  <si>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</si>
  <si>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</si>
  <si>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</si>
  <si>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</si>
  <si>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</si>
  <si>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</si>
  <si>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</si>
  <si>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</si>
  <si>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</si>
  <si>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</si>
  <si>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</si>
  <si>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</si>
  <si>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</si>
  <si>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</si>
  <si>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</si>
  <si>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</si>
  <si>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</si>
  <si>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percentage</t>
  </si>
  <si>
    <t>Row Labels</t>
  </si>
  <si>
    <t>Grand Total</t>
  </si>
  <si>
    <t>Column Labels</t>
  </si>
  <si>
    <t>Count of outcomes</t>
  </si>
  <si>
    <t>Parent</t>
  </si>
  <si>
    <t>Subcategory</t>
  </si>
  <si>
    <t>Launched</t>
  </si>
  <si>
    <t>Date ended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</si>
  <si>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</si>
  <si>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</si>
  <si>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</si>
  <si>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</si>
  <si>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</si>
  <si>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</si>
  <si>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</si>
  <si>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</si>
  <si>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</si>
  <si>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</si>
  <si>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</si>
  <si>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</si>
  <si>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</si>
  <si>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</si>
  <si>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</si>
  <si>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</si>
  <si>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</si>
  <si>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</si>
  <si>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</si>
  <si>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</si>
  <si>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</si>
  <si>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Deliverable 1: Outcomes Based on Launch Date Chart</t>
  </si>
  <si>
    <t>Deliverable 2: Outcomes Based on Goals Chart</t>
  </si>
  <si>
    <t>Deliverable 3: A written analysis of the results (README.md)</t>
  </si>
  <si>
    <t>Files</t>
  </si>
  <si>
    <t>Use the link below to download a GitHub Markdown template for your Deliverable 3 written analysis.</t>
  </si>
  <si>
    <t>Download the Written_Report_Template.md README Template (Links to an external site.)</t>
  </si>
  <si>
    <t>Deliverable 1: Outcomes Based on Launch Date Chart (50 points)</t>
  </si>
  <si>
    <t>Deliverable 1 Instructions</t>
  </si>
  <si>
    <t>Use your knowledge of pivot tables and graphing in Excel to visualize campaign outcomes ("successful," "failed," and "canceled") based on</t>
  </si>
  <si>
    <r>
      <t>1. Rename the </t>
    </r>
    <r>
      <rPr>
        <sz val="10"/>
        <color rgb="FF2B2B2B"/>
        <rFont val="Consolas"/>
        <family val="3"/>
      </rPr>
      <t>StarterBook.xlsx</t>
    </r>
    <r>
      <rPr>
        <sz val="10"/>
        <color rgb="FF2B2B2B"/>
        <rFont val="Roboto"/>
      </rPr>
      <t> file you have been working with in this module: </t>
    </r>
    <r>
      <rPr>
        <sz val="10"/>
        <color rgb="FF2B2B2B"/>
        <rFont val="Consolas"/>
        <family val="3"/>
      </rPr>
      <t>Kickstarter_Challenge.xlsx</t>
    </r>
    <r>
      <rPr>
        <sz val="10"/>
        <color rgb="FF2B2B2B"/>
        <rFont val="Roboto"/>
      </rPr>
      <t>.</t>
    </r>
  </si>
  <si>
    <t>2. Create a folder called “resources” to hold the PNGs of the two charts you will create.</t>
  </si>
  <si>
    <r>
      <t>3. In the </t>
    </r>
    <r>
      <rPr>
        <sz val="10"/>
        <color rgb="FF2B2B2B"/>
        <rFont val="Consolas"/>
        <family val="3"/>
      </rPr>
      <t>Kickstarter_Challenge.xlsx</t>
    </r>
    <r>
      <rPr>
        <sz val="10"/>
        <color rgb="FF2B2B2B"/>
        <rFont val="Roboto"/>
      </rPr>
      <t> workbook, create a new column labeled "Years."</t>
    </r>
  </si>
  <si>
    <r>
      <t>4. In the "Years" column, use the </t>
    </r>
    <r>
      <rPr>
        <sz val="10"/>
        <color rgb="FF2B2B2B"/>
        <rFont val="Consolas"/>
        <family val="3"/>
      </rPr>
      <t>YEAR()</t>
    </r>
    <r>
      <rPr>
        <sz val="10"/>
        <color rgb="FF2B2B2B"/>
        <rFont val="Roboto"/>
      </rPr>
      <t> function to extract the year from the “Date Created Conversion” column.</t>
    </r>
  </si>
  <si>
    <r>
      <t>If you’d like a hint on how to use the </t>
    </r>
    <r>
      <rPr>
        <sz val="10"/>
        <color rgb="FF2B2B2B"/>
        <rFont val="Consolas"/>
        <family val="3"/>
      </rPr>
      <t>YEAR()</t>
    </r>
    <r>
      <rPr>
        <sz val="10"/>
        <color rgb="FF2B2B2B"/>
        <rFont val="Roboto"/>
      </rPr>
      <t> function, that’s totally okay. If not, that’s great too. You can always revisit this later if you change your mind.</t>
    </r>
  </si>
  <si>
    <t>Sum of goal</t>
  </si>
  <si>
    <t># Kickstarting with Excel</t>
  </si>
  <si>
    <t>## Overview of Project</t>
  </si>
  <si>
    <t>### Purpose</t>
  </si>
  <si>
    <t>## Analysis and Challenges</t>
  </si>
  <si>
    <t>### Analysis of Outcomes Based on Launch Date</t>
  </si>
  <si>
    <t>### Analysis of Outcomes Based on Goals</t>
  </si>
  <si>
    <t>### Challenges and Difficulties Encountered</t>
  </si>
  <si>
    <t>## Results</t>
  </si>
  <si>
    <t>- What are two conclusions you can draw about the Outcomes based on Launch Date?</t>
  </si>
  <si>
    <t>- What can you conclude about the Outcomes based on Goals?</t>
  </si>
  <si>
    <t>- What are some limitations of this dataset?</t>
  </si>
  <si>
    <t>- What are some other possible tables and/or graphs that we could create?</t>
  </si>
  <si>
    <t>May has a 60% succes rate of being successful</t>
  </si>
  <si>
    <t>Theater is the most popular Kickstarter in May</t>
  </si>
  <si>
    <t>Count of Subcategory</t>
  </si>
  <si>
    <t>Goal</t>
  </si>
  <si>
    <t>Failed</t>
  </si>
  <si>
    <t>Success</t>
  </si>
  <si>
    <t>Count</t>
  </si>
  <si>
    <t>Avg Goal</t>
  </si>
  <si>
    <t>Avg backers</t>
  </si>
  <si>
    <t>Column1</t>
  </si>
  <si>
    <t>Goals</t>
  </si>
  <si>
    <t>avg goal plays (may)</t>
  </si>
  <si>
    <t>success</t>
  </si>
  <si>
    <t>Avg Goal (all)</t>
  </si>
  <si>
    <t>Avg backers (all)</t>
  </si>
  <si>
    <t>avg goal May (all</t>
  </si>
  <si>
    <t>Total pledged</t>
  </si>
  <si>
    <t>Total failed</t>
  </si>
  <si>
    <t>Total live</t>
  </si>
  <si>
    <t>Total successful</t>
  </si>
  <si>
    <t>Total canceled</t>
  </si>
  <si>
    <t>Amount ALL</t>
  </si>
  <si>
    <t>Amount Plays</t>
  </si>
  <si>
    <t>total goal may all plays</t>
  </si>
  <si>
    <t>Total Successful Plays</t>
  </si>
  <si>
    <t>Total Canceled</t>
  </si>
  <si>
    <t>Total Failed</t>
  </si>
  <si>
    <t>Total Live</t>
  </si>
  <si>
    <t>Total Successful</t>
  </si>
  <si>
    <t>Actual</t>
  </si>
  <si>
    <t>Avg Failed Plays</t>
  </si>
  <si>
    <t>Total Goal</t>
  </si>
  <si>
    <t>Total Successful Other</t>
  </si>
  <si>
    <t>Avg Successful Plays</t>
  </si>
  <si>
    <t>Avg Failed all Launches</t>
  </si>
  <si>
    <t>Avg Successful Launches</t>
  </si>
  <si>
    <t>Total</t>
  </si>
  <si>
    <t>Average of goal2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</si>
</sst>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_(* #,##0_);_(* \(#,##0\);_(* &quot;-&quot;??_);_(@_)"/>
    <numFmt numFmtId="166" formatCode="_(&quot;$&quot;* #,##0.000_);_(&quot;$&quot;* \(#,##0.000\);_(&quot;$&quot;* &quot;-&quot;??_);_(@_)"/>
    <numFmt numFmtId="169" formatCode="_(&quot;$&quot;* #,##0_);_(&quot;$&quot;* \(#,##0\);_(&quot;$&quot;* &quot;-&quot;??_);_(@_)"/>
  </numFmts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A5030B"/>
      <name val="Consolas"/>
      <family val="3"/>
    </font>
    <font>
      <sz val="11"/>
      <name val="Calibri"/>
      <family val="2"/>
      <scheme val="minor"/>
    </font>
    <font>
      <sz val="10"/>
      <color rgb="FF2B2B2B"/>
      <name val="Roboto"/>
    </font>
    <font>
      <b/>
      <sz val="16.5"/>
      <color theme="1"/>
      <name val="Roboto"/>
    </font>
    <font>
      <b/>
      <sz val="15.4"/>
      <color theme="1"/>
      <name val="Roboto"/>
    </font>
    <font>
      <u/>
      <sz val="11"/>
      <color theme="10"/>
      <name val="Calibri"/>
      <family val="2"/>
      <scheme val="minor"/>
    </font>
    <font>
      <sz val="10"/>
      <color rgb="FF2B2B2B"/>
      <name val="Consolas"/>
      <family val="3"/>
    </font>
    <font>
      <b/>
      <sz val="7"/>
      <name val="Consolas"/>
      <family val="3"/>
    </font>
    <font>
      <sz val="7"/>
      <name val="Consolas"/>
      <family val="3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1E1E1E"/>
        <bgColor indexed="64"/>
      </patternFill>
    </fill>
  </fills>
  <borders count="8">
    <border>
      <left/>
      <right/>
      <top/>
      <bottom/>
      <diagonal/>
    </border>
    <border>
      <left/>
      <right/>
      <top style="medium">
        <color rgb="FFEAEDF0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5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8" fillId="0" borderId="0" applyNumberFormat="0" applyFill="0" applyBorder="0" applyAlignment="0" applyProtection="0"/>
  </cellStyleXfs>
  <cellXfs count="4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165" fontId="0" fillId="0" borderId="0" xfId="1" applyNumberFormat="1" applyFont="1"/>
    <xf numFmtId="166" fontId="0" fillId="0" borderId="0" xfId="2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3" fillId="0" borderId="0" xfId="0" applyNumberFormat="1" applyFont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5" fillId="0" borderId="0" xfId="0" applyFont="1" applyAlignment="1">
      <alignment horizontal="left" vertical="center" wrapText="1" indent="1"/>
    </xf>
    <xf numFmtId="0" fontId="6" fillId="0" borderId="1" xfId="0" applyFont="1" applyBorder="1" applyAlignment="1">
      <alignment vertical="center" wrapText="1"/>
    </xf>
    <xf numFmtId="0" fontId="5" fillId="0" borderId="0" xfId="0" applyFont="1" applyAlignment="1">
      <alignment vertical="center" wrapText="1"/>
    </xf>
    <xf numFmtId="0" fontId="8" fillId="0" borderId="0" xfId="4" applyAlignment="1">
      <alignment horizontal="left" vertical="center" wrapText="1" indent="1"/>
    </xf>
    <xf numFmtId="0" fontId="7" fillId="0" borderId="0" xfId="0" applyFont="1" applyAlignment="1">
      <alignment vertical="center" wrapText="1"/>
    </xf>
    <xf numFmtId="0" fontId="10" fillId="0" borderId="0" xfId="0" applyFont="1" applyAlignment="1">
      <alignment vertical="center"/>
    </xf>
    <xf numFmtId="0" fontId="4" fillId="3" borderId="0" xfId="0" applyFont="1" applyFill="1" applyAlignment="1">
      <alignment vertical="center"/>
    </xf>
    <xf numFmtId="0" fontId="11" fillId="0" borderId="0" xfId="0" applyFont="1" applyAlignment="1">
      <alignment vertic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 pivotButton="1" applyAlignment="1">
      <alignment horizontal="center"/>
    </xf>
    <xf numFmtId="0" fontId="0" fillId="0" borderId="0" xfId="0" applyBorder="1"/>
    <xf numFmtId="0" fontId="1" fillId="2" borderId="0" xfId="0" applyFont="1" applyFill="1" applyBorder="1" applyAlignment="1">
      <alignment horizontal="center"/>
    </xf>
    <xf numFmtId="0" fontId="1" fillId="2" borderId="0" xfId="0" applyFont="1" applyFill="1" applyBorder="1" applyAlignment="1">
      <alignment horizontal="left"/>
    </xf>
    <xf numFmtId="9" fontId="0" fillId="0" borderId="0" xfId="3" applyFont="1" applyBorder="1"/>
    <xf numFmtId="9" fontId="0" fillId="0" borderId="0" xfId="3" applyFont="1" applyAlignment="1">
      <alignment horizontal="center"/>
    </xf>
    <xf numFmtId="44" fontId="0" fillId="0" borderId="0" xfId="2" applyFont="1"/>
    <xf numFmtId="43" fontId="0" fillId="0" borderId="0" xfId="1" applyFont="1"/>
    <xf numFmtId="10" fontId="0" fillId="0" borderId="0" xfId="3" applyNumberFormat="1" applyFont="1" applyAlignment="1">
      <alignment horizontal="center"/>
    </xf>
    <xf numFmtId="44" fontId="0" fillId="0" borderId="0" xfId="0" applyNumberForma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6" xfId="0" applyBorder="1"/>
    <xf numFmtId="44" fontId="0" fillId="0" borderId="5" xfId="2" applyFont="1" applyBorder="1"/>
    <xf numFmtId="44" fontId="0" fillId="0" borderId="7" xfId="2" applyFont="1" applyBorder="1"/>
    <xf numFmtId="0" fontId="0" fillId="0" borderId="4" xfId="0" applyFill="1" applyBorder="1"/>
    <xf numFmtId="169" fontId="0" fillId="0" borderId="0" xfId="0" applyNumberFormat="1"/>
  </cellXfs>
  <cellStyles count="5">
    <cellStyle name="Comma" xfId="1" builtinId="3"/>
    <cellStyle name="Currency" xfId="2" builtinId="4"/>
    <cellStyle name="Hyperlink" xfId="4" builtinId="8"/>
    <cellStyle name="Normal" xfId="0" builtinId="0"/>
    <cellStyle name="Percent" xfId="3" builtinId="5"/>
  </cellStyles>
  <dxfs count="66">
    <dxf>
      <numFmt numFmtId="168" formatCode="_(&quot;$&quot;* #,##0.0_);_(&quot;$&quot;* \(#,##0.0\);_(&quot;$&quot;* &quot;-&quot;??_);_(@_)"/>
    </dxf>
    <dxf>
      <numFmt numFmtId="169" formatCode="_(&quot;$&quot;* #,##0_);_(&quot;$&quot;* \(#,##0\);_(&quot;$&quot;* &quot;-&quot;??_);_(@_)"/>
    </dxf>
    <dxf>
      <numFmt numFmtId="34" formatCode="_(&quot;$&quot;* #,##0.00_);_(&quot;$&quot;* \(#,##0.00\);_(&quot;$&quot;* &quot;-&quot;??_);_(@_)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fgColor rgb="FFFF0000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A5030B"/>
        <name val="Consolas"/>
        <family val="3"/>
        <scheme val="none"/>
      </font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A5030B"/>
        <name val="Consolas"/>
        <family val="3"/>
        <scheme val="none"/>
      </font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A5030B"/>
        <name val="Consolas"/>
        <family val="3"/>
        <scheme val="none"/>
      </font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A5030B"/>
        <name val="Consolas"/>
        <family val="3"/>
        <scheme val="none"/>
      </font>
      <numFmt numFmtId="19" formatCode="m/d/yyyy"/>
    </dxf>
    <dxf>
      <numFmt numFmtId="30" formatCode="@"/>
    </dxf>
    <dxf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.000_);_(&quot;$&quot;* \(#,##0.00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.000_);_(&quot;$&quot;* \(#,##0.00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</dxf>
    <dxf>
      <numFmt numFmtId="2" formatCode="0.00"/>
    </dxf>
    <dxf>
      <numFmt numFmtId="0" formatCode="General"/>
    </dxf>
    <dxf>
      <numFmt numFmtId="0" formatCode="General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olapFunctions">
    <main first="ThisWorkbookDataModel">
      <tp t="e">
        <v>#N/A</v>
        <stp>1</stp>
        <tr r="D327" s="20"/>
        <tr r="C327" s="20"/>
        <tr r="K327" s="20"/>
        <tr r="F327" s="20"/>
        <tr r="G327" s="20"/>
        <tr r="L327" s="20"/>
        <tr r="H327" s="20"/>
        <tr r="I327" s="20"/>
        <tr r="E327" s="20"/>
        <tr r="J327" s="20"/>
        <tr r="D243" s="20"/>
        <tr r="J243" s="20"/>
        <tr r="C243" s="20"/>
        <tr r="K243" s="20"/>
        <tr r="E243" s="20"/>
        <tr r="H243" s="20"/>
        <tr r="G243" s="20"/>
        <tr r="I243" s="20"/>
        <tr r="L243" s="20"/>
        <tr r="F243" s="20"/>
        <tr r="G435" s="20"/>
        <tr r="H435" s="20"/>
        <tr r="I435" s="20"/>
        <tr r="C435" s="20"/>
        <tr r="F361" s="20"/>
        <tr r="E361" s="20"/>
        <tr r="L336" s="20"/>
        <tr r="I336" s="20"/>
        <tr r="K336" s="20"/>
        <tr r="E336" s="20"/>
        <tr r="G10" s="20"/>
        <tr r="D10" s="20"/>
        <tr r="F10" s="20"/>
        <tr r="K10" s="20"/>
        <tr r="H10" s="20"/>
        <tr r="J10" s="20"/>
        <tr r="C10" s="20"/>
        <tr r="L10" s="20"/>
        <tr r="G75" s="20"/>
        <tr r="H75" s="20"/>
        <tr r="E75" s="20"/>
        <tr r="J75" s="20"/>
        <tr r="D130" s="20"/>
        <tr r="E130" s="20"/>
        <tr r="G130" s="20"/>
        <tr r="I130" s="20"/>
        <tr r="C130" s="20"/>
        <tr r="F130" s="20"/>
        <tr r="C233" s="20"/>
        <tr r="K233" s="20"/>
        <tr r="E233" s="20"/>
        <tr r="F233" s="20"/>
        <tr r="D233" s="20"/>
        <tr r="G233" s="20"/>
        <tr r="H233" s="20"/>
        <tr r="I233" s="20"/>
        <tr r="J233" s="20"/>
        <tr r="D65" s="20"/>
        <tr r="I65" s="20"/>
        <tr r="E65" s="20"/>
        <tr r="J65" s="20"/>
        <tr r="D49" s="20"/>
        <tr r="H49" s="20"/>
        <tr r="E49" s="20"/>
        <tr r="F49" s="20"/>
        <tr r="J49" s="20"/>
        <tr r="I49" s="20"/>
        <tr r="I445" s="20"/>
        <tr r="G445" s="20"/>
        <tr r="I36" s="20"/>
        <tr r="E36" s="20"/>
        <tr r="H36" s="20"/>
        <tr r="L36" s="20"/>
        <tr r="J36" s="20"/>
        <tr r="D36" s="20"/>
        <tr r="F36" s="20"/>
        <tr r="F295" s="20"/>
        <tr r="D295" s="20"/>
        <tr r="E295" s="20"/>
        <tr r="K295" s="20"/>
        <tr r="I295" s="20"/>
        <tr r="H351" s="20"/>
        <tr r="D351" s="20"/>
        <tr r="J59" s="20"/>
        <tr r="C59" s="20"/>
        <tr r="D59" s="20"/>
        <tr r="F59" s="20"/>
        <tr r="L59" s="20"/>
        <tr r="C305" s="20"/>
        <tr r="E305" s="20"/>
        <tr r="D305" s="20"/>
        <tr r="L305" s="20"/>
        <tr r="I305" s="20"/>
        <tr r="E383" s="20"/>
        <tr r="F383" s="20"/>
        <tr r="E286" s="20"/>
        <tr r="D286" s="20"/>
        <tr r="G286" s="20"/>
        <tr r="K286" s="20"/>
        <tr r="I286" s="20"/>
        <tr r="I222" s="20"/>
        <tr r="J222" s="20"/>
        <tr r="K222" s="20"/>
        <tr r="D222" s="20"/>
        <tr r="F222" s="20"/>
        <tr r="H222" s="20"/>
        <tr r="L222" s="20"/>
        <tr r="G374" s="20"/>
        <tr r="H374" s="20"/>
        <tr r="F374" s="20"/>
        <tr r="E82" s="20"/>
        <tr r="I82" s="20"/>
        <tr r="G82" s="20"/>
        <tr r="F412" s="20"/>
        <tr r="I412" s="20"/>
        <tr r="J412" s="20"/>
        <tr r="D412" s="20"/>
        <tr r="G412" s="20"/>
        <tr r="C412" s="20"/>
        <tr r="H412" s="20"/>
        <tr r="I184" s="20"/>
        <tr r="E184" s="20"/>
        <tr r="C184" s="20"/>
        <tr r="F184" s="20"/>
        <tr r="J184" s="20"/>
        <tr r="H184" s="20"/>
        <tr r="K184" s="20"/>
        <tr r="L184" s="20"/>
        <tr r="J255" s="20"/>
        <tr r="J79" s="20"/>
        <tr r="J257" s="20"/>
        <tr r="J170" s="20"/>
        <tr r="J268" s="20"/>
        <tr r="J283" s="20"/>
        <tr r="J450" s="20"/>
        <tr r="J182" s="20"/>
        <tr r="J319" s="20"/>
        <tr r="J81" s="20"/>
        <tr r="J211" s="20"/>
        <tr r="J355" s="20"/>
        <tr r="J302" s="20"/>
        <tr r="J53" s="20"/>
        <tr r="J84" s="20"/>
        <tr r="J393" s="20"/>
        <tr r="J198" s="20"/>
        <tr r="J320" s="20"/>
        <tr r="J206" s="20"/>
        <tr r="J40" s="20"/>
        <tr r="J160" s="20"/>
        <tr r="J174" s="20"/>
        <tr r="J188" s="20"/>
        <tr r="J103" s="20"/>
        <tr r="J204" s="20"/>
        <tr r="K280" s="20"/>
        <tr r="L280" s="20"/>
        <tr r="E280" s="20"/>
        <tr r="H79" s="20"/>
        <tr r="H257" s="20"/>
        <tr r="H362" s="20"/>
        <tr r="H182" s="20"/>
        <tr r="H275" s="20"/>
        <tr r="H8" s="20"/>
        <tr r="H97" s="20"/>
        <tr r="H283" s="20"/>
        <tr r="H81" s="20"/>
        <tr r="H419" s="20"/>
        <tr r="H399" s="20"/>
        <tr r="H335" s="20"/>
        <tr r="H141" s="20"/>
        <tr r="H237" s="20"/>
        <tr r="H323" s="20"/>
        <tr r="H235" s="20"/>
        <tr r="H27" s="20"/>
        <tr r="H395" s="20"/>
        <tr r="H198" s="20"/>
        <tr r="H268" s="20"/>
        <tr r="H169" s="20"/>
        <tr r="H187" s="20"/>
        <tr r="H245" s="20"/>
        <tr r="H202" s="20"/>
        <tr r="H302" s="20"/>
        <tr r="H450" s="20"/>
        <tr r="H333" s="20"/>
        <tr r="H139" s="20"/>
        <tr r="H150" s="20"/>
        <tr r="H209" s="20"/>
        <tr r="H163" s="20"/>
        <tr r="G420" s="20"/>
        <tr r="D420" s="20"/>
        <tr r="C271" s="20"/>
        <tr r="D271" s="20"/>
        <tr r="I271" s="20"/>
        <tr r="F425" s="20"/>
        <tr r="C425" s="20"/>
        <tr r="K68" s="20"/>
        <tr r="K224" s="20"/>
        <tr r="K158" s="20"/>
        <tr r="K443" s="20"/>
        <tr r="K79" s="20"/>
        <tr r="K257" s="20"/>
        <tr r="K255" s="20"/>
        <tr r="K8" s="20"/>
        <tr r="K170" s="20"/>
        <tr r="K421" s="20"/>
        <tr r="K131" s="20"/>
        <tr r="K258" s="20"/>
        <tr r="K308" s="20"/>
        <tr r="K335" s="20"/>
        <tr r="K110" s="20"/>
        <tr r="K306" s="20"/>
        <tr r="K426" s="20"/>
        <tr r="C346" s="20"/>
        <tr r="L346" s="20"/>
        <tr r="E98" s="20"/>
        <tr r="D98" s="20"/>
        <tr r="G98" s="20"/>
        <tr r="F333" s="20"/>
        <tr r="K333" s="20"/>
        <tr r="G333" s="20"/>
        <tr r="E202" s="20"/>
        <tr r="D202" s="20"/>
        <tr r="L202" s="20"/>
        <tr r="F202" s="20"/>
        <tr r="K202" s="20"/>
        <tr r="G202" s="20"/>
        <tr r="D272" s="20"/>
        <tr r="D447" s="20"/>
        <tr r="D364" s="20"/>
        <tr r="D437" s="20"/>
        <tr r="D68" s="20"/>
        <tr r="D158" s="20"/>
        <tr r="D291" s="20"/>
        <tr r="D385" s="20"/>
        <tr r="D224" s="20"/>
        <tr r="D93" s="20"/>
        <tr r="D306" s="20"/>
        <tr r="D381" s="20"/>
        <tr r="D441" s="20"/>
        <tr r="D406" s="20"/>
        <tr r="D310" s="20"/>
        <tr r="D182" s="20"/>
        <tr r="D46" s="20"/>
        <tr r="D187" s="20"/>
        <tr r="D400" s="20"/>
        <tr r="D84" s="20"/>
        <tr r="D245" s="20"/>
        <tr r="D366" s="20"/>
        <tr r="D405" s="20"/>
        <tr r="D268" s="20"/>
        <tr r="D11" s="20"/>
        <tr r="D384" s="20"/>
        <tr r="D79" s="20"/>
        <tr r="D170" s="20"/>
        <tr r="D18" s="20"/>
        <tr r="D61" s="20"/>
        <tr r="D206" s="20"/>
        <tr r="D426" s="20"/>
        <tr r="D325" s="20"/>
        <tr r="D19" s="20"/>
        <tr r="D62" s="20"/>
        <tr r="I200" s="20"/>
        <tr r="E200" s="20"/>
        <tr r="C200" s="20"/>
        <tr r="G265" s="20"/>
        <tr r="H265" s="20"/>
        <tr r="F417" s="20"/>
        <tr r="C417" s="20"/>
        <tr r="D417" s="20"/>
        <tr r="L417" s="20"/>
        <tr r="K417" s="20"/>
        <tr r="D147" s="20"/>
        <tr r="L147" s="20"/>
        <tr r="E147" s="20"/>
        <tr r="I147" s="20"/>
        <tr r="F147" s="20"/>
        <tr r="C147" s="20"/>
        <tr r="G147" s="20"/>
        <tr r="G162" s="20"/>
        <tr r="F162" s="20"/>
        <tr r="I162" s="20"/>
        <tr r="H162" s="20"/>
        <tr r="J162" s="20"/>
        <tr r="L162" s="20"/>
        <tr r="D162" s="20"/>
        <tr r="E188" s="20"/>
        <tr r="C188" s="20"/>
        <tr r="L188" s="20"/>
        <tr r="I118" s="20"/>
        <tr r="C118" s="20"/>
        <tr r="D118" s="20"/>
        <tr r="I403" s="20"/>
        <tr r="D403" s="20"/>
        <tr r="E137" s="20"/>
        <tr r="I137" s="20"/>
        <tr r="F137" s="20"/>
        <tr r="H137" s="20"/>
        <tr r="G137" s="20"/>
        <tr r="J137" s="20"/>
        <tr r="C137" s="20"/>
        <tr r="D57" s="20"/>
        <tr r="L57" s="20"/>
        <tr r="E57" s="20"/>
        <tr r="F57" s="20"/>
        <tr r="C57" s="20"/>
        <tr r="G57" s="20"/>
        <tr r="J57" s="20"/>
        <tr r="I57" s="20"/>
        <tr r="L408" s="20"/>
        <tr r="L293" s="20"/>
        <tr r="L81" s="20"/>
        <tr r="L372" s="20"/>
        <tr r="L68" s="20"/>
        <tr r="L158" s="20"/>
        <tr r="L320" s="20"/>
        <tr r="L343" s="20"/>
        <tr r="L8" s="20"/>
        <tr r="L350" s="20"/>
        <tr r="L450" s="20"/>
        <tr r="L345" s="20"/>
        <tr r="L174" s="20"/>
        <tr r="D430" s="20"/>
        <tr r="I430" s="20"/>
        <tr r="C430" s="20"/>
        <tr r="C101" s="20"/>
        <tr r="D101" s="20"/>
        <tr r="E126" s="20"/>
        <tr r="K126" s="20"/>
        <tr r="F126" s="20"/>
        <tr r="H126" s="20"/>
        <tr r="L126" s="20"/>
        <tr r="J126" s="20"/>
        <tr r="E44" s="20"/>
        <tr r="F44" s="20"/>
        <tr r="C44" s="20"/>
        <tr r="G44" s="20"/>
        <tr r="K44" s="20"/>
        <tr r="H44" s="20"/>
        <tr r="I44" s="20"/>
        <tr r="C32" s="20"/>
        <tr r="G32" s="20"/>
        <tr r="K32" s="20"/>
        <tr r="H32" s="20"/>
        <tr r="I32" s="20"/>
        <tr r="J32" s="20"/>
        <tr r="D32" s="20"/>
        <tr r="G406" s="20"/>
        <tr r="C406" s="20"/>
        <tr r="L393" s="20"/>
        <tr r="C393" s="20"/>
        <tr r="G393" s="20"/>
        <tr r="F393" s="20"/>
        <tr r="H393" s="20"/>
        <tr r="E393" s="20"/>
        <tr r="K350" s="20"/>
        <tr r="H350" s="20"/>
        <tr r="E350" s="20"/>
        <tr r="F350" s="20"/>
        <tr r="I350" s="20"/>
        <tr r="D431" s="20"/>
        <tr r="C431" s="20"/>
        <tr r="G450" s="20"/>
        <tr r="G370" s="20"/>
        <tr r="G379" s="20"/>
        <tr r="G8" s="20"/>
        <tr r="G283" s="20"/>
        <tr r="G53" s="20"/>
        <tr r="G182" s="20"/>
        <tr r="G97" s="20"/>
        <tr r="C438" s="20"/>
        <tr r="K438" s="20"/>
        <tr r="H439" s="20"/>
        <tr r="G439" s="20"/>
        <tr r="E439" s="20"/>
        <tr r="D391" s="20"/>
        <tr r="C391" s="20"/>
        <tr r="K211" s="20"/>
        <tr r="D211" s="20"/>
        <tr r="L211" s="20"/>
        <tr r="E211" s="20"/>
        <tr r="G110" s="20"/>
        <tr r="I110" s="20"/>
        <tr r="J110" s="20"/>
        <tr r="C110" s="20"/>
        <tr r="C319" s="20"/>
        <tr r="E319" s="20"/>
        <tr r="D319" s="20"/>
        <tr r="L319" s="20"/>
        <tr r="G131" s="20"/>
        <tr r="J131" s="20"/>
        <tr r="I131" s="20"/>
        <tr r="D131" s="20"/>
        <tr r="J24" s="20"/>
        <tr r="D24" s="20"/>
        <tr r="L24" s="20"/>
        <tr r="E414" s="20"/>
        <tr r="C414" s="20"/>
        <tr r="E53" s="20"/>
        <tr r="E224" s="20"/>
        <tr r="C422" s="20"/>
        <tr r="E422" s="20"/>
        <tr r="I367" s="20"/>
        <tr r="I68" s="20"/>
        <tr r="I450" s="20"/>
        <tr r="I437" s="20"/>
        <tr r="E429" s="20"/>
        <tr r="H429" s="20"/>
        <tr r="F381" s="20"/>
        <tr r="C381" s="20"/>
        <tr r="D198" s="20"/>
        <tr r="L198" s="20"/>
        <tr r="E198" s="20"/>
        <tr r="J93" s="20"/>
        <tr r="C93" s="20"/>
        <tr r="K93" s="20"/>
        <tr r="E302" s="20"/>
        <tr r="D302" s="20"/>
        <tr r="L302" s="20"/>
        <tr r="I114" s="20"/>
        <tr r="D114" s="20"/>
        <tr r="L114" s="20"/>
        <tr r="D16" s="20"/>
        <tr r="L16" s="20"/>
        <tr r="E16" s="20"/>
        <tr r="C158" s="20"/>
        <tr r="C367" s="20"/>
        <tr r="C451" s="20"/>
        <tr r="C437" s="20"/>
        <tr r="C224" s="20"/>
        <tr r="C255" s="20"/>
        <tr r="D375" s="20"/>
        <tr r="C375" s="20"/>
        <tr r="I375" s="20"/>
        <tr r="F308" s="20"/>
        <tr r="F352" s="20"/>
        <tr r="F277" s="20"/>
        <tr r="F372" s="20"/>
        <tr r="D372" s="20"/>
        <tr r="C372" s="20"/>
        <tr r="K372" s="20"/>
        <tr r="E182" s="20"/>
        <tr r="I182" s="20"/>
        <tr r="F182" s="20"/>
        <tr r="K81" s="20"/>
        <tr r="E81" s="20"/>
        <tr r="D81" s="20"/>
        <tr r="L283" s="20"/>
        <tr r="F283" s="20"/>
        <tr r="L97" s="20"/>
        <tr r="E97" s="20"/>
        <tr r="E8" s="20"/>
        <tr r="F8" s="20"/>
        <tr r="F404" s="20"/>
        <tr r="E404" s="20"/>
        <tr r="H170" s="20"/>
        <tr r="G170" s="20"/>
        <tr r="F53" s="20"/>
        <tr r="L53" s="20"/>
        <tr r="I257" s="20"/>
        <tr r="G257" s="20"/>
        <tr r="C79" s="20"/>
        <tr r="G79" s="20"/>
        <tr r="J381" s="20"/>
        <tr r="D434" s="20"/>
        <tr r="F349" s="20"/>
        <tr r="J234" s="20"/>
        <tr r="G138" s="20"/>
        <tr r="L382" s="20"/>
        <tr r="E181" s="20"/>
        <tr r="J6" s="20"/>
        <tr r="C348" s="20"/>
        <tr r="D269" s="20"/>
        <tr r="J172" s="20"/>
        <tr r="C432" s="20"/>
        <tr r="F121" s="20"/>
        <tr r="K425" s="20"/>
        <tr r="F264" s="20"/>
        <tr r="G413" s="20"/>
        <tr r="L310" s="20"/>
        <tr r="J244" s="20"/>
        <tr r="L254" s="20"/>
        <tr r="H443" s="20"/>
        <tr r="H30" s="20"/>
        <tr r="F282" s="20"/>
        <tr r="J417" s="20"/>
        <tr r="I418" s="20"/>
        <tr r="D334" s="20"/>
        <tr r="G234" s="20"/>
        <tr r="L138" s="20"/>
        <tr r="C382" s="20"/>
        <tr r="C125" s="20"/>
        <tr r="J379" s="20"/>
        <tr r="J372" s="20"/>
        <tr r="J306" s="20"/>
        <tr r="J374" s="20"/>
        <tr r="J280" s="20"/>
        <tr r="J385" s="20"/>
        <tr r="J401" s="20"/>
        <tr r="L434" s="20"/>
        <tr r="E434" s="20"/>
        <tr r="F418" s="20"/>
        <tr r="G398" s="20"/>
        <tr r="E380" s="20"/>
        <tr r="I368" s="20"/>
        <tr r="C368" s="20"/>
        <tr r="H349" s="20"/>
        <tr r="E334" s="20"/>
        <tr r="I315" s="20"/>
        <tr r="F290" s="20"/>
        <tr r="L290" s="20"/>
        <tr r="D273" s="20"/>
        <tr r="C250" s="20"/>
        <tr r="C234" s="20"/>
        <tr r="H217" s="20"/>
        <tr r="K217" s="20"/>
        <tr r="H196" s="20"/>
        <tr r="K176" s="20"/>
        <tr r="I155" s="20"/>
        <tr r="H138" s="20"/>
        <tr r="C138" s="20"/>
        <tr r="J120" s="20"/>
        <tr r="D92" s="20"/>
        <tr r="C64" s="20"/>
        <tr r="G442" s="20"/>
        <tr r="L442" s="20"/>
        <tr r="J382" s="20"/>
        <tr r="H313" s="20"/>
        <tr r="C278" s="20"/>
        <tr r="D220" s="20"/>
        <tr r="F220" s="20"/>
        <tr r="H181" s="20"/>
        <tr r="E125" s="20"/>
        <tr r="J95" s="20"/>
        <tr r="D66" s="20"/>
        <tr r="F66" s="20"/>
        <tr r="F39" s="20"/>
        <tr r="I22" s="20"/>
        <tr r="C6" s="20"/>
        <tr r="D448" s="20"/>
        <tr r="L433" s="20"/>
        <tr r="E433" s="20"/>
        <tr r="C416" s="20"/>
        <tr r="E397" s="20"/>
        <tr r="L379" s="20"/>
        <tr r="D365" s="20"/>
        <tr r="K348" s="20"/>
        <tr r="F348" s="20"/>
        <tr r="L332" s="20"/>
        <tr r="K314" s="20"/>
        <tr r="D289" s="20"/>
        <tr r="K269" s="20"/>
        <tr r="F269" s="20"/>
        <tr r="H249" s="20"/>
        <tr r="G232" s="20"/>
        <tr r="E215" s="20"/>
        <tr r="K193" s="20"/>
        <tr r="D193" s="20"/>
        <tr r="D172" s="20"/>
        <tr r="E154" s="20"/>
        <tr r="F135" s="20"/>
        <tr r="L116" s="20"/>
        <tr r="E116" s="20"/>
        <tr r="L90" s="20"/>
        <tr r="K54" s="20"/>
        <tr r="K432" s="20"/>
        <tr r="H360" s="20"/>
        <tr r="C360" s="20"/>
        <tr r="J311" s="20"/>
        <tr r="D267" s="20"/>
        <tr r="F216" s="20"/>
        <tr r="H173" s="20"/>
        <tr r="H121" s="20"/>
        <tr r="H87" s="20"/>
        <tr r="G63" s="20"/>
        <tr r="F37" s="20"/>
        <tr r="F20" s="20"/>
        <tr r="K395" s="20"/>
        <tr r="K420" s="20"/>
        <tr r="K386" s="20"/>
        <tr r="J431" s="20"/>
        <tr r="K415" s="20"/>
        <tr r="C392" s="20"/>
        <tr r="E377" s="20"/>
        <tr r="E347" s="20"/>
        <tr r="C307" s="20"/>
        <tr r="F288" s="20"/>
        <tr r="F248" s="20"/>
        <tr r="I212" s="20"/>
        <tr r="D192" s="20"/>
        <tr r="E153" s="20"/>
        <tr r="H134" s="20"/>
        <tr r="K89" s="20"/>
        <tr r="J413" s="20"/>
        <tr r="C353" s="20"/>
        <tr r="H259" s="20"/>
        <tr r="D203" s="20"/>
        <tr r="K117" s="20"/>
        <tr r="J58" s="20"/>
        <tr r="D34" s="20"/>
        <tr r="L352" s="20"/>
        <tr r="L298" s="20"/>
        <tr r="H444" s="20"/>
        <tr r="I414" s="20"/>
        <tr r="G376" s="20"/>
        <tr r="C343" s="20"/>
        <tr r="F329" s="20"/>
        <tr r="C284" s="20"/>
        <tr r="D244" s="20"/>
        <tr r="E230" s="20"/>
        <tr r="L191" s="20"/>
        <tr r="E167" s="20"/>
        <tr r="G133" s="20"/>
        <tr r="D88" s="20"/>
        <tr r="L48" s="20"/>
        <tr r="L344" s="20"/>
        <tr r="C297" s="20"/>
        <tr r="K201" s="20"/>
        <tr r="L113" s="20"/>
        <tr r="G78" s="20"/>
        <tr r="D31" s="20"/>
        <tr r="I15" s="20"/>
        <tr r="D443" s="20"/>
        <tr r="H408" s="20"/>
        <tr r="J373" s="20"/>
        <tr r="D341" s="20"/>
        <tr r="H301" s="20"/>
        <tr r="F241" s="20"/>
        <tr r="G208" s="20"/>
        <tr r="H145" s="20"/>
        <tr r="D296" s="20"/>
        <tr r="I55" s="20"/>
        <tr r="G404" s="20"/>
        <tr r="L276" s="20"/>
        <tr r="K144" s="20"/>
        <tr r="G194" s="20"/>
        <tr r="H124" s="20"/>
        <tr r="D253" s="20"/>
        <tr r="C105" s="20"/>
        <tr r="J420" s="20"/>
        <tr r="L380" s="20"/>
        <tr r="E290" s="20"/>
        <tr r="E196" s="20"/>
        <tr r="H120" s="20"/>
        <tr r="J278" s="20"/>
        <tr r="K66" s="20"/>
        <tr r="C433" s="20"/>
        <tr r="D348" s="20"/>
        <tr r="G249" s="20"/>
        <tr r="D135" s="20"/>
        <tr r="E360" s="20"/>
        <tr r="F63" s="20"/>
        <tr r="C415" s="20"/>
        <tr r="C192" s="20"/>
        <tr r="K259" s="20"/>
        <tr r="K414" s="20"/>
        <tr r="J88" s="20"/>
        <tr r="E372" s="20"/>
        <tr r="C241" s="20"/>
        <tr r="J261" s="20"/>
        <tr r="J295" s="20"/>
        <tr r="J395" s="20"/>
        <tr r="J335" s="20"/>
        <tr r="J277" s="20"/>
        <tr r="J375" s="20"/>
        <tr r="K434" s="20"/>
        <tr r="D418" s="20"/>
        <tr r="C418" s="20"/>
        <tr r="C398" s="20"/>
        <tr r="D380" s="20"/>
        <tr r="G368" s="20"/>
        <tr r="L349" s="20"/>
        <tr r="J349" s="20"/>
        <tr r="H334" s="20"/>
        <tr r="E315" s="20"/>
        <tr r="K290" s="20"/>
        <tr r="H273" s="20"/>
        <tr r="J273" s="20"/>
        <tr r="I250" s="20"/>
        <tr r="I234" s="20"/>
        <tr r="F217" s="20"/>
        <tr r="L196" s="20"/>
        <tr r="G196" s="20"/>
        <tr r="J176" s="20"/>
        <tr r="G155" s="20"/>
        <tr r="F138" s="20"/>
        <tr r="E120" s="20"/>
        <tr r="G120" s="20"/>
        <tr r="L92" s="20"/>
        <tr r="I64" s="20"/>
        <tr r="E442" s="20"/>
        <tr r="D382" s="20"/>
        <tr r="G382" s="20"/>
        <tr r="I313" s="20"/>
        <tr r="H278" s="20"/>
        <tr r="C220" s="20"/>
        <tr r="D181" s="20"/>
        <tr r="C181" s="20"/>
        <tr r="G125" s="20"/>
        <tr r="H95" s="20"/>
        <tr r="C66" s="20"/>
        <tr r="D39" s="20"/>
        <tr r="G39" s="20"/>
        <tr r="F22" s="20"/>
        <tr r="I6" s="20"/>
        <tr r="I448" s="20"/>
        <tr r="J433" s="20"/>
        <tr r="H416" s="20"/>
        <tr r="I416" s="20"/>
        <tr r="K397" s="20"/>
        <tr r="K379" s="20"/>
        <tr r="C365" s="20"/>
        <tr r="J348" s="20"/>
        <tr r="G332" s="20"/>
        <tr r="H332" s="20"/>
        <tr r="L314" s="20"/>
        <tr r="C289" s="20"/>
        <tr r="J269" s="20"/>
        <tr r="L249" s="20"/>
        <tr r="E249" s="20"/>
        <tr r="E232" s="20"/>
        <tr r="D215" s="20"/>
        <tr r="J193" s="20"/>
        <tr r="I172" s="20"/>
        <tr r="K172" s="20"/>
        <tr r="D154" s="20"/>
        <tr r="C135" s="20"/>
        <tr r="K116" s="20"/>
        <tr r="H90" s="20"/>
        <tr r="I90" s="20"/>
        <tr r="I54" s="20"/>
        <tr r="J432" s="20"/>
        <tr r="L360" s="20"/>
        <tr r="H311" s="20"/>
        <tr r="C311" s="20"/>
        <tr r="J267" s="20"/>
        <tr r="D216" s="20"/>
        <tr r="E173" s="20"/>
        <tr r="E121" s="20"/>
        <tr r="E87" s="20"/>
        <tr r="L63" s="20"/>
        <tr r="L37" s="20"/>
        <tr r="D20" s="20"/>
        <tr r="K429" s="20"/>
        <tr r="K440" s="20"/>
        <tr r="H445" s="20"/>
        <tr r="F431" s="20"/>
        <tr r="J415" s="20"/>
        <tr r="G392" s="20"/>
        <tr r="E363" s="20"/>
        <tr r="F347" s="20"/>
        <tr r="E307" s="20"/>
        <tr r="E264" s="20"/>
        <tr r="L248" s="20"/>
        <tr r="E212" s="20"/>
        <tr r="E168" s="20"/>
        <tr r="C153" s="20"/>
        <tr r="L111" s="20"/>
        <tr r="H89" s="20"/>
        <tr r="F413" s="20"/>
        <tr r="J304" s="20"/>
        <tr r="E259" s="20"/>
        <tr r="G166" s="20"/>
        <tr r="I117" s="20"/>
        <tr r="F58" s="20"/>
        <tr r="J17" s="20"/>
        <tr r="L367" s="20"/>
        <tr r="L364" s="20"/>
        <tr r="D428" s="20"/>
        <tr r="H390" s="20"/>
        <tr r="K376" s="20"/>
        <tr r="E343" s="20"/>
        <tr r="E303" s="20"/>
        <tr r="D284" s="20"/>
        <tr r="I244" s="20"/>
        <tr r="L210" s="20"/>
        <tr r="J191" s="20"/>
        <tr r="F148" s="20"/>
        <tr r="K133" s="20"/>
        <tr r="I88" s="20"/>
        <tr r="E411" s="20"/>
        <tr r="D344" s="20"/>
        <tr r="D254" s="20"/>
        <tr r="C201" s="20"/>
        <tr r="J113" s="20"/>
        <tr r="E56" s="20"/>
        <tr r="H31" s="20"/>
        <tr r="E381" s="20"/>
        <tr r="G443" s="20"/>
        <tr r="D408" s="20"/>
        <tr r="K361" s="20"/>
        <tr r="G328" s="20"/>
        <tr r="G279" s="20"/>
        <tr r="I241" s="20"/>
        <tr r="E208" s="20"/>
        <tr r="E107" s="20"/>
        <tr r="I252" s="20"/>
        <tr r="D14" s="20"/>
        <tr r="L371" s="20"/>
        <tr r="L240" s="20"/>
        <tr r="C127" s="20"/>
        <tr r="C51" s="20"/>
        <tr r="K285" s="20"/>
        <tr r="I142" s="20"/>
        <tr r="G163" s="20"/>
        <tr r="J310" s="20"/>
        <tr r="E398" s="20"/>
        <tr r="G315" s="20"/>
        <tr r="F196" s="20"/>
        <tr r="J64" s="20"/>
        <tr r="K220" s="20"/>
        <tr r="L39" s="20"/>
        <tr r="J416" s="20"/>
        <tr r="C314" s="20"/>
        <tr r="L215" s="20"/>
        <tr r="H116" s="20"/>
        <tr r="F173" s="20"/>
        <tr r="K430" s="20"/>
        <tr r="G307" s="20"/>
        <tr r="E111" s="20"/>
        <tr r="E34" s="20"/>
        <tr r="F284" s="20"/>
        <tr r="G201" s="20"/>
        <tr r="I408" s="20"/>
        <tr r="K252" s="20"/>
        <tr r="D394" s="20"/>
        <tr r="J391" s="20"/>
        <tr r="J403" s="20"/>
        <tr r="J345" s="20"/>
        <tr r="J405" s="20"/>
        <tr r="J430" s="20"/>
        <tr r="J275" s="20"/>
        <tr r="J396" s="20"/>
        <tr r="C434" s="20"/>
        <tr r="J418" s="20"/>
        <tr r="L398" s="20"/>
        <tr r="K398" s="20"/>
        <tr r="K380" s="20"/>
        <tr r="F368" s="20"/>
        <tr r="D349" s="20"/>
        <tr r="K334" s="20"/>
        <tr r="F334" s="20"/>
        <tr r="L315" s="20"/>
        <tr r="C290" s="20"/>
        <tr r="G273" s="20"/>
        <tr r="F250" s="20"/>
        <tr r="G250" s="20"/>
        <tr r="H234" s="20"/>
        <tr r="E217" s="20"/>
        <tr r="D196" s="20"/>
        <tr r="G176" s="20"/>
        <tr r="H176" s="20"/>
        <tr r="F155" s="20"/>
        <tr r="E138" s="20"/>
        <tr r="L120" s="20"/>
        <tr r="J92" s="20"/>
        <tr r="F92" s="20"/>
        <tr r="G64" s="20"/>
        <tr r="K442" s="20"/>
        <tr r="K382" s="20"/>
        <tr r="L313" s="20"/>
        <tr r="F313" s="20"/>
        <tr r="G278" s="20"/>
        <tr r="J220" s="20"/>
        <tr r="J181" s="20"/>
        <tr r="L125" s="20"/>
        <tr r="F125" s="20"/>
        <tr r="E95" s="20"/>
        <tr r="J66" s="20"/>
        <tr r="K39" s="20"/>
        <tr r="L22" s="20"/>
        <tr r="E22" s="20"/>
        <tr r="H6" s="20"/>
        <tr r="H448" s="20"/>
        <tr r="I433" s="20"/>
        <tr r="F416" s="20"/>
        <tr r="G416" s="20"/>
        <tr r="I397" s="20"/>
        <tr r="C379" s="20"/>
        <tr r="J365" s="20"/>
        <tr r="I348" s="20"/>
        <tr r="F332" s="20"/>
        <tr r="D332" s="20"/>
        <tr r="J314" s="20"/>
        <tr r="I289" s="20"/>
        <tr r="I269" s="20"/>
        <tr r="D249" s="20"/>
        <tr r="F249" s="20"/>
        <tr r="C232" s="20"/>
        <tr r="K215" s="20"/>
        <tr r="I193" s="20"/>
        <tr r="H172" s="20"/>
        <tr r="C172" s="20"/>
        <tr r="J154" s="20"/>
        <tr r="L135" s="20"/>
        <tr r="C116" s="20"/>
        <tr r="G90" s="20"/>
        <tr r="D90" s="20"/>
        <tr r="J54" s="20"/>
        <tr r="I432" s="20"/>
        <tr r="D360" s="20"/>
        <tr r="G311" s="20"/>
        <tr r="E311" s="20"/>
        <tr r="I267" s="20"/>
        <tr r="K216" s="20"/>
        <tr r="G173" s="20"/>
        <tr r="D121" s="20"/>
        <tr r="L87" s="20"/>
        <tr r="D63" s="20"/>
        <tr r="J37" s="20"/>
        <tr r="J20" s="20"/>
        <tr r="K439" s="20"/>
        <tr r="K403" s="20"/>
        <tr r="F445" s="20"/>
        <tr r="E431" s="20"/>
        <tr r="H415" s="20"/>
        <tr r="L377" s="20"/>
        <tr r="K363" s="20"/>
        <tr r="D331" s="20"/>
        <tr r="H307" s="20"/>
        <tr r="I264" s="20"/>
        <tr r="C231" s="20"/>
        <tr r="J212" s="20"/>
        <tr r="K168" s="20"/>
        <tr r="I153" s="20"/>
        <tr r="C111" s="20"/>
        <tr r="I50" s="20"/>
        <tr r="D413" s="20"/>
        <tr r="F304" s="20"/>
        <tr r="C259" s="20"/>
        <tr r="I166" s="20"/>
        <tr r="I80" s="20"/>
        <tr r="L58" s="20"/>
        <tr r="G17" s="20"/>
        <tr r="L396" s="20"/>
        <tr r="L386" s="20"/>
        <tr r="H428" s="20"/>
        <tr r="E390" s="20"/>
        <tr r="F362" s="20"/>
        <tr r="D343" s="20"/>
        <tr r="I303" s="20"/>
        <tr r="D263" s="20"/>
        <tr r="E244" s="20"/>
        <tr r="C210" s="20"/>
        <tr r="K167" s="20"/>
        <tr r="D148" s="20"/>
        <tr r="H109" s="20"/>
        <tr r="F88" s="20"/>
        <tr r="H411" s="20"/>
        <tr r="F297" s="20"/>
        <tr r="I254" s="20"/>
        <tr r="D161" s="20"/>
        <tr r="H113" s="20"/>
        <tr r="K56" s="20"/>
        <tr r="F15" s="20"/>
        <tr r="E417" s="20"/>
        <tr r="H424" s="20"/>
        <tr r="D389" s="20"/>
        <tr r="D361" s="20"/>
        <tr r="D328" s="20"/>
        <tr r="D279" s="20"/>
        <tr r="E229" s="20"/>
        <tr r="E186" s="20"/>
        <tr r="K83" s="20"/>
        <tr r="F197" s="20"/>
        <tr r="G381" s="20"/>
        <tr r="L359" s="20"/>
        <tr r="F226" s="20"/>
        <tr r="J106" s="20"/>
        <tr r="F438" s="20"/>
        <tr r="G70" s="20"/>
        <tr r="I388" s="20"/>
        <tr r="G295" s="20"/>
        <tr r="D433" s="20"/>
        <tr r="G148" s="20"/>
        <tr r="J357" s="20"/>
        <tr r="C380" s="20"/>
        <tr r="D217" s="20"/>
        <tr r="I92" s="20"/>
        <tr r="H220" s="20"/>
        <tr r="G95" s="20"/>
        <tr r="F6" s="20"/>
        <tr r="G448" s="20"/>
        <tr r="E416" s="20"/>
        <tr r="J397" s="20"/>
        <tr r="D397" s="20"/>
        <tr r="I365" s="20"/>
        <tr r="E348" s="20"/>
        <tr r="E332" s="20"/>
        <tr r="I314" s="20"/>
        <tr r="F314" s="20"/>
        <tr r="G269" s="20"/>
        <tr r="K249" s="20"/>
        <tr r="L232" s="20"/>
        <tr r="J232" s="20"/>
        <tr r="H193" s="20"/>
        <tr r="I154" s="20"/>
        <tr r="K154" s="20"/>
        <tr r="K135" s="20"/>
        <tr r="J116" s="20"/>
        <tr r="F90" s="20"/>
        <tr r="F54" s="20"/>
        <tr r="H54" s="20"/>
        <tr r="G432" s="20"/>
        <tr r="K360" s="20"/>
        <tr r="F311" s="20"/>
        <tr r="H267" s="20"/>
        <tr r="C267" s="20"/>
        <tr r="J216" s="20"/>
        <tr r="D173" s="20"/>
        <tr r="I121" s="20"/>
        <tr r="I87" s="20"/>
        <tr r="I63" s="20"/>
        <tr r="I37" s="20"/>
        <tr r="K20" s="20"/>
        <tr r="K449" s="20"/>
        <tr r="K447" s="20"/>
        <tr r="L445" s="20"/>
        <tr r="L431" s="20"/>
        <tr r="G415" s="20"/>
        <tr r="D377" s="20"/>
        <tr r="C363" s="20"/>
        <tr r="K331" s="20"/>
        <tr r="K288" s="20"/>
        <tr r="L264" s="20"/>
        <tr r="J231" s="20"/>
        <tr r="C212" s="20"/>
        <tr r="C168" s="20"/>
        <tr r="F134" s="20"/>
        <tr r="I111" s="20"/>
        <tr r="H50" s="20"/>
        <tr r="K413" s="20"/>
        <tr r="L304" s="20"/>
        <tr r="J203" s="20"/>
        <tr r="F166" s="20"/>
        <tr r="H80" s="20"/>
        <tr r="E58" s="20"/>
        <tr r="F17" s="20"/>
        <tr r="L406" s="20"/>
        <tr r="L425" s="20"/>
        <tr r="G428" s="20"/>
        <tr r="L390" s="20"/>
        <tr r="E362" s="20"/>
        <tr r="K329" s="20"/>
        <tr r="D303" s="20"/>
        <tr r="K263" s="20"/>
        <tr r="F244" s="20"/>
        <tr r="J210" s="20"/>
        <tr r="C167" s="20"/>
        <tr r="J148" s="20"/>
        <tr r="G109" s="20"/>
        <tr r="E88" s="20"/>
        <tr r="G411" s="20"/>
        <tr r="E297" s="20"/>
        <tr r="H254" s="20"/>
        <tr r="K161" s="20"/>
        <tr r="I113" s="20"/>
        <tr r="C56" s="20"/>
        <tr r="E15" s="20"/>
        <tr r="E425" s="20"/>
        <tr r="F424" s="20"/>
        <tr r="K389" s="20"/>
        <tr r="C361" s="20"/>
        <tr r="L328" s="20"/>
        <tr r="K262" s="20"/>
        <tr r="L229" s="20"/>
        <tr r="L186" s="20"/>
        <tr r="J83" s="20"/>
        <tr r="I157" s="20"/>
        <tr r="G437" s="20"/>
        <tr r="K340" s="20"/>
        <tr r="J226" s="20"/>
        <tr r="H77" s="20"/>
        <tr r="I386" s="20"/>
        <tr r="D45" s="20"/>
        <tr r="D281" s="20"/>
        <tr r="J112" s="20"/>
        <tr r="J241" s="20"/>
        <tr r="H368" s="20"/>
        <tr r="J250" s="20"/>
        <tr r="H155" s="20"/>
        <tr r="F442" s="20"/>
        <tr r="L181" s="20"/>
        <tr r="E39" s="20"/>
        <tr r="D379" s="20"/>
        <tr r="C269" s="20"/>
        <tr r="E193" s="20"/>
        <tr r="J90" s="20"/>
        <tr r="L216" s="20"/>
        <tr r="L20" s="20"/>
        <tr r="J347" s="20"/>
        <tr r="K153" s="20"/>
        <tr r="G58" s="20"/>
        <tr r="F303" s="20"/>
        <tr r="H344" s="20"/>
        <tr r="J31" s="20"/>
        <tr r="I279" s="20"/>
        <tr r="E387" s="20"/>
        <tr r="K156" s="20"/>
        <tr r="J333" s="20"/>
        <tr r="K349" s="20"/>
        <tr r="E250" s="20"/>
        <tr r="I176" s="20"/>
        <tr r="H64" s="20"/>
        <tr r="E313" s="20"/>
        <tr r="D125" s="20"/>
        <tr r="C39" s="20"/>
        <tr r="G22" s="20"/>
        <tr r="H433" s="20"/>
        <tr r="G289" s="20"/>
        <tr r="J325" s="20"/>
        <tr r="J380" s="20"/>
        <tr r="J334" s="20"/>
        <tr r="J290" s="20"/>
        <tr r="K273" s="20"/>
        <tr r="L250" s="20"/>
        <tr r="L234" s="20"/>
        <tr r="E234" s="20"/>
        <tr r="C217" s="20"/>
        <tr r="C196" s="20"/>
        <tr r="E176" s="20"/>
        <tr r="K155" s="20"/>
        <tr r="D155" s="20"/>
        <tr r="D138" s="20"/>
        <tr r="K120" s="20"/>
        <tr r="H92" s="20"/>
        <tr r="L64" s="20"/>
        <tr r="E64" s="20"/>
        <tr r="J442" s="20"/>
        <tr r="H382" s="20"/>
        <tr r="K313" s="20"/>
        <tr r="L278" s="20"/>
        <tr r="F278" s="20"/>
        <tr r="G220" s="20"/>
        <tr r="K181" s="20"/>
        <tr r="J125" s="20"/>
        <tr r="L95" s="20"/>
        <tr r="C95" s="20"/>
        <tr r="H66" s="20"/>
        <tr r="J39" s="20"/>
        <tr r="K22" s="20"/>
        <tr r="L6" s="20"/>
        <tr r="E6" s="20"/>
        <tr r="C448" s="20"/>
        <tr r="G433" s="20"/>
        <tr r="L416" s="20"/>
        <tr r="H397" s="20"/>
        <tr r="C397" s="20"/>
        <tr r="I379" s="20"/>
        <tr r="H365" s="20"/>
        <tr r="L348" s="20"/>
        <tr r="K332" s="20"/>
        <tr r="H314" s="20"/>
        <tr r="D314" s="20"/>
        <tr r="J289" s="20"/>
        <tr r="E269" s="20"/>
        <tr r="C249" s="20"/>
        <tr r="D232" s="20"/>
        <tr r="K232" s="20"/>
        <tr r="J215" s="20"/>
        <tr r="G193" s="20"/>
        <tr r="F172" s="20"/>
        <tr r="H154" s="20"/>
        <tr r="C154" s="20"/>
        <tr r="J135" s="20"/>
        <tr r="I116" s="20"/>
        <tr r="E90" s="20"/>
        <tr r="E54" s="20"/>
        <tr r="G54" s="20"/>
        <tr r="H432" s="20"/>
        <tr r="J360" s="20"/>
        <tr r="L311" s="20"/>
        <tr r="G267" s="20"/>
        <tr r="E267" s="20"/>
        <tr r="I216" s="20"/>
        <tr r="L173" s="20"/>
        <tr r="K121" s="20"/>
        <tr r="J87" s="20"/>
        <tr r="C63" s="20"/>
        <tr r="K37" s="20"/>
        <tr r="C20" s="20"/>
        <tr r="K375" s="20"/>
        <tr r="K422" s="20"/>
        <tr r="D445" s="20"/>
        <tr r="I431" s="20"/>
        <tr r="E415" s="20"/>
        <tr r="J377" s="20"/>
        <tr r="I347" s="20"/>
        <tr r="G331" s="20"/>
        <tr r="I288" s="20"/>
        <tr r="D264" s="20"/>
        <tr r="H231" s="20"/>
        <tr r="H192" s="20"/>
        <tr r="H168" s="20"/>
        <tr r="G134" s="20"/>
        <tr r="G111" s="20"/>
        <tr r="L50" s="20"/>
        <tr r="I353" s="20"/>
        <tr r="G304" s="20"/>
        <tr r="F203" s="20"/>
        <tr r="D166" s="20"/>
        <tr r="K80" s="20"/>
        <tr r="I34" s="20"/>
        <tr r="K17" s="20"/>
        <tr r="L440" s="20"/>
        <tr r="D444" s="20"/>
        <tr r="E428" s="20"/>
        <tr r="C390" s="20"/>
        <tr r="K362" s="20"/>
        <tr r="I329" s="20"/>
        <tr r="I284" s="20"/>
        <tr r="G263" s="20"/>
        <tr r="G230" s="20"/>
        <tr r="F210" s="20"/>
        <tr r="H167" s="20"/>
        <tr r="E133" s="20"/>
        <tr r="K109" s="20"/>
        <tr r="F48" s="20"/>
        <tr r="K411" s="20"/>
        <tr r="J297" s="20"/>
        <tr r="F201" s="20"/>
        <tr r="H161" s="20"/>
        <tr r="L78" s="20"/>
        <tr r="I56" s="20"/>
        <tr r="K15" s="20"/>
        <tr r="E369" s="20"/>
        <tr r="C424" s="20"/>
        <tr r="I389" s="20"/>
        <tr r="F341" s="20"/>
        <tr r="K301" s="20"/>
        <tr r="I262" s="20"/>
        <tr r="H229" s="20"/>
        <tr r="I165" s="20"/>
        <tr r="L410" s="20"/>
        <tr r="H108" s="20"/>
        <tr r="G449" s="20"/>
        <tr r="G321" s="20"/>
        <tr r="C207" s="20"/>
        <tr r="C43" s="20"/>
        <tr r="F299" s="20"/>
        <tr r="H421" s="20"/>
        <tr r="E67" s="20"/>
        <tr r="J352" s="20"/>
        <tr r="E418" s="20"/>
        <tr r="L334" s="20"/>
        <tr r="L273" s="20"/>
        <tr r="C176" s="20"/>
        <tr r="C92" s="20"/>
        <tr r="G313" s="20"/>
        <tr r="I95" s="20"/>
        <tr r="J448" s="20"/>
        <tr r="K365" s="20"/>
        <tr r="K289" s="20"/>
        <tr r="C193" s="20"/>
        <tr r="D116" s="20"/>
        <tr r="G360" s="20"/>
        <tr r="K267" s="20"/>
        <tr r="E37" s="20"/>
        <tr r="H431" s="20"/>
        <tr r="F363" s="20"/>
        <tr r="F212" s="20"/>
        <tr r="K353" s="20"/>
        <tr r="L117" s="20"/>
        <tr r="L428" s="20"/>
        <tr r="G343" s="20"/>
        <tr r="C191" s="20"/>
        <tr r="F411" s="20"/>
        <tr r="F56" s="20"/>
        <tr r="E373" s="20"/>
        <tr r="D208" s="20"/>
        <tr r="L127" s="20"/>
        <tr r="J419" s="20"/>
        <tr r="J440" s="20"/>
        <tr r="D398" s="20"/>
        <tr r="E368" s="20"/>
        <tr r="H315" s="20"/>
        <tr r="E273" s="20"/>
        <tr r="F176" s="20"/>
        <tr r="D120" s="20"/>
        <tr r="C442" s="20"/>
        <tr r="I278" s="20"/>
        <tr r="I66" s="20"/>
        <tr r="G172" s="20"/>
        <tr r="J429" s="20"/>
        <tr r="J371" s="20"/>
        <tr r="H418" s="20"/>
        <tr r="L368" s="20"/>
        <tr r="F315" s="20"/>
        <tr r="J437" s="20"/>
        <tr r="J342" s="20"/>
        <tr r="J439" s="20"/>
        <tr r="J260" s="20"/>
        <tr r="J406" s="20"/>
        <tr r="J436" s="20"/>
        <tr r="H434" s="20"/>
        <tr r="G418" s="20"/>
        <tr r="I398" s="20"/>
        <tr r="G380" s="20"/>
        <tr r="I380" s="20"/>
        <tr r="K368" s="20"/>
        <tr r="G349" s="20"/>
        <tr r="I334" s="20"/>
        <tr r="C315" s="20"/>
        <tr r="D315" s="20"/>
        <tr r="H290" s="20"/>
        <tr r="C273" s="20"/>
        <tr r="D250" s="20"/>
        <tr r="D234" s="20"/>
        <tr r="F234" s="20"/>
        <tr r="L217" s="20"/>
        <tr r="J196" s="20"/>
        <tr r="L176" s="20"/>
        <tr r="C155" s="20"/>
        <tr r="E155" s="20"/>
        <tr r="J138" s="20"/>
        <tr r="C120" s="20"/>
        <tr r="G92" s="20"/>
        <tr r="D64" s="20"/>
        <tr r="F64" s="20"/>
        <tr r="I442" s="20"/>
        <tr r="F382" s="20"/>
        <tr r="C313" s="20"/>
        <tr r="D278" s="20"/>
        <tr r="E278" s="20"/>
        <tr r="I220" s="20"/>
        <tr r="G181" s="20"/>
        <tr r="I125" s="20"/>
        <tr r="D95" s="20"/>
        <tr r="F95" s="20"/>
        <tr r="E66" s="20"/>
        <tr r="I39" s="20"/>
        <tr r="C22" s="20"/>
        <tr r="D6" s="20"/>
        <tr r="G6" s="20"/>
        <tr r="K448" s="20"/>
        <tr r="K433" s="20"/>
        <tr r="D416" s="20"/>
        <tr r="G397" s="20"/>
        <tr r="F379" s="20"/>
        <tr r="H379" s="20"/>
        <tr r="G365" s="20"/>
        <tr r="H348" s="20"/>
        <tr r="C332" s="20"/>
        <tr r="G314" s="20"/>
        <tr r="E289" s="20"/>
        <tr r="H289" s="20"/>
        <tr r="L269" s="20"/>
        <tr r="J249" s="20"/>
        <tr r="I232" s="20"/>
        <tr r="G215" s="20"/>
        <tr r="I215" s="20"/>
        <tr r="F193" s="20"/>
        <tr r="E172" s="20"/>
        <tr r="G154" s="20"/>
        <tr r="H135" s="20"/>
        <tr r="G135" s="20"/>
        <tr r="G116" s="20"/>
        <tr r="K90" s="20"/>
        <tr r="L54" s="20"/>
        <tr r="L432" s="20"/>
        <tr r="F432" s="20"/>
        <tr r="I360" s="20"/>
        <tr r="D311" s="20"/>
        <tr r="F267" s="20"/>
        <tr r="H216" s="20"/>
        <tr r="C216" s="20"/>
        <tr r="K173" s="20"/>
        <tr r="G121" s="20"/>
        <tr r="C87" s="20"/>
        <tr r="K63" s="20"/>
        <tr r="H20" s="20"/>
        <tr r="K366" s="20"/>
        <tr r="K385" s="20"/>
        <tr r="K381" s="20"/>
        <tr r="K445" s="20"/>
        <tr r="F415" s="20"/>
        <tr r="D392" s="20"/>
        <tr r="I377" s="20"/>
        <tr r="H347" s="20"/>
        <tr r="F331" s="20"/>
        <tr r="G288" s="20"/>
        <tr r="J248" s="20"/>
        <tr r="G231" s="20"/>
        <tr r="G192" s="20"/>
        <tr r="F168" s="20"/>
        <tr r="E134" s="20"/>
        <tr r="F89" s="20"/>
        <tr r="K50" s="20"/>
        <tr r="F353" s="20"/>
        <tr r="D304" s="20"/>
        <tr r="L203" s="20"/>
        <tr r="J117" s="20"/>
        <tr r="C80" s="20"/>
        <tr r="H34" s="20"/>
        <tr r="C17" s="20"/>
        <tr r="L451" s="20"/>
        <tr r="K444" s="20"/>
        <tr r="C428" s="20"/>
        <tr r="J390" s="20"/>
        <tr r="C362" s="20"/>
        <tr r="G329" s="20"/>
        <tr r="H284" s="20"/>
        <tr r="J263" s="20"/>
        <tr r="L230" s="20"/>
        <tr r="G210" s="20"/>
        <tr r="G167" s="20"/>
        <tr r="L133" s="20"/>
        <tr r="F109" s="20"/>
        <tr r="E48" s="20"/>
        <tr r="D411" s="20"/>
        <tr r="K297" s="20"/>
        <tr r="E201" s="20"/>
        <tr r="G161" s="20"/>
        <tr r="D78" s="20"/>
        <tr r="H56" s="20"/>
        <tr r="C15" s="20"/>
        <tr r="E419" s="20"/>
        <tr r="J424" s="20"/>
        <tr r="H389" s="20"/>
        <tr r="E341" s="20"/>
        <tr r="C301" s="20"/>
        <tr r="G262" s="20"/>
        <tr r="I229" s="20"/>
        <tr r="H165" s="20"/>
        <tr r="I410" s="20"/>
        <tr r="C108" s="20"/>
        <tr r="E441" s="20"/>
        <tr r="D321" s="20"/>
        <tr r="C180" s="20"/>
        <tr r="H43" s="20"/>
        <tr r="H256" s="20"/>
        <tr r="J383" s="20"/>
        <tr r="H41" s="20"/>
        <tr r="J384" s="20"/>
        <tr r="L418" s="20"/>
        <tr r="E349" s="20"/>
        <tr r="I273" s="20"/>
        <tr r="G217" s="20"/>
        <tr r="F120" s="20"/>
        <tr r="I382" s="20"/>
        <tr r="K125" s="20"/>
        <tr r="H22" s="20"/>
        <tr r="L397" s="20"/>
        <tr r="J332" s="20"/>
        <tr r="F232" s="20"/>
        <tr r="L154" s="20"/>
        <tr r="C54" s="20"/>
        <tr r="I311" s="20"/>
        <tr r="F87" s="20"/>
        <tr r="K405" s="20"/>
        <tr r="H392" s="20"/>
        <tr r="C248" s="20"/>
        <tr r="G89" s="20"/>
        <tr r="H166" s="20"/>
        <tr r="L358" s="20"/>
        <tr r="L376" s="20"/>
        <tr r="E210" s="20"/>
        <tr r="J133" s="20"/>
        <tr r="C113" s="20"/>
        <tr r="H328" s="20"/>
        <tr r="E132" s="20"/>
        <tr r="E74" s="20"/>
        <tr r="J271" s="20"/>
        <tr r="J434" s="20"/>
        <tr r="F398" s="20"/>
        <tr r="C334" s="20"/>
        <tr r="I290" s="20"/>
        <tr r="H250" s="20"/>
        <tr r="K196" s="20"/>
        <tr r="L155" s="20"/>
        <tr r="K92" s="20"/>
        <tr r="D313" s="20"/>
        <tr r="I181" s="20"/>
        <tr r="D22" s="20"/>
        <tr r="C215" s="20"/>
        <tr r="J425" s="20"/>
        <tr r="J291" s="20"/>
        <tr r="J298" s="20"/>
        <tr r="I434" s="20"/>
        <tr r="J398" s="20"/>
        <tr r="H380" s="20"/>
        <tr r="C349" s="20"/>
        <tr r="K315" s="20"/>
        <tr r="J364" s="20"/>
        <tr r="J447" s="20"/>
        <tr r="J366" s="20"/>
        <tr r="J449" s="20"/>
        <tr r="J367" s="20"/>
        <tr r="J451" s="20"/>
        <tr r="F434" s="20"/>
        <tr r="G434" s="20"/>
        <tr r="K418" s="20"/>
        <tr r="H398" s="20"/>
        <tr r="F380" s="20"/>
        <tr r="J368" s="20"/>
        <tr r="D368" s="20"/>
        <tr r="I349" s="20"/>
        <tr r="G334" s="20"/>
        <tr r="J315" s="20"/>
        <tr r="G290" s="20"/>
        <tr r="D290" s="20"/>
        <tr r="F273" s="20"/>
        <tr r="K250" s="20"/>
        <tr r="K234" s="20"/>
        <tr r="I217" s="20"/>
        <tr r="J217" s="20"/>
        <tr r="I196" s="20"/>
        <tr r="D176" s="20"/>
        <tr r="J155" s="20"/>
        <tr r="I138" s="20"/>
        <tr r="K138" s="20"/>
        <tr r="I120" s="20"/>
        <tr r="E92" s="20"/>
        <tr r="K64" s="20"/>
        <tr r="H442" s="20"/>
        <tr r="D442" s="20"/>
        <tr r="E382" s="20"/>
        <tr r="J313" s="20"/>
        <tr r="K278" s="20"/>
        <tr r="L220" s="20"/>
        <tr r="E220" s="20"/>
        <tr r="F181" s="20"/>
        <tr r="H125" s="20"/>
        <tr r="K95" s="20"/>
        <tr r="L66" s="20"/>
        <tr r="G66" s="20"/>
        <tr r="H39" s="20"/>
        <tr r="J22" s="20"/>
        <tr r="K6" s="20"/>
        <tr r="L448" s="20"/>
        <tr r="F448" s="20"/>
        <tr r="F433" s="20"/>
        <tr r="K416" s="20"/>
        <tr r="F397" s="20"/>
        <tr r="E379" s="20"/>
        <tr r="L365" s="20"/>
        <tr r="F365" s="20"/>
        <tr r="G348" s="20"/>
        <tr r="I332" s="20"/>
        <tr r="E314" s="20"/>
        <tr r="L289" s="20"/>
        <tr r="F289" s="20"/>
        <tr r="H269" s="20"/>
        <tr r="I249" s="20"/>
        <tr r="H232" s="20"/>
        <tr r="F215" s="20"/>
        <tr r="H215" s="20"/>
        <tr r="L193" s="20"/>
        <tr r="L172" s="20"/>
        <tr r="F154" s="20"/>
        <tr r="E135" s="20"/>
        <tr r="I135" s="20"/>
        <tr r="F116" s="20"/>
        <tr r="C90" s="20"/>
        <tr r="D54" s="20"/>
        <tr r="D432" s="20"/>
        <tr r="E432" s="20"/>
        <tr r="F360" s="20"/>
        <tr r="K311" s="20"/>
        <tr r="L267" s="20"/>
        <tr r="G216" s="20"/>
        <tr r="E216" s="20"/>
        <tr r="J173" s="20"/>
        <tr r="C121" s="20"/>
        <tr r="H63" s="20"/>
        <tr r="H37" s="20"/>
        <tr r="G20" s="20"/>
        <tr r="K384" s="20"/>
        <tr r="K396" s="20"/>
        <tr r="K437" s="20"/>
        <tr r="J445" s="20"/>
        <tr r="L415" s="20"/>
        <tr r="K392" s="20"/>
        <tr r="F377" s="20"/>
        <tr r="C347" s="20"/>
        <tr r="K307" s="20"/>
        <tr r="H288" s="20"/>
        <tr r="G248" s="20"/>
        <tr r="D231" s="20"/>
        <tr r="L192" s="20"/>
        <tr r="F153" s="20"/>
        <tr r="J134" s="20"/>
        <tr r="D89" s="20"/>
        <tr r="C50" s="20"/>
        <tr r="D353" s="20"/>
        <tr r="I259" s="20"/>
        <tr r="G203" s="20"/>
        <tr r="F117" s="20"/>
        <tr r="D80" s="20"/>
        <tr r="L34" s="20"/>
        <tr r="L306" s="20"/>
        <tr r="L333" s="20"/>
        <tr r="I444" s="20"/>
        <tr r="J414" s="20"/>
        <tr r="H376" s="20"/>
        <tr r="K343" s="20"/>
        <tr r="H329" s="20"/>
        <tr r="K284" s="20"/>
        <tr r="L244" s="20"/>
        <tr r="F230" s="20"/>
        <tr r="E191" s="20"/>
        <tr r="D167" s="20"/>
        <tr r="H133" s="20"/>
        <tr r="L88" s="20"/>
        <tr r="D48" s="20"/>
        <tr r="J344" s="20"/>
        <tr r="G297" s="20"/>
        <tr r="J201" s="20"/>
        <tr r="F113" s="20"/>
        <tr r="J78" s="20"/>
        <tr r="L31" s="20"/>
        <tr r="G15" s="20"/>
        <tr r="L443" s="20"/>
        <tr r="J408" s="20"/>
        <tr r="C373" s="20"/>
        <tr r="H341" s="20"/>
        <tr r="J301" s="20"/>
        <tr r="G241" s="20"/>
        <tr r="H208" s="20"/>
        <tr r="D145" s="20"/>
        <tr r="G339" s="20"/>
        <tr r="L55" s="20"/>
        <tr r="L404" s="20"/>
        <tr r="F276" s="20"/>
        <tr r="K164" s="20"/>
        <tr r="G246" s="20"/>
        <tr r="L159" s="20"/>
        <tr r="D293" s="20"/>
        <tr r="K251" s="20"/>
        <tr r="I173" s="20"/>
        <tr r="J121" s="20"/>
        <tr r="D87" s="20"/>
        <tr r="E63" s="20"/>
        <tr r="G37" s="20"/>
        <tr r="C37" s="20"/>
        <tr r="I20" s="20"/>
        <tr r="K419" s="20"/>
        <tr r="K406" s="20"/>
        <tr r="K364" s="20"/>
        <tr r="E445" s="20"/>
        <tr r="G431" s="20"/>
        <tr r="D415" s="20"/>
        <tr r="L392" s="20"/>
        <tr r="F392" s="20"/>
        <tr r="H377" s="20"/>
        <tr r="L363" s="20"/>
        <tr r="G347" s="20"/>
        <tr r="E331" s="20"/>
        <tr r="J331" s="20"/>
        <tr r="D307" s="20"/>
        <tr r="E288" s="20"/>
        <tr r="K264" s="20"/>
        <tr r="I248" s="20"/>
        <tr r="D248" s="20"/>
        <tr r="F231" s="20"/>
        <tr r="L212" s="20"/>
        <tr r="F192" s="20"/>
        <tr r="L168" s="20"/>
        <tr r="G168" s="20"/>
        <tr r="J153" s="20"/>
        <tr r="D134" s="20"/>
        <tr r="D111" s="20"/>
        <tr r="E89" s="20"/>
        <tr r="J89" s="20"/>
        <tr r="F50" s="20"/>
        <tr r="E413" s="20"/>
        <tr r="G353" s="20"/>
        <tr r="I304" s="20"/>
        <tr r="C304" s="20"/>
        <tr r="G259" s="20"/>
        <tr r="K203" s="20"/>
        <tr r="C166" s="20"/>
        <tr r="H117" s="20"/>
        <tr r="E117" s="20"/>
        <tr r="L80" s="20"/>
        <tr r="K58" s="20"/>
        <tr r="G34" s="20"/>
        <tr r="I17" s="20"/>
        <tr r="E17" s="20"/>
        <tr r="L375" s="20"/>
        <tr r="L233" s="20"/>
        <tr r="L381" s="20"/>
        <tr r="C444" s="20"/>
        <tr r="J428" s="20"/>
        <tr r="L414" s="20"/>
        <tr r="G390" s="20"/>
        <tr r="J376" s="20"/>
        <tr r="D376" s="20"/>
        <tr r="J362" s="20"/>
        <tr r="H343" s="20"/>
        <tr r="E329" s="20"/>
        <tr r="K303" s="20"/>
        <tr r="G284" s="20"/>
        <tr r="E263" s="20"/>
        <tr r="H263" s="20"/>
        <tr r="H244" s="20"/>
        <tr r="K230" s="20"/>
        <tr r="D210" s="20"/>
        <tr r="G191" s="20"/>
        <tr r="H191" s="20"/>
        <tr r="F167" s="20"/>
        <tr r="E148" s="20"/>
        <tr r="D133" s="20"/>
        <tr r="J109" s="20"/>
        <tr r="C109" s="20"/>
        <tr r="G88" s="20"/>
        <tr r="K48" s="20"/>
        <tr r="J411" s="20"/>
        <tr r="F344" s="20"/>
        <tr r="G344" s="20"/>
        <tr r="I297" s="20"/>
        <tr r="J254" s="20"/>
        <tr r="L201" s="20"/>
        <tr r="F161" s="20"/>
        <tr r="E161" s="20"/>
        <tr r="G113" s="20"/>
        <tr r="K78" s="20"/>
        <tr r="L56" s="20"/>
        <tr r="F31" s="20"/>
        <tr r="G31" s="20"/>
        <tr r="J15" s="20"/>
        <tr r="E391" s="20"/>
        <tr r="E405" s="20"/>
        <tr r="E443" s="20"/>
        <tr r="I424" s="20"/>
        <tr r="C408" s="20"/>
        <tr r="D373" s="20"/>
        <tr r="J361" s="20"/>
        <tr r="K341" s="20"/>
        <tr r="C328" s="20"/>
        <tr r="I301" s="20"/>
        <tr r="E279" s="20"/>
        <tr r="H262" s="20"/>
        <tr r="G229" s="20"/>
        <tr r="K208" s="20"/>
        <tr r="G186" s="20"/>
        <tr r="E165" s="20"/>
        <tr r="J107" s="20"/>
        <tr r="E410" s="20"/>
        <tr r="L197" s="20"/>
        <tr r="K76" s="20"/>
        <tr r="J14" s="20"/>
        <tr r="F423" s="20"/>
        <tr r="C371" s="20"/>
        <tr r="J300" s="20"/>
        <tr r="C240" s="20"/>
        <tr r="H180" s="20"/>
        <tr r="J127" s="20"/>
        <tr r="C407" s="20"/>
        <tr r="D12" s="20"/>
        <tr r="D221" s="20"/>
        <tr r="H185" s="20"/>
        <tr r="I351" s="20"/>
        <tr r="C94" s="20"/>
        <tr r="D7" s="20"/>
        <tr r="D356" s="20"/>
        <tr r="E392" s="20"/>
        <tr r="G377" s="20"/>
        <tr r="D363" s="20"/>
        <tr r="K347" s="20"/>
        <tr r="L331" s="20"/>
        <tr r="H331" s="20"/>
        <tr r="L307" s="20"/>
        <tr r="L288" s="20"/>
        <tr r="C264" s="20"/>
        <tr r="H248" s="20"/>
        <tr r="K231" s="20"/>
        <tr r="E231" s="20"/>
        <tr r="D212" s="20"/>
        <tr r="E192" s="20"/>
        <tr r="D168" s="20"/>
        <tr r="G153" s="20"/>
        <tr r="H153" s="20"/>
        <tr r="L134" s="20"/>
        <tr r="K111" s="20"/>
        <tr r="L89" s="20"/>
        <tr r="J50" s="20"/>
        <tr r="D50" s="20"/>
        <tr r="C413" s="20"/>
        <tr r="E353" s="20"/>
        <tr r="H304" s="20"/>
        <tr r="J259" s="20"/>
        <tr r="D259" s="20"/>
        <tr r="E203" s="20"/>
        <tr r="L166" s="20"/>
        <tr r="G117" s="20"/>
        <tr r="J80" s="20"/>
        <tr r="E80" s="20"/>
        <tr r="C58" s="20"/>
        <tr r="F34" s="20"/>
        <tr r="H17" s="20"/>
        <tr r="L255" s="20"/>
        <tr r="L385" s="20"/>
        <tr r="L277" s="20"/>
        <tr r="L437" s="20"/>
        <tr r="J444" s="20"/>
        <tr r="I428" s="20"/>
        <tr r="D414" s="20"/>
        <tr r="F390" s="20"/>
        <tr r="I376" s="20"/>
        <tr r="C376" s="20"/>
        <tr r="I362" s="20"/>
        <tr r="F343" s="20"/>
        <tr r="L329" s="20"/>
        <tr r="C303" s="20"/>
        <tr r="E284" s="20"/>
        <tr r="L263" s="20"/>
        <tr r="F263" s="20"/>
        <tr r="G244" s="20"/>
        <tr r="J230" s="20"/>
        <tr r="K210" s="20"/>
        <tr r="F191" s="20"/>
        <tr r="I191" s="20"/>
        <tr r="L167" s="20"/>
        <tr r="L148" s="20"/>
        <tr r="I133" s="20"/>
        <tr r="I109" s="20"/>
        <tr r="D109" s="20"/>
        <tr r="H88" s="20"/>
        <tr r="C48" s="20"/>
        <tr r="I411" s="20"/>
        <tr r="E344" s="20"/>
        <tr r="C344" s="20"/>
        <tr r="H297" s="20"/>
        <tr r="K254" s="20"/>
        <tr r="D201" s="20"/>
        <tr r="L161" s="20"/>
        <tr r="J161" s="20"/>
        <tr r="E113" s="20"/>
        <tr r="C78" s="20"/>
        <tr r="D56" s="20"/>
        <tr r="E31" s="20"/>
        <tr r="I31" s="20"/>
        <tr r="H15" s="20"/>
        <tr r="E403" s="20"/>
        <tr r="E449" s="20"/>
        <tr r="C443" s="20"/>
        <tr r="G424" s="20"/>
        <tr r="F389" s="20"/>
        <tr r="K373" s="20"/>
        <tr r="I361" s="20"/>
        <tr r="C341" s="20"/>
        <tr r="F328" s="20"/>
        <tr r="G301" s="20"/>
        <tr r="L279" s="20"/>
        <tr r="H241" s="20"/>
        <tr r="F229" s="20"/>
        <tr r="C208" s="20"/>
        <tr r="F186" s="20"/>
        <tr r="C165" s="20"/>
        <tr r="E83" s="20"/>
        <tr r="C339" s="20"/>
        <tr r="H197" s="20"/>
        <tr r="E76" s="20"/>
        <tr r="G14" s="20"/>
        <tr r="J423" s="20"/>
        <tr r="E359" s="20"/>
        <tr r="D300" s="20"/>
        <tr r="I226" s="20"/>
        <tr r="E164" s="20"/>
        <tr r="K106" s="20"/>
        <tr r="H292" s="20"/>
        <tr r="H295" s="20"/>
        <tr r="I205" s="20"/>
        <tr r="F136" s="20"/>
        <tr r="D317" s="20"/>
        <tr r="I446" s="20"/>
        <tr r="D378" s="20"/>
        <tr r="H103" s="20"/>
        <tr r="C173" s="20"/>
        <tr r="L121" s="20"/>
        <tr r="G87" s="20"/>
        <tr r="K87" s="20"/>
        <tr r="J63" s="20"/>
        <tr r="D37" s="20"/>
        <tr r="E20" s="20"/>
        <tr r="K374" s="20"/>
        <tr r="K367" s="20"/>
        <tr r="K451" s="20"/>
        <tr r="K404" s="20"/>
        <tr r="C445" s="20"/>
        <tr r="K431" s="20"/>
        <tr r="I415" s="20"/>
        <tr r="J392" s="20"/>
        <tr r="K377" s="20"/>
        <tr r="H363" s="20"/>
        <tr r="J363" s="20"/>
        <tr r="D347" s="20"/>
        <tr r="C331" s="20"/>
        <tr r="J307" s="20"/>
        <tr r="C288" s="20"/>
        <tr r="D288" s="20"/>
        <tr r="J264" s="20"/>
        <tr r="E248" s="20"/>
        <tr r="I231" s="20"/>
        <tr r="H212" s="20"/>
        <tr r="K212" s="20"/>
        <tr r="J192" s="20"/>
        <tr r="J168" s="20"/>
        <tr r="L153" s="20"/>
        <tr r="K134" s="20"/>
        <tr r="I134" s="20"/>
        <tr r="J111" s="20"/>
        <tr r="C89" s="20"/>
        <tr r="G50" s="20"/>
        <tr r="I413" s="20"/>
        <tr r="L413" s="20"/>
        <tr r="L353" s="20"/>
        <tr r="K304" s="20"/>
        <tr r="F259" s="20"/>
        <tr r="I203" s="20"/>
        <tr r="C203" s="20"/>
        <tr r="K166" s="20"/>
        <tr r="C117" s="20"/>
        <tr r="G80" s="20"/>
        <tr r="I58" s="20"/>
        <tr r="D58" s="20"/>
        <tr r="K34" s="20"/>
        <tr r="L17" s="20"/>
        <tr r="L291" s="20"/>
        <tr r="L420" s="20"/>
        <tr r="L403" s="20"/>
        <tr r="F444" s="20"/>
        <tr r="G444" s="20"/>
        <tr r="K428" s="20"/>
        <tr r="H414" s="20"/>
        <tr r="D390" s="20"/>
        <tr r="F376" s="20"/>
        <tr r="L362" s="20"/>
        <tr r="J343" s="20"/>
        <tr r="C329" s="20"/>
        <tr r="D329" s="20"/>
        <tr r="L303" s="20"/>
        <tr r="L284" s="20"/>
        <tr r="C263" s="20"/>
        <tr r="K244" s="20"/>
        <tr r="I230" s="20"/>
        <tr r="C230" s="20"/>
        <tr r="I210" s="20"/>
        <tr r="D191" s="20"/>
        <tr r="J167" s="20"/>
        <tr r="I148" s="20"/>
        <tr r="K148" s="20"/>
        <tr r="F133" s="20"/>
        <tr r="E109" s="20"/>
        <tr r="K88" s="20"/>
        <tr r="H48" s="20"/>
        <tr r="I48" s="20"/>
        <tr r="C411" s="20"/>
        <tr r="K344" s="20"/>
        <tr r="L297" s="20"/>
        <tr r="F254" s="20"/>
        <tr r="G254" s="20"/>
        <tr r="I201" s="20"/>
        <tr r="C161" s="20"/>
        <tr r="D113" s="20"/>
        <tr r="F78" s="20"/>
        <tr r="I78" s="20"/>
        <tr r="J56" s="20"/>
        <tr r="K31" s="20"/>
        <tr r="L15" s="20"/>
        <tr r="E352" s="20"/>
        <tr r="E437" s="20"/>
        <tr r="J443" s="20"/>
        <tr r="E424" s="20"/>
        <tr r="E408" s="20"/>
        <tr r="C389" s="20"/>
        <tr r="I373" s="20"/>
        <tr r="G361" s="20"/>
        <tr r="L341" s="20"/>
        <tr r="J328" s="20"/>
        <tr r="C279" s="20"/>
        <tr r="C262" s="20"/>
        <tr r="E241" s="20"/>
        <tr r="K229" s="20"/>
        <tr r="F208" s="20"/>
        <tr r="D186" s="20"/>
        <tr r="K132" s="20"/>
        <tr r="L47" s="20"/>
        <tr r="J296" s="20"/>
        <tr r="G157" s="20"/>
        <tr r="G55" s="20"/>
        <tr r="G396" s="20"/>
        <tr r="D387" s="20"/>
        <tr r="G340" s="20"/>
        <tr r="D276" s="20"/>
        <tr r="H207" s="20"/>
        <tr r="I144" s="20"/>
        <tr r="K77" s="20"/>
        <tr r="E149" s="20"/>
        <tr r="I354" s="20"/>
        <tr r="H102" s="20"/>
        <tr r="L9" s="20"/>
        <tr r="C219" s="20"/>
        <tr r="C223" s="20"/>
        <tr r="D29" s="20"/>
        <tr r="I333" s="20"/>
        <tr r="I392" s="20"/>
        <tr r="C377" s="20"/>
        <tr r="G363" s="20"/>
        <tr r="I363" s="20"/>
        <tr r="L347" s="20"/>
        <tr r="I331" s="20"/>
        <tr r="I307" s="20"/>
        <tr r="J288" s="20"/>
        <tr r="G264" s="20"/>
        <tr r="H264" s="20"/>
        <tr r="K248" s="20"/>
        <tr r="L231" s="20"/>
        <tr r="G212" s="20"/>
        <tr r="I192" s="20"/>
        <tr r="K192" s="20"/>
        <tr r="I168" s="20"/>
        <tr r="D153" s="20"/>
        <tr r="C134" s="20"/>
        <tr r="F111" s="20"/>
        <tr r="H111" s="20"/>
        <tr r="I89" s="20"/>
        <tr r="E50" s="20"/>
        <tr r="H413" s="20"/>
        <tr r="J353" s="20"/>
        <tr r="H353" s="20"/>
        <tr r="E304" s="20"/>
        <tr r="L259" s="20"/>
        <tr r="H203" s="20"/>
        <tr r="J166" s="20"/>
        <tr r="E166" s="20"/>
        <tr r="D117" s="20"/>
        <tr r="F80" s="20"/>
        <tr r="H58" s="20"/>
        <tr r="J34" s="20"/>
        <tr r="C34" s="20"/>
        <tr r="D17" s="20"/>
        <tr r="L342" s="20"/>
        <tr r="L430" s="20"/>
        <tr r="L447" s="20"/>
        <tr r="L444" s="20"/>
        <tr r="E444" s="20"/>
        <tr r="F428" s="20"/>
        <tr r="G414" s="20"/>
        <tr r="K390" s="20"/>
        <tr r="E376" s="20"/>
        <tr r="D362" s="20"/>
        <tr r="I343" s="20"/>
        <tr r="J329" s="20"/>
        <tr r="G303" s="20"/>
        <tr r="J303" s="20"/>
        <tr r="J284" s="20"/>
        <tr r="I263" s="20"/>
        <tr r="C244" s="20"/>
        <tr r="H230" s="20"/>
        <tr r="D230" s="20"/>
        <tr r="H210" s="20"/>
        <tr r="K191" s="20"/>
        <tr r="I167" s="20"/>
        <tr r="H148" s="20"/>
        <tr r="C148" s="20"/>
        <tr r="C133" s="20"/>
        <tr r="L109" s="20"/>
        <tr r="C88" s="20"/>
        <tr r="G48" s="20"/>
        <tr r="J48" s="20"/>
        <tr r="L411" s="20"/>
        <tr r="I344" s="20"/>
        <tr r="D297" s="20"/>
        <tr r="E254" s="20"/>
        <tr r="C254" s="20"/>
        <tr r="H201" s="20"/>
        <tr r="I161" s="20"/>
        <tr r="K113" s="20"/>
        <tr r="E78" s="20"/>
        <tr r="H78" s="20"/>
        <tr r="G56" s="20"/>
        <tr r="C31" s="20"/>
        <tr r="D15" s="20"/>
        <tr r="E364" s="20"/>
        <tr r="E447" s="20"/>
        <tr r="I443" s="20"/>
        <tr r="L424" s="20"/>
        <tr r="K408" s="20"/>
        <tr r="J389" s="20"/>
        <tr r="H373" s="20"/>
        <tr r="G341" s="20"/>
        <tr r="I328" s="20"/>
        <tr r="E301" s="20"/>
        <tr r="J279" s="20"/>
        <tr r="J262" s="20"/>
        <tr r="L241" s="20"/>
        <tr r="J229" s="20"/>
        <tr r="L208" s="20"/>
        <tr r="J186" s="20"/>
        <tr r="I132" s="20"/>
        <tr r="J47" s="20"/>
        <tr r="E296" s="20"/>
        <tr r="D108" s="20"/>
        <tr r="C30" s="20"/>
        <tr r="G436" s="20"/>
        <tr r="H387" s="20"/>
        <tr r="C321" s="20"/>
        <tr r="K261" s="20"/>
        <tr r="D207" s="20"/>
        <tr r="D144" s="20"/>
        <tr r="L43" s="20"/>
        <tr r="L104" s="20"/>
        <tr r="F318" s="20"/>
        <tr r="D33" s="20"/>
        <tr r="I395" s="20"/>
        <tr r="J199" s="20"/>
        <tr r="J129" s="20"/>
        <tr r="E385" s="20"/>
        <tr r="K165" s="20"/>
        <tr r="I145" s="20"/>
        <tr r="L132" s="20"/>
        <tr r="F107" s="20"/>
        <tr r="F83" s="20"/>
        <tr r="G83" s="20"/>
        <tr r="I47" s="20"/>
        <tr r="J410" s="20"/>
        <tr r="K339" s="20"/>
        <tr r="L296" s="20"/>
        <tr r="F296" s="20"/>
        <tr r="G252" s="20"/>
        <tr r="J197" s="20"/>
        <tr r="J157" s="20"/>
        <tr r="L108" s="20"/>
        <tr r="F108" s="20"/>
        <tr r="H76" s="20"/>
        <tr r="J55" s="20"/>
        <tr r="K30" s="20"/>
        <tr r="L14" s="20"/>
        <tr r="E14" s="20"/>
        <tr r="G425" s="20"/>
        <tr r="G384" s="20"/>
        <tr r="F441" s="20"/>
        <tr r="C423" s="20"/>
        <tr r="H404" s="20"/>
        <tr r="I387" s="20"/>
        <tr r="E371" s="20"/>
        <tr r="K359" s="20"/>
        <tr r="D340" s="20"/>
        <tr r="K321" s="20"/>
        <tr r="F321" s="20"/>
        <tr r="F300" s="20"/>
        <tr r="I276" s="20"/>
        <tr r="E261" s="20"/>
        <tr r="E240" s="20"/>
        <tr r="H240" s="20"/>
        <tr r="L226" s="20"/>
        <tr r="L207" s="20"/>
        <tr r="K180" s="20"/>
        <tr r="F164" s="20"/>
        <tr r="I164" s="20"/>
        <tr r="L144" s="20"/>
        <tr r="F127" s="20"/>
        <tr r="D106" s="20"/>
        <tr r="I77" s="20"/>
        <tr r="L77" s="20"/>
        <tr r="F43" s="20"/>
        <tr r="E407" s="20"/>
        <tr r="E326" s="20"/>
        <tr r="E292" s="20"/>
        <tr r="H194" s="20"/>
        <tr r="F149" s="20"/>
        <tr r="F104" s="20"/>
        <tr r="F74" s="20"/>
        <tr r="J51" s="20"/>
        <tr r="L12" s="20"/>
        <tr r="H272" s="20"/>
        <tr r="G438" s="20"/>
        <tr r="J386" s="20"/>
        <tr r="J354" s="20"/>
        <tr r="G318" s="20"/>
        <tr r="J299" s="20"/>
        <tr r="I256" s="20"/>
        <tr r="L221" s="20"/>
        <tr r="H205" s="20"/>
        <tr r="E159" s="20"/>
        <tr r="I124" s="20"/>
        <tr r="G102" s="20"/>
        <tr r="L33" s="20"/>
        <tr r="L394" s="20"/>
        <tr r="L285" s="20"/>
        <tr r="J185" s="20"/>
        <tr r="I136" s="20"/>
        <tr r="H70" s="20"/>
        <tr r="E45" s="20"/>
        <tr r="F9" s="20"/>
        <tr r="I384" s="20"/>
        <tr r="J421" s="20"/>
        <tr r="C383" s="20"/>
        <tr r="E351" s="20"/>
        <tr r="L317" s="20"/>
        <tr r="F293" s="20"/>
        <tr r="L253" s="20"/>
        <tr r="K219" s="20"/>
        <tr r="D199" s="20"/>
        <tr r="D156" s="20"/>
        <tr r="H142" s="20"/>
        <tr r="K94" s="20"/>
        <tr r="J446" s="20"/>
        <tr r="H388" s="20"/>
        <tr r="L281" s="20"/>
        <tr r="G223" s="20"/>
        <tr r="C129" s="20"/>
        <tr r="F67" s="20"/>
        <tr r="J41" s="20"/>
        <tr r="L7" s="20"/>
        <tr r="G409" s="20"/>
        <tr r="I251" s="20"/>
        <tr r="G105" s="20"/>
        <tr r="D38" s="20"/>
        <tr r="F406" s="20"/>
        <tr r="D298" s="20"/>
        <tr r="F190" s="20"/>
        <tr r="F427" s="20"/>
        <tr r="C103" s="20"/>
        <tr r="C335" s="20"/>
        <tr r="I139" s="20"/>
        <tr r="E10" s="20"/>
        <tr r="G165" s="20"/>
        <tr r="E145" s="20"/>
        <tr r="F145" s="20"/>
        <tr r="H132" s="20"/>
        <tr r="K107" s="20"/>
        <tr r="L83" s="20"/>
        <tr r="F47" s="20"/>
        <tr r="H47" s="20"/>
        <tr r="H410" s="20"/>
        <tr r="J339" s="20"/>
        <tr r="K296" s="20"/>
        <tr r="L252" s="20"/>
        <tr r="F252" s="20"/>
        <tr r="G197" s="20"/>
        <tr r="K157" s="20"/>
        <tr r="J108" s="20"/>
        <tr r="L76" s="20"/>
        <tr r="G76" s="20"/>
        <tr r="H55" s="20"/>
        <tr r="J30" s="20"/>
        <tr r="K14" s="20"/>
        <tr r="G364" s="20"/>
        <tr r="G447" s="20"/>
        <tr r="G405" s="20"/>
        <tr r="L441" s="20"/>
        <tr r="I423" s="20"/>
        <tr r="C404" s="20"/>
        <tr r="G387" s="20"/>
        <tr r="D371" s="20"/>
        <tr r="D359" s="20"/>
        <tr r="C340" s="20"/>
        <tr r="J321" s="20"/>
        <tr r="K300" s="20"/>
        <tr r="L300" s="20"/>
        <tr r="J276" s="20"/>
        <tr r="C261" s="20"/>
        <tr r="D240" s="20"/>
        <tr r="H226" s="20"/>
        <tr r="K226" s="20"/>
        <tr r="J207" s="20"/>
        <tr r="J180" s="20"/>
        <tr r="L164" s="20"/>
        <tr r="C144" s="20"/>
        <tr r="E144" s="20"/>
        <tr r="K127" s="20"/>
        <tr r="C106" s="20"/>
        <tr r="G77" s="20"/>
        <tr r="D43" s="20"/>
        <tr r="H407" s="20"/>
        <tr r="G326" s="20"/>
        <tr r="G292" s="20"/>
        <tr r="F246" s="20"/>
        <tr r="L194" s="20"/>
        <tr r="D149" s="20"/>
        <tr r="D104" s="20"/>
        <tr r="I74" s="20"/>
        <tr r="F28" s="20"/>
        <tr r="C12" s="20"/>
        <tr r="H357" s="20"/>
        <tr r="D422" s="20"/>
        <tr r="F386" s="20"/>
        <tr r="F354" s="20"/>
        <tr r="C318" s="20"/>
        <tr r="L275" s="20"/>
        <tr r="F256" s="20"/>
        <tr r="J221" s="20"/>
        <tr r="J178" s="20"/>
        <tr r="C159" s="20"/>
        <tr r="L124" s="20"/>
        <tr r="H71" s="20"/>
        <tr r="I33" s="20"/>
        <tr r="H322" s="20"/>
        <tr r="D285" s="20"/>
        <tr r="D185" s="20"/>
        <tr r="J99" s="20"/>
        <tr r="C70" s="20"/>
        <tr r="H25" s="20"/>
        <tr r="C9" s="20"/>
        <tr r="I429" s="20"/>
        <tr r="E421" s="20"/>
        <tr r="G383" s="20"/>
        <tr r="K351" s="20"/>
        <tr r="I317" s="20"/>
        <tr r="J274" s="20"/>
        <tr r="I253" s="20"/>
        <tr r="H219" s="20"/>
        <tr r="I177" s="20"/>
        <tr r="I156" s="20"/>
        <tr r="E122" s="20"/>
        <tr r="G94" s="20"/>
        <tr r="E446" s="20"/>
        <tr r="F316" s="20"/>
        <tr r="I281" s="20"/>
        <tr r="D183" s="20"/>
        <tr r="H129" s="20"/>
        <tr r="K67" s="20"/>
        <tr r="F23" s="20"/>
        <tr r="J7" s="20"/>
        <tr r="K378" s="20"/>
        <tr r="J195" s="20"/>
        <tr r="G91" s="20"/>
        <tr r="E29" s="20"/>
        <tr r="F358" s="20"/>
        <tr r="I272" s="20"/>
        <tr r="D151" s="20"/>
        <tr r="G309" s="20"/>
        <tr r="J73" s="20"/>
        <tr r="C280" s="20"/>
        <tr r="H40" s="20"/>
        <tr r="K198" s="20"/>
        <tr r="F165" s="20"/>
        <tr r="L145" s="20"/>
        <tr r="G145" s="20"/>
        <tr r="F132" s="20"/>
        <tr r="C107" s="20"/>
        <tr r="D83" s="20"/>
        <tr r="E47" s="20"/>
        <tr r="G47" s="20"/>
        <tr r="G410" s="20"/>
        <tr r="H339" s="20"/>
        <tr r="C296" s="20"/>
        <tr r="D252" s="20"/>
        <tr r="E252" s="20"/>
        <tr r="E197" s="20"/>
        <tr r="H157" s="20"/>
        <tr r="I108" s="20"/>
        <tr r="D76" s="20"/>
        <tr r="F76" s="20"/>
        <tr r="E55" s="20"/>
        <tr r="I30" s="20"/>
        <tr r="C14" s="20"/>
        <tr r="G372" s="20"/>
        <tr r="G140" s="20"/>
        <tr r="G430" s="20"/>
        <tr r="K441" s="20"/>
        <tr r="E423" s="20"/>
        <tr r="L387" s="20"/>
        <tr r="F387" s="20"/>
        <tr r="K371" s="20"/>
        <tr r="C359" s="20"/>
        <tr r="I340" s="20"/>
        <tr r="I321" s="20"/>
        <tr r="C300" s="20"/>
        <tr r="G276" s="20"/>
        <tr r="H276" s="20"/>
        <tr r="L261" s="20"/>
        <tr r="K240" s="20"/>
        <tr r="G226" s="20"/>
        <tr r="I207" s="20"/>
        <tr r="K207" s="20"/>
        <tr r="I180" s="20"/>
        <tr r="D164" s="20"/>
        <tr r="J144" s="20"/>
        <tr r="E127" s="20"/>
        <tr r="H127" s="20"/>
        <tr r="I106" s="20"/>
        <tr r="E77" s="20"/>
        <tr r="K43" s="20"/>
        <tr r="G407" s="20"/>
        <tr r="F326" s="20"/>
        <tr r="L292" s="20"/>
        <tr r="L246" s="20"/>
        <tr r="D194" s="20"/>
        <tr r="L149" s="20"/>
        <tr r="I104" s="20"/>
        <tr r="K74" s="20"/>
        <tr r="E28" s="20"/>
        <tr r="K12" s="20"/>
        <tr r="H280" s="20"/>
        <tr r="J422" s="20"/>
        <tr r="E386" s="20"/>
        <tr r="D354" s="20"/>
        <tr r="I318" s="20"/>
        <tr r="D275" s="20"/>
        <tr r="L239" s="20"/>
        <tr r="I221" s="20"/>
        <tr r="I178" s="20"/>
        <tr r="K159" s="20"/>
        <tr r="K124" s="20"/>
        <tr r="G71" s="20"/>
        <tr r="J33" s="20"/>
        <tr r="F322" s="20"/>
        <tr r="C285" s="20"/>
        <tr r="C185" s="20"/>
        <tr r="H99" s="20"/>
        <tr r="L70" s="20"/>
        <tr r="G25" s="20"/>
        <tr r="E9" s="20"/>
        <tr r="I439" s="20"/>
        <tr r="D421" s="20"/>
        <tr r="L369" s="20"/>
        <tr r="J351" s="20"/>
        <tr r="G317" s="20"/>
        <tr r="I274" s="20"/>
        <tr r="J253" s="20"/>
        <tr r="G219" s="20"/>
        <tr r="H177" s="20"/>
        <tr r="H156" s="20"/>
        <tr r="K122" s="20"/>
        <tr r="H94" s="20"/>
        <tr r="L446" s="20"/>
        <tr r="E316" s="20"/>
        <tr r="H281" s="20"/>
        <tr r="K183" s="20"/>
        <tr r="E129" s="20"/>
        <tr r="C67" s="20"/>
        <tr r="E23" s="20"/>
        <tr r="H7" s="20"/>
        <tr r="D330" s="20"/>
        <tr r="H195" s="20"/>
        <tr r="F75" s="20"/>
        <tr r="K21" s="20"/>
        <tr r="K358" s="20"/>
        <tr r="D247" s="20"/>
        <tr r="H130" s="20"/>
        <tr r="L287" s="20"/>
        <tr r="K36" s="20"/>
        <tr r="C245" s="20"/>
        <tr r="E426" s="20"/>
        <tr r="K162" s="20"/>
        <tr r="D407" s="20"/>
        <tr r="L326" s="20"/>
        <tr r="D292" s="20"/>
        <tr r="K246" s="20"/>
        <tr r="K194" s="20"/>
        <tr r="K149" s="20"/>
        <tr r="J104" s="20"/>
        <tr r="H51" s="20"/>
        <tr r="J28" s="20"/>
        <tr r="H381" s="20"/>
        <tr r="H384" s="20"/>
        <tr r="G422" s="20"/>
        <tr r="L370" s="20"/>
        <tr r="J338" s="20"/>
        <tr r="H318" s="20"/>
        <tr r="I275" s="20"/>
        <tr r="C239" s="20"/>
        <tr r="G205" s="20"/>
        <tr r="F178" s="20"/>
        <tr r="G143" s="20"/>
        <tr r="C124" s="20"/>
        <tr r="K71" s="20"/>
        <tr r="J394" s="20"/>
        <tr r="E322" s="20"/>
        <tr r="H225" s="20"/>
        <tr r="F185" s="20"/>
        <tr r="K99" s="20"/>
        <tr r="J45" s="20"/>
        <tr r="D25" s="20"/>
        <tr r="I372" s="20"/>
        <tr r="H436" s="20"/>
        <tr r="D399" s="20"/>
        <tr r="C369" s="20"/>
        <tr r="G337" s="20"/>
        <tr r="F317" s="20"/>
        <tr r="L274" s="20"/>
        <tr r="H238" s="20"/>
        <tr r="E219" s="20"/>
        <tr r="E177" s="20"/>
        <tr r="G142" s="20"/>
        <tr r="D122" s="20"/>
        <tr r="L69" s="20"/>
        <tr r="C446" s="20"/>
        <tr r="J316" s="20"/>
        <tr r="F223" s="20"/>
        <tr r="I183" s="20"/>
        <tr r="D96" s="20"/>
        <tr r="H67" s="20"/>
        <tr r="K23" s="20"/>
        <tr r="F435" s="20"/>
        <tr r="C312" s="20"/>
        <tr r="J179" s="20"/>
        <tr r="C75" s="20"/>
        <tr r="C13" s="20"/>
        <tr r="K346" s="20"/>
        <tr r="C247" s="20"/>
        <tr r="E100" s="20"/>
        <tr r="F242" s="20"/>
        <tr r="G36" s="20"/>
        <tr r="J213" s="20"/>
        <tr r="G305" s="20"/>
        <tr r="C68" s="20"/>
        <tr r="L165" s="20"/>
        <tr r="K145" s="20"/>
        <tr r="C132" s="20"/>
        <tr r="D132" s="20"/>
        <tr r="I107" s="20"/>
        <tr r="C83" s="20"/>
        <tr r="D47" s="20"/>
        <tr r="D410" s="20"/>
        <tr r="F410" s="20"/>
        <tr r="I339" s="20"/>
        <tr r="H296" s="20"/>
        <tr r="C252" s="20"/>
        <tr r="D197" s="20"/>
        <tr r="I197" s="20"/>
        <tr r="F157" s="20"/>
        <tr r="E108" s="20"/>
        <tr r="C76" s="20"/>
        <tr r="D55" s="20"/>
        <tr r="F55" s="20"/>
        <tr r="F30" s="20"/>
        <tr r="I14" s="20"/>
        <tr r="G391" s="20"/>
        <tr r="G419" s="20"/>
        <tr r="J441" s="20"/>
        <tr r="L423" s="20"/>
        <tr r="D404" s="20"/>
        <tr r="K387" s="20"/>
        <tr r="H371" s="20"/>
        <tr r="I359" s="20"/>
        <tr r="J359" s="20"/>
        <tr r="J340" s="20"/>
        <tr r="E321" s="20"/>
        <tr r="I300" s="20"/>
        <tr r="E276" s="20"/>
        <tr r="I261" s="20"/>
        <tr r="F261" s="20"/>
        <tr r="J240" s="20"/>
        <tr r="E226" s="20"/>
        <tr r="G207" s="20"/>
        <tr r="E180" s="20"/>
        <tr r="F180" s="20"/>
        <tr r="C164" s="20"/>
        <tr r="H144" s="20"/>
        <tr r="D127" s="20"/>
        <tr r="F106" s="20"/>
        <tr r="H106" s="20"/>
        <tr r="F77" s="20"/>
        <tr r="J43" s="20"/>
        <tr r="K407" s="20"/>
        <tr r="K326" s="20"/>
        <tr r="K292" s="20"/>
        <tr r="J246" s="20"/>
        <tr r="I194" s="20"/>
        <tr r="J149" s="20"/>
        <tr r="G104" s="20"/>
        <tr r="G51" s="20"/>
        <tr r="H391" s="20"/>
        <tr r="H405" s="20"/>
        <tr r="H401" s="20"/>
        <tr r="D370" s="20"/>
        <tr r="I338" s="20"/>
        <tr r="I299" s="20"/>
        <tr r="G275" s="20"/>
        <tr r="J239" s="20"/>
        <tr r="F205" s="20"/>
        <tr r="L178" s="20"/>
        <tr r="F143" s="20"/>
        <tr r="D124" s="20"/>
        <tr r="C71" s="20"/>
        <tr r="I394" s="20"/>
        <tr r="D322" s="20"/>
        <tr r="F225" s="20"/>
        <tr r="I185" s="20"/>
        <tr r="C99" s="20"/>
        <tr r="I45" s="20"/>
        <tr r="K25" s="20"/>
        <tr r="I381" s="20"/>
        <tr r="F436" s="20"/>
        <tr r="K399" s="20"/>
        <tr r="J369" s="20"/>
        <tr r="E337" s="20"/>
        <tr r="K293" s="20"/>
        <tr r="H274" s="20"/>
        <tr r="G238" s="20"/>
        <tr r="D219" s="20"/>
        <tr r="L177" s="20"/>
        <tr r="F142" s="20"/>
        <tr r="L122" s="20"/>
        <tr r="D69" s="20"/>
        <tr r="D446" s="20"/>
        <tr r="K316" s="20"/>
        <tr r="E223" s="20"/>
        <tr r="H183" s="20"/>
        <tr r="K96" s="20"/>
        <tr r="I67" s="20"/>
        <tr r="C23" s="20"/>
        <tr r="E435" s="20"/>
        <tr r="J294" s="20"/>
        <tr r="H152" s="20"/>
        <tr r="F65" s="20"/>
        <tr r="C366" s="20"/>
        <tr r="J336" s="20"/>
        <tr r="L228" s="20"/>
        <tr r="L100" s="20"/>
        <tr r="L189" s="20"/>
        <tr r="L11" s="20"/>
        <tr r="L213" s="20"/>
        <tr r="I169" s="20"/>
        <tr r="C364" s="20"/>
        <tr r="D424" s="20"/>
        <tr r="G408" s="20"/>
        <tr r="E389" s="20"/>
        <tr r="G389" s="20"/>
        <tr r="G373" s="20"/>
        <tr r="L361" s="20"/>
        <tr r="I341" s="20"/>
        <tr r="E328" s="20"/>
        <tr r="L301" s="20"/>
        <tr r="F301" s="20"/>
        <tr r="H279" s="20"/>
        <tr r="E262" s="20"/>
        <tr r="D241" s="20"/>
        <tr r="D229" s="20"/>
        <tr r="J208" s="20"/>
        <tr r="I186" s="20"/>
        <tr r="K186" s="20"/>
        <tr r="D165" s="20"/>
        <tr r="C145" s="20"/>
        <tr r="J132" s="20"/>
        <tr r="H107" s="20"/>
        <tr r="D107" s="20"/>
        <tr r="I83" s="20"/>
        <tr r="K47" s="20"/>
        <tr r="K410" s="20"/>
        <tr r="L339" s="20"/>
        <tr r="F339" s="20"/>
        <tr r="G296" s="20"/>
        <tr r="J252" s="20"/>
        <tr r="K197" s="20"/>
        <tr r="L157" s="20"/>
        <tr r="E157" s="20"/>
        <tr r="K108" s="20"/>
        <tr r="J76" s="20"/>
        <tr r="K55" s="20"/>
        <tr r="L30" s="20"/>
        <tr r="E30" s="20"/>
        <tr r="H14" s="20"/>
        <tr r="G403" s="20"/>
        <tr r="G440" s="20"/>
        <tr r="H441" s="20"/>
        <tr r="D423" s="20"/>
        <tr r="J404" s="20"/>
        <tr r="C387" s="20"/>
        <tr r="G371" s="20"/>
        <tr r="H359" s="20"/>
        <tr r="E340" s="20"/>
        <tr r="H340" s="20"/>
        <tr r="L321" s="20"/>
        <tr r="G300" s="20"/>
        <tr r="K276" s="20"/>
        <tr r="H261" s="20"/>
        <tr r="D261" s="20"/>
        <tr r="I240" s="20"/>
        <tr r="D226" s="20"/>
        <tr r="F207" s="20"/>
        <tr r="L180" s="20"/>
        <tr r="G180" s="20"/>
        <tr r="J164" s="20"/>
        <tr r="G144" s="20"/>
        <tr r="I127" s="20"/>
        <tr r="E106" s="20"/>
        <tr r="G106" s="20"/>
        <tr r="D77" s="20"/>
        <tr r="I43" s="20"/>
        <tr r="J407" s="20"/>
        <tr r="J326" s="20"/>
        <tr r="I292" s="20"/>
        <tr r="I246" s="20"/>
        <tr r="C194" s="20"/>
        <tr r="G149" s="20"/>
        <tr r="C104" s="20"/>
        <tr r="L51" s="20"/>
        <tr r="H12" s="20"/>
        <tr r="H425" s="20"/>
        <tr r="D438" s="20"/>
        <tr r="L401" s="20"/>
        <tr r="J370" s="20"/>
        <tr r="L338" s="20"/>
        <tr r="E299" s="20"/>
        <tr r="D256" s="20"/>
        <tr r="G239" s="20"/>
        <tr r="D205" s="20"/>
        <tr r="I159" s="20"/>
        <tr r="D143" s="20"/>
        <tr r="K102" s="20"/>
        <tr r="I71" s="20"/>
        <tr r="H394" s="20"/>
        <tr r="J285" s="20"/>
        <tr r="E225" s="20"/>
        <tr r="G136" s="20"/>
        <tr r="D99" s="20"/>
        <tr r="F45" s="20"/>
        <tr r="J9" s="20"/>
        <tr r="I357" s="20"/>
        <tr r="D436" s="20"/>
        <tr r="I399" s="20"/>
        <tr r="G369" s="20"/>
        <tr r="L337" s="20"/>
        <tr r="I293" s="20"/>
        <tr r="H253" s="20"/>
        <tr r="K238" s="20"/>
        <tr r="G199" s="20"/>
        <tr r="C177" s="20"/>
        <tr r="D142" s="20"/>
        <tr r="F94" s="20"/>
        <tr r="I69" s="20"/>
        <tr r="J388" s="20"/>
        <tr r="G316" s="20"/>
        <tr r="J223" s="20"/>
        <tr r="F129" s="20"/>
        <tr r="G96" s="20"/>
        <tr r="L41" s="20"/>
        <tr r="G23" s="20"/>
        <tr r="K435" s="20"/>
        <tr r="L294" s="20"/>
        <tr r="L152" s="20"/>
        <tr r="K52" s="20"/>
        <tr r="C449" s="20"/>
        <tr r="D336" s="20"/>
        <tr r="H214" s="20"/>
        <tr r="L60" s="20"/>
        <tr r="J189" s="20"/>
        <tr r="D395" s="20"/>
        <tr r="C174" s="20"/>
        <tr r="E141" s="20"/>
        <tr r="K424" s="20"/>
        <tr r="F408" s="20"/>
        <tr r="L389" s="20"/>
        <tr r="L373" s="20"/>
        <tr r="F373" s="20"/>
        <tr r="H361" s="20"/>
        <tr r="J341" s="20"/>
        <tr r="K328" s="20"/>
        <tr r="D301" s="20"/>
        <tr r="K279" s="20"/>
        <tr r="F279" s="20"/>
        <tr r="L262" s="20"/>
        <tr r="K241" s="20"/>
        <tr r="C229" s="20"/>
        <tr r="I208" s="20"/>
        <tr r="H186" s="20"/>
        <tr r="C186" s="20"/>
        <tr r="J165" s="20"/>
        <tr r="J145" s="20"/>
        <tr r="G132" s="20"/>
        <tr r="G107" s="20"/>
        <tr r="L107" s="20"/>
        <tr r="H83" s="20"/>
        <tr r="C47" s="20"/>
        <tr r="C410" s="20"/>
        <tr r="D339" s="20"/>
        <tr r="E339" s="20"/>
        <tr r="I296" s="20"/>
        <tr r="H252" s="20"/>
        <tr r="C197" s="20"/>
        <tr r="D157" s="20"/>
        <tr r="C157" s="20"/>
        <tr r="G108" s="20"/>
        <tr r="I76" s="20"/>
        <tr r="C55" s="20"/>
        <tr r="D30" s="20"/>
        <tr r="G30" s="20"/>
        <tr r="F14" s="20"/>
        <tr r="G417" s="20"/>
        <tr r="G366" s="20"/>
        <tr r="G441" s="20"/>
        <tr r="K423" s="20"/>
        <tr r="I404" s="20"/>
        <tr r="J387" s="20"/>
        <tr r="F371" s="20"/>
        <tr r="G359" s="20"/>
        <tr r="L340" s="20"/>
        <tr r="F340" s="20"/>
        <tr r="H321" s="20"/>
        <tr r="E300" s="20"/>
        <tr r="C276" s="20"/>
        <tr r="G261" s="20"/>
        <tr r="F240" s="20"/>
        <tr r="G240" s="20"/>
        <tr r="C226" s="20"/>
        <tr r="E207" s="20"/>
        <tr r="D180" s="20"/>
        <tr r="G164" s="20"/>
        <tr r="H164" s="20"/>
        <tr r="F144" s="20"/>
        <tr r="G127" s="20"/>
        <tr r="L106" s="20"/>
        <tr r="J77" s="20"/>
        <tr r="C77" s="20"/>
        <tr r="G43" s="20"/>
        <tr r="I407" s="20"/>
        <tr r="I326" s="20"/>
        <tr r="C292" s="20"/>
        <tr r="E246" s="20"/>
        <tr r="E194" s="20"/>
        <tr r="H104" s="20"/>
        <tr r="G74" s="20"/>
        <tr r="D51" s="20"/>
        <tr r="G12" s="20"/>
        <tr r="H437" s="20"/>
        <tr r="J438" s="20"/>
        <tr r="D401" s="20"/>
        <tr r="I370" s="20"/>
        <tr r="H338" s="20"/>
        <tr r="K299" s="20"/>
        <tr r="K256" s="20"/>
        <tr r="E239" s="20"/>
        <tr r="K205" s="20"/>
        <tr r="H159" s="20"/>
        <tr r="J143" s="20"/>
        <tr r="C102" s="20"/>
        <tr r="D71" s="20"/>
        <tr r="G394" s="20"/>
        <tr r="I285" s="20"/>
        <tr r="G225" s="20"/>
        <tr r="K136" s="20"/>
        <tr r="L99" s="20"/>
        <tr r="K45" s="20"/>
        <tr r="I9" s="20"/>
        <tr r="I211" s="20"/>
        <tr r="K436" s="20"/>
        <tr r="L383" s="20"/>
        <tr r="F369" s="20"/>
        <tr r="J337" s="20"/>
        <tr r="G293" s="20"/>
        <tr r="G253" s="20"/>
        <tr r="C238" s="20"/>
        <tr r="F199" s="20"/>
        <tr r="K177" s="20"/>
        <tr r="K142" s="20"/>
        <tr r="E94" s="20"/>
        <tr r="J69" s="20"/>
        <tr r="C388" s="20"/>
        <tr r="C316" s="20"/>
        <tr r="K223" s="20"/>
        <tr r="L129" s="20"/>
        <tr r="I96" s="20"/>
        <tr r="D41" s="20"/>
        <tr r="I23" s="20"/>
        <tr r="J435" s="20"/>
        <tr r="L270" s="20"/>
        <tr r="G123" s="20"/>
        <tr r="E52" s="20"/>
        <tr r="F420" s="20"/>
        <tr r="G214" s="20"/>
        <tr r="L427" s="20"/>
        <tr r="K146" s="20"/>
        <tr r="L384" s="20"/>
        <tr r="K139" s="20"/>
        <tr r="L61" s="20"/>
        <tr r="E43" s="20"/>
        <tr r="F407" s="20"/>
        <tr r="D326" s="20"/>
        <tr r="F292" s="20"/>
        <tr r="H246" s="20"/>
        <tr r="C246" s="20"/>
        <tr r="J194" s="20"/>
        <tr r="C149" s="20"/>
        <tr r="E104" s="20"/>
        <tr r="H74" s="20"/>
        <tr r="J74" s="20"/>
        <tr r="I51" s="20"/>
        <tr r="L28" s="20"/>
        <tr r="F12" s="20"/>
        <tr r="H364" s="20"/>
        <tr r="H447" s="20"/>
        <tr r="H310" s="20"/>
        <tr r="I438" s="20"/>
        <tr r="I422" s="20"/>
        <tr r="K401" s="20"/>
        <tr r="F370" s="20"/>
        <tr r="K354" s="20"/>
        <tr r="K338" s="20"/>
        <tr r="F338" s="20"/>
        <tr r="L318" s="20"/>
        <tr r="C299" s="20"/>
        <tr r="K275" s="20"/>
        <tr r="C256" s="20"/>
        <tr r="D239" s="20"/>
        <tr r="F239" s="20"/>
        <tr r="F221" s="20"/>
        <tr r="C205" s="20"/>
        <tr r="H178" s="20"/>
        <tr r="G159" s="20"/>
        <tr r="I143" s="20"/>
        <tr r="K143" s="20"/>
        <tr r="J124" s="20"/>
        <tr r="J102" s="20"/>
        <tr r="F71" s="20"/>
        <tr r="F33" s="20"/>
        <tr r="H33" s="20"/>
        <tr r="E394" s="20"/>
        <tr r="L322" s="20"/>
        <tr r="H285" s="20"/>
        <tr r="J225" s="20"/>
        <tr r="D225" s="20"/>
        <tr r="L185" s="20"/>
        <tr r="C136" s="20"/>
        <tr r="G99" s="20"/>
        <tr r="J70" s="20"/>
        <tr r="E70" s="20"/>
        <tr r="C45" s="20"/>
        <tr r="F25" s="20"/>
        <tr r="H9" s="20"/>
        <tr r="I319" s="20"/>
        <tr r="I366" s="20"/>
        <tr r="I449" s="20"/>
        <tr r="C436" s="20"/>
        <tr r="F399" s="20"/>
        <tr r="D383" s="20"/>
        <tr r="D369" s="20"/>
        <tr r="G351" s="20"/>
        <tr r="I337" s="20"/>
        <tr r="F337" s="20"/>
        <tr r="J317" s="20"/>
        <tr r="E293" s="20"/>
        <tr r="G274" s="20"/>
        <tr r="F253" s="20"/>
        <tr r="J238" s="20"/>
        <tr r="L238" s="20"/>
        <tr r="L219" s="20"/>
        <tr r="E199" s="20"/>
        <tr r="G177" s="20"/>
        <tr r="E156" s="20"/>
        <tr r="F156" s="20"/>
        <tr r="C142" s="20"/>
        <tr r="C122" s="20"/>
        <tr r="L94" s="20"/>
        <tr r="F69" s="20"/>
        <tr r="H69" s="20"/>
        <tr r="K446" s="20"/>
        <tr r="L388" s="20"/>
        <tr r="L316" s="20"/>
        <tr r="F281" s="20"/>
        <tr r="G281" s="20"/>
        <tr r="I223" s="20"/>
        <tr r="C183" s="20"/>
        <tr r="D129" s="20"/>
        <tr r="F96" s="20"/>
        <tr r="H96" s="20"/>
        <tr r="J67" s="20"/>
        <tr r="K41" s="20"/>
        <tr r="L23" s="20"/>
        <tr r="F7" s="20"/>
        <tr r="G7" s="20"/>
        <tr r="J409" s="20"/>
        <tr r="I330" s="20"/>
        <tr r="H294" s="20"/>
        <tr r="G251" s="20"/>
        <tr r="E195" s="20"/>
        <tr r="I152" s="20"/>
        <tr r="L105" s="20"/>
        <tr r="L75" s="20"/>
        <tr r="J38" s="20"/>
        <tr r="H21" s="20"/>
        <tr r="C395" s="20"/>
        <tr r="H396" s="20"/>
        <tr r="D358" s="20"/>
        <tr r="J282" s="20"/>
        <tr r="E236" s="20"/>
        <tr r="H204" s="20"/>
        <tr r="E140" s="20"/>
        <tr r="E85" s="20"/>
        <tr r="G402" s="20"/>
        <tr r="F266" s="20"/>
        <tr r="D171" s="20"/>
        <tr r="C86" s="20"/>
        <tr r="L357" s="20"/>
        <tr r="H271" s="20"/>
        <tr r="L200" s="20"/>
        <tr r="C128" s="20"/>
        <tr r="J400" s="20"/>
        <tr r="I101" s="20"/>
        <tr r="H291" s="20"/>
        <tr r="C74" s="20"/>
        <tr r="K51" s="20"/>
        <tr r="D28" s="20"/>
        <tr r="E12" s="20"/>
        <tr r="H372" s="20"/>
        <tr r="H258" s="20"/>
        <tr r="H366" s="20"/>
        <tr r="H438" s="20"/>
        <tr r="H422" s="20"/>
        <tr r="C401" s="20"/>
        <tr r="E370" s="20"/>
        <tr r="C354" s="20"/>
        <tr r="C338" s="20"/>
        <tr r="D338" s="20"/>
        <tr r="J318" s="20"/>
        <tr r="L299" s="20"/>
        <tr r="C275" s="20"/>
        <tr r="J256" s="20"/>
        <tr r="K239" s="20"/>
        <tr r="E221" s="20"/>
        <tr r="G221" s="20"/>
        <tr r="J205" s="20"/>
        <tr r="G178" s="20"/>
        <tr r="F159" s="20"/>
        <tr r="H143" s="20"/>
        <tr r="C143" s="20"/>
        <tr r="F124" s="20"/>
        <tr r="I102" s="20"/>
        <tr r="E71" s="20"/>
        <tr r="E33" s="20"/>
        <tr r="G33" s="20"/>
        <tr r="C394" s="20"/>
        <tr r="K322" s="20"/>
        <tr r="F285" s="20"/>
        <tr r="I225" s="20"/>
        <tr r="C225" s="20"/>
        <tr r="K185" s="20"/>
        <tr r="L136" s="20"/>
        <tr r="F99" s="20"/>
        <tr r="I70" s="20"/>
        <tr r="D70" s="20"/>
        <tr r="L45" s="20"/>
        <tr r="L25" s="20"/>
        <tr r="G9" s="20"/>
        <tr r="I364" s="20"/>
        <tr r="I374" s="20"/>
        <tr r="I417" s="20"/>
        <tr r="I436" s="20"/>
        <tr r="L399" s="20"/>
        <tr r="K383" s="20"/>
        <tr r="K369" s="20"/>
        <tr r="F351" s="20"/>
        <tr r="H337" s="20"/>
        <tr r="E317" s="20"/>
        <tr r="H317" s="20"/>
        <tr r="H293" s="20"/>
        <tr r="E274" s="20"/>
        <tr r="E253" s="20"/>
        <tr r="I238" s="20"/>
        <tr r="D238" s="20"/>
        <tr r="F219" s="20"/>
        <tr r="L199" s="20"/>
        <tr r="F177" s="20"/>
        <tr r="L156" s="20"/>
        <tr r="G156" s="20"/>
        <tr r="J142" s="20"/>
        <tr r="H122" s="20"/>
        <tr r="D94" s="20"/>
        <tr r="E69" s="20"/>
        <tr r="G69" s="20"/>
        <tr r="F446" s="20"/>
        <tr r="K388" s="20"/>
        <tr r="D316" s="20"/>
        <tr r="E281" s="20"/>
        <tr r="C281" s="20"/>
        <tr r="H223" s="20"/>
        <tr r="J183" s="20"/>
        <tr r="K129" s="20"/>
        <tr r="L96" s="20"/>
        <tr r="E96" s="20"/>
        <tr r="G67" s="20"/>
        <tr r="C41" s="20"/>
        <tr r="D23" s="20"/>
        <tr r="E7" s="20"/>
        <tr r="I7" s="20"/>
        <tr r="L409" s="20"/>
        <tr r="G330" s="20"/>
        <tr r="E294" s="20"/>
        <tr r="D251" s="20"/>
        <tr r="L195" s="20"/>
        <tr r="E152" s="20"/>
        <tr r="J91" s="20"/>
        <tr r="H65" s="20"/>
        <tr r="G38" s="20"/>
        <tr r="F21" s="20"/>
        <tr r="C429" s="20"/>
        <tr r="H385" s="20"/>
        <tr r="F346" s="20"/>
        <tr r="D282" s="20"/>
        <tr r="D236" s="20"/>
        <tr r="E190" s="20"/>
        <tr r="D140" s="20"/>
        <tr r="C85" s="20"/>
        <tr r="F356" s="20"/>
        <tr r="L266" s="20"/>
        <tr r="I171" s="20"/>
        <tr r="I86" s="20"/>
        <tr r="E19" s="20"/>
        <tr r="C357" s="20"/>
        <tr r="D258" s="20"/>
        <tr r="K188" s="20"/>
        <tr r="E128" s="20"/>
        <tr r="K323" s="20"/>
        <tr r="H82" s="20"/>
        <tr r="G255" s="20"/>
        <tr r="D409" s="20"/>
        <tr r="L330" s="20"/>
        <tr r="J270" s="20"/>
        <tr r="H218" s="20"/>
        <tr r="D179" s="20"/>
        <tr r="K123" s="20"/>
        <tr r="C91" s="20"/>
        <tr r="L65" s="20"/>
        <tr r="C38" s="20"/>
        <tr r="J13" s="20"/>
        <tr r="E451" s="20"/>
        <tr r="G375" s="20"/>
        <tr r="D346" s="20"/>
        <tr r="E310" s="20"/>
        <tr r="J272" s="20"/>
        <tr r="K228" s="20"/>
        <tr r="E175" s="20"/>
        <tr r="K130" s="20"/>
        <tr r="D60" s="20"/>
        <tr r="F324" s="20"/>
        <tr r="D242" s="20"/>
        <tr r="G146" s="20"/>
        <tr r="H73" s="20"/>
        <tr r="J11" s="20"/>
        <tr r="E325" s="20"/>
        <tr r="I245" s="20"/>
        <tr r="H174" s="20"/>
        <tr r="F98" s="20"/>
        <tr r="D265" s="20"/>
        <tr r="I46" s="20"/>
        <tr r="D137" s="20"/>
        <tr r="L407" s="20"/>
        <tr r="H326" s="20"/>
        <tr r="C326" s="20"/>
        <tr r="J292" s="20"/>
        <tr r="D246" s="20"/>
        <tr r="F194" s="20"/>
        <tr r="H149" s="20"/>
        <tr r="I149" s="20"/>
        <tr r="K104" s="20"/>
        <tr r="L74" s="20"/>
        <tr r="F51" s="20"/>
        <tr r="H28" s="20"/>
        <tr r="K28" s="20"/>
        <tr r="J12" s="20"/>
        <tr r="H403" s="20"/>
        <tr r="H449" s="20"/>
        <tr r="E438" s="20"/>
        <tr r="F401" s="20"/>
        <tr r="H386" s="20"/>
        <tr r="K370" s="20"/>
        <tr r="E354" s="20"/>
        <tr r="G338" s="20"/>
        <tr r="E318" s="20"/>
        <tr r="H299" s="20"/>
        <tr r="D299" s="20"/>
        <tr r="F275" s="20"/>
        <tr r="G256" s="20"/>
        <tr r="I239" s="20"/>
        <tr r="K221" s="20"/>
        <tr r="E205" s="20"/>
        <tr r="K178" s="20"/>
        <tr r="D178" s="20"/>
        <tr r="D159" s="20"/>
        <tr r="E143" s="20"/>
        <tr r="G124" s="20"/>
        <tr r="L102" s="20"/>
        <tr r="F102" s="20"/>
        <tr r="L71" s="20"/>
        <tr r="K33" s="20"/>
        <tr r="F394" s="20"/>
        <tr r="J322" s="20"/>
        <tr r="C322" s="20"/>
        <tr r="E285" s="20"/>
        <tr r="L225" s="20"/>
        <tr r="G185" s="20"/>
        <tr r="J136" s="20"/>
        <tr r="D136" s="20"/>
        <tr r="I99" s="20"/>
        <tr r="F70" s="20"/>
        <tr r="H45" s="20"/>
        <tr r="J25" s="20"/>
        <tr r="C25" s="20"/>
        <tr r="D9" s="20"/>
        <tr r="I391" s="20"/>
        <tr r="I405" s="20"/>
        <tr r="E436" s="20"/>
        <tr r="G421" s="20"/>
        <tr r="C399" s="20"/>
        <tr r="I383" s="20"/>
        <tr r="I369" s="20"/>
        <tr r="C351" s="20"/>
        <tr r="K337" s="20"/>
        <tr r="K317" s="20"/>
        <tr r="C293" s="20"/>
        <tr r="K274" s="20"/>
        <tr r="F274" s="20"/>
        <tr r="K253" s="20"/>
        <tr r="F238" s="20"/>
        <tr r="J219" s="20"/>
        <tr r="I199" s="20"/>
        <tr r="K199" s="20"/>
        <tr r="D177" s="20"/>
        <tr r="C156" s="20"/>
        <tr r="E142" s="20"/>
        <tr r="G122" s="20"/>
        <tr r="I122" s="20"/>
        <tr r="I94" s="20"/>
        <tr r="K69" s="20"/>
        <tr r="H446" s="20"/>
        <tr r="F388" s="20"/>
        <tr r="D388" s="20"/>
        <tr r="I316" s="20"/>
        <tr r="J281" s="20"/>
        <tr r="L223" s="20"/>
        <tr r="F183" s="20"/>
        <tr r="E183" s="20"/>
        <tr r="G129" s="20"/>
        <tr r="C96" s="20"/>
        <tr r="L67" s="20"/>
        <tr r="F41" s="20"/>
        <tr r="G41" s="20"/>
        <tr r="J23" s="20"/>
        <tr r="K7" s="20"/>
        <tr r="L435" s="20"/>
        <tr r="J378" s="20"/>
        <tr r="H312" s="20"/>
        <tr r="F270" s="20"/>
        <tr r="G218" s="20"/>
        <tr r="L179" s="20"/>
        <tr r="I123" s="20"/>
        <tr r="E91" s="20"/>
        <tr r="J52" s="20"/>
        <tr r="I29" s="20"/>
        <tr r="H13" s="20"/>
        <tr r="E440" s="20"/>
        <tr r="H367" s="20"/>
        <tr r="F336" s="20"/>
        <tr r="I310" s="20"/>
        <tr r="K260" s="20"/>
        <tr r="F228" s="20"/>
        <tr r="F175" s="20"/>
        <tr r="G115" s="20"/>
        <tr r="K42" s="20"/>
        <tr r="H324" s="20"/>
        <tr r="E209" s="20"/>
        <tr r="C119" s="20"/>
        <tr r="H62" s="20"/>
        <tr r="F439" s="20"/>
        <tr r="D308" s="20"/>
        <tr r="G235" s="20"/>
        <tr r="F160" s="20"/>
        <tr r="E84" s="20"/>
        <tr r="I237" s="20"/>
        <tr r="G35" s="20"/>
        <tr r="H53" s="20"/>
        <tr r="E338" s="20"/>
        <tr r="D74" s="20"/>
        <tr r="E51" s="20"/>
        <tr r="G28" s="20"/>
        <tr r="C28" s="20"/>
        <tr r="I12" s="20"/>
        <tr r="H417" s="20"/>
        <tr r="H345" s="20"/>
        <tr r="L438" s="20"/>
        <tr r="L422" s="20"/>
        <tr r="E401" s="20"/>
        <tr r="G386" s="20"/>
        <tr r="C370" s="20"/>
        <tr r="G354" s="20"/>
        <tr r="K318" s="20"/>
        <tr r="G299" s="20"/>
        <tr r="E275" s="20"/>
        <tr r="L256" s="20"/>
        <tr r="E256" s="20"/>
        <tr r="H239" s="20"/>
        <tr r="C221" s="20"/>
        <tr r="L205" s="20"/>
        <tr r="C178" s="20"/>
        <tr r="E178" s="20"/>
        <tr r="J159" s="20"/>
        <tr r="L143" s="20"/>
        <tr r="E124" s="20"/>
        <tr r="D102" s="20"/>
        <tr r="E102" s="20"/>
        <tr r="J71" s="20"/>
        <tr r="C33" s="20"/>
        <tr r="K394" s="20"/>
        <tr r="I322" s="20"/>
        <tr r="G322" s="20"/>
        <tr r="G285" s="20"/>
        <tr r="K225" s="20"/>
        <tr r="E185" s="20"/>
        <tr r="H136" s="20"/>
        <tr r="E136" s="20"/>
        <tr r="E99" s="20"/>
        <tr r="K70" s="20"/>
        <tr r="G45" s="20"/>
        <tr r="E25" s="20"/>
        <tr r="K9" s="20"/>
        <tr r="I345" s="20"/>
        <tr r="I419" s="20"/>
        <tr r="L436" s="20"/>
        <tr r="F421" s="20"/>
        <tr r="J399" s="20"/>
        <tr r="H383" s="20"/>
        <tr r="H369" s="20"/>
        <tr r="L351" s="20"/>
        <tr r="C337" s="20"/>
        <tr r="C317" s="20"/>
        <tr r="J293" s="20"/>
        <tr r="C274" s="20"/>
        <tr r="D274" s="20"/>
        <tr r="C253" s="20"/>
        <tr r="E238" s="20"/>
        <tr r="I219" s="20"/>
        <tr r="H199" s="20"/>
        <tr r="C199" s="20"/>
        <tr r="J177" s="20"/>
        <tr r="J156" s="20"/>
        <tr r="L142" s="20"/>
        <tr r="F122" s="20"/>
        <tr r="J122" s="20"/>
        <tr r="J94" s="20"/>
        <tr r="C69" s="20"/>
        <tr r="G446" s="20"/>
        <tr r="E388" s="20"/>
        <tr r="G388" s="20"/>
        <tr r="H316" s="20"/>
        <tr r="K281" s="20"/>
        <tr r="D223" s="20"/>
        <tr r="L183" s="20"/>
        <tr r="G183" s="20"/>
        <tr r="I129" s="20"/>
        <tr r="J96" s="20"/>
        <tr r="D67" s="20"/>
        <tr r="E41" s="20"/>
        <tr r="I41" s="20"/>
        <tr r="H23" s="20"/>
        <tr r="C7" s="20"/>
        <tr r="D435" s="20"/>
        <tr r="H378" s="20"/>
        <tr r="G312" s="20"/>
        <tr r="D270" s="20"/>
        <tr r="C218" s="20"/>
        <tr r="F179" s="20"/>
        <tr r="J105" s="20"/>
        <tr r="I75" s="20"/>
        <tr r="H52" s="20"/>
        <tr r="F29" s="20"/>
        <tr r="L13" s="20"/>
        <tr r="F430" s="20"/>
        <tr r="E367" s="20"/>
        <tr r="C336" s="20"/>
        <tr r="F298" s="20"/>
        <tr r="I260" s="20"/>
        <tr r="L214" s="20"/>
        <tr r="L163" s="20"/>
        <tr r="K115" s="20"/>
        <tr r="D42" s="20"/>
        <tr r="E309" s="20"/>
        <tr r="J209" s="20"/>
        <tr r="G119" s="20"/>
        <tr r="K49" s="20"/>
        <tr r="D429" s="20"/>
        <tr r="I308" s="20"/>
        <tr r="J227" s="20"/>
        <tr r="E160" s="20"/>
        <tr r="C84" s="20"/>
        <tr r="L187" s="20"/>
        <tr r="J18" s="20"/>
        <tr r="C302" s="20"/>
        <tr r="I409" s="20"/>
        <tr r="C409" s="20"/>
        <tr r="L378" s="20"/>
        <tr r="E330" s="20"/>
        <tr r="F312" s="20"/>
        <tr r="I294" s="20"/>
        <tr r="K294" s="20"/>
        <tr r="C270" s="20"/>
        <tr r="E251" s="20"/>
        <tr r="F218" s="20"/>
        <tr r="I195" s="20"/>
        <tr r="K195" s="20"/>
        <tr r="I179" s="20"/>
        <tr r="K152" s="20"/>
        <tr r="F123" s="20"/>
        <tr r="H105" s="20"/>
        <tr r="I105" s="20"/>
        <tr r="L91" s="20"/>
        <tr r="K75" s="20"/>
        <tr r="G65" s="20"/>
        <tr r="I52" s="20"/>
        <tr r="L52" s="20"/>
        <tr r="K38" s="20"/>
        <tr r="L29" s="20"/>
        <tr r="G21" s="20"/>
        <tr r="I13" s="20"/>
        <tr r="E13" s="20"/>
        <tr r="C439" s="20"/>
        <tr r="H430" s="20"/>
        <tr r="E406" s="20"/>
        <tr r="H375" s="20"/>
        <tr r="G358" s="20"/>
        <tr r="G346" s="20"/>
        <tr r="G336" s="20"/>
        <tr r="H336" s="20"/>
        <tr r="G298" s="20"/>
        <tr r="G282" s="20"/>
        <tr r="H282" s="20"/>
        <tr r="L272" s="20"/>
        <tr r="C260" s="20"/>
        <tr r="K247" s="20"/>
        <tr r="L236" s="20"/>
        <tr r="D228" s="20"/>
        <tr r="E214" s="20"/>
        <tr r="F214" s="20"/>
        <tr r="F204" s="20"/>
        <tr r="G190" s="20"/>
        <tr r="E163" s="20"/>
        <tr r="E151" s="20"/>
        <tr r="L140" s="20"/>
        <tr r="L130" s="20"/>
        <tr r="E115" s="20"/>
        <tr r="C100" s="20"/>
        <tr r="D85" s="20"/>
        <tr r="K60" s="20"/>
        <tr r="F42" s="20"/>
        <tr r="D427" s="20"/>
        <tr r="H402" s="20"/>
        <tr r="C356" s="20"/>
        <tr r="F309" s="20"/>
        <tr r="F287" s="20"/>
        <tr r="E266" s="20"/>
        <tr r="L242" s="20"/>
        <tr r="L209" s="20"/>
        <tr r="D189" s="20"/>
        <tr r="C171" s="20"/>
        <tr r="C146" s="20"/>
        <tr r="J119" s="20"/>
        <tr r="G103" s="20"/>
        <tr r="J86" s="20"/>
        <tr r="I73" s="20"/>
        <tr r="L49" s="20"/>
        <tr r="C36" s="20"/>
        <tr r="F19" s="20"/>
        <tr r="C11" s="20"/>
        <tr r="D439" s="20"/>
        <tr r="F384" s="20"/>
        <tr r="K357" s="20"/>
        <tr r="I335" s="20"/>
        <tr r="C308" s="20"/>
        <tr r="D280" s="20"/>
        <tr r="F271" s="20"/>
        <tr r="J245" s="20"/>
        <tr r="C227" s="20"/>
        <tr r="H213" s="20"/>
        <tr r="D200" s="20"/>
        <tr r="I174" s="20"/>
        <tr r="L160" s="20"/>
        <tr r="J139" s="20"/>
        <tr r="J128" s="20"/>
        <tr r="L112" s="20"/>
        <tr r="K84" s="20"/>
        <tr r="I59" s="20"/>
        <tr r="H426" s="20"/>
        <tr r="F400" s="20"/>
        <tr r="D323" s="20"/>
        <tr r="H305" s="20"/>
        <tr r="L265" s="20"/>
        <tr r="J237" s="20"/>
        <tr r="G206" s="20"/>
        <tr r="J169" s="20"/>
        <tr r="F141" s="20"/>
        <tr r="L101" s="20"/>
        <tr r="J82" s="20"/>
        <tr r="G72" s="20"/>
        <tr r="C46" s="20"/>
        <tr r="E35" s="20"/>
        <tr r="K18" s="20"/>
        <tr r="I10" s="20"/>
        <tr r="C342" s="20"/>
        <tr r="C306" s="20"/>
        <tr r="H255" s="20"/>
        <tr r="G198" s="20"/>
        <tr r="K147" s="20"/>
        <tr r="D53" s="20"/>
        <tr r="G302" s="20"/>
        <tr r="D184" s="20"/>
        <tr r="F68" s="20"/>
        <tr r="I28" s="20"/>
        <tr r="K409" s="20"/>
        <tr r="I378" s="20"/>
        <tr r="C378" s="20"/>
        <tr r="C330" s="20"/>
        <tr r="E312" s="20"/>
        <tr r="F294" s="20"/>
        <tr r="I270" s="20"/>
        <tr r="K270" s="20"/>
        <tr r="C251" s="20"/>
        <tr r="E218" s="20"/>
        <tr r="F195" s="20"/>
        <tr r="H179" s="20"/>
        <tr r="E179" s="20"/>
        <tr r="F152" s="20"/>
        <tr r="C123" s="20"/>
        <tr r="F105" s="20"/>
        <tr r="I91" s="20"/>
        <tr r="D91" s="20"/>
        <tr r="D75" s="20"/>
        <tr r="K65" s="20"/>
        <tr r="G52" s="20"/>
        <tr r="I38" s="20"/>
        <tr r="E38" s="20"/>
        <tr r="K29" s="20"/>
        <tr r="L21" s="20"/>
        <tr r="G13" s="20"/>
        <tr r="C374" s="20"/>
        <tr r="H451" s="20"/>
        <tr r="E430" s="20"/>
        <tr r="F396" s="20"/>
        <tr r="F375" s="20"/>
        <tr r="E358" s="20"/>
        <tr r="E346" s="20"/>
        <tr r="G310" s="20"/>
        <tr r="E298" s="20"/>
        <tr r="E282" s="20"/>
        <tr r="G272" s="20"/>
        <tr r="G260" s="20"/>
        <tr r="H247" s="20"/>
        <tr r="I247" s="20"/>
        <tr r="K236" s="20"/>
        <tr r="C228" s="20"/>
        <tr r="D214" s="20"/>
        <tr r="E204" s="20"/>
        <tr r="L190" s="20"/>
        <tr r="D175" s="20"/>
        <tr r="D163" s="20"/>
        <tr r="K151" s="20"/>
        <tr r="C140" s="20"/>
        <tr r="J130" s="20"/>
        <tr r="F115" s="20"/>
        <tr r="D100" s="20"/>
        <tr r="K85" s="20"/>
        <tr r="C60" s="20"/>
        <tr r="J427" s="20"/>
        <tr r="F402" s="20"/>
        <tr r="E356" s="20"/>
        <tr r="L324" s="20"/>
        <tr r="L309" s="20"/>
        <tr r="D287" s="20"/>
        <tr r="J266" s="20"/>
        <tr r="J242" s="20"/>
        <tr r="C209" s="20"/>
        <tr r="I189" s="20"/>
        <tr r="H171" s="20"/>
        <tr r="E146" s="20"/>
        <tr r="H119" s="20"/>
        <tr r="E103" s="20"/>
        <tr r="H86" s="20"/>
        <tr r="E62" s="20"/>
        <tr r="C49" s="20"/>
        <tr r="F27" s="20"/>
        <tr r="K19" s="20"/>
        <tr r="H11" s="20"/>
        <tr r="F419" s="20"/>
        <tr r="E374" s="20"/>
        <tr r="E345" s="20"/>
        <tr r="L325" s="20"/>
        <tr r="J308" s="20"/>
        <tr r="I280" s="20"/>
        <tr r="C258" s="20"/>
        <tr r="F235" s="20"/>
        <tr r="I227" s="20"/>
        <tr r="D213" s="20"/>
        <tr r="I188" s="20"/>
        <tr r="F174" s="20"/>
        <tr r="K150" s="20"/>
        <tr r="G139" s="20"/>
        <tr r="H128" s="20"/>
        <tr r="K98" s="20"/>
        <tr r="I84" s="20"/>
        <tr r="G40" s="20"/>
        <tr r="C426" s="20"/>
        <tr r="D355" s="20"/>
        <tr r="J323" s="20"/>
        <tr r="F305" s="20"/>
        <tr r="C265" s="20"/>
        <tr r="G237" s="20"/>
        <tr r="J187" s="20"/>
        <tr r="F169" s="20"/>
        <tr r="C141" s="20"/>
        <tr r="H101" s="20"/>
        <tr r="F82" s="20"/>
        <tr r="K61" s="20"/>
        <tr r="H46" s="20"/>
        <tr r="D26" s="20"/>
        <tr r="I18" s="20"/>
        <tr r="I352" s="20"/>
        <tr r="E333" s="20"/>
        <tr r="K291" s="20"/>
        <tr r="L182" s="20"/>
        <tr r="K137" s="20"/>
        <tr r="F450" s="20"/>
        <tr r="D283" s="20"/>
        <tr r="H131" s="20"/>
        <tr r="D44" s="20"/>
        <tr r="D318" s="20"/>
        <tr r="H409" s="20"/>
        <tr r="F378" s="20"/>
        <tr r="J330" s="20"/>
        <tr r="K330" s="20"/>
        <tr r="D312" s="20"/>
        <tr r="G294" s="20"/>
        <tr r="H270" s="20"/>
        <tr r="J251" s="20"/>
        <tr r="L251" s="20"/>
        <tr r="D218" s="20"/>
        <tr r="G195" s="20"/>
        <tr r="G179" s="20"/>
        <tr r="J152" s="20"/>
        <tr r="D152" s="20"/>
        <tr r="L123" s="20"/>
        <tr r="K105" s="20"/>
        <tr r="H91" s="20"/>
        <tr r="C65" s="20"/>
        <tr r="F52" s="20"/>
        <tr r="H38" s="20"/>
        <tr r="J29" s="20"/>
        <tr r="C29" s="20"/>
        <tr r="D21" s="20"/>
        <tr r="F13" s="20"/>
        <tr r="C384" s="20"/>
        <tr r="F451" s="20"/>
        <tr r="H420" s="20"/>
        <tr r="E396" s="20"/>
        <tr r="E375" s="20"/>
        <tr r="I358" s="20"/>
        <tr r="I346" s="20"/>
        <tr r="F310" s="20"/>
        <tr r="K298" s="20"/>
        <tr r="K282" s="20"/>
        <tr r="F272" s="20"/>
        <tr r="F260" s="20"/>
        <tr r="G247" s="20"/>
        <tr r="J247" s="20"/>
        <tr r="C236" s="20"/>
        <tr r="J228" s="20"/>
        <tr r="K214" s="20"/>
        <tr r="D204" s="20"/>
        <tr r="D190" s="20"/>
        <tr r="K175" s="20"/>
        <tr r="C163" s="20"/>
        <tr r="C151" s="20"/>
        <tr r="J140" s="20"/>
        <tr r="D115" s="20"/>
        <tr r="F100" s="20"/>
        <tr r="J60" s="20"/>
        <tr r="J42" s="20"/>
        <tr r="I427" s="20"/>
        <tr r="J402" s="20"/>
        <tr r="J356" s="20"/>
        <tr r="D324" s="20"/>
        <tr r="J309" s="20"/>
        <tr r="J287" s="20"/>
        <tr r="C266" s="20"/>
        <tr r="I242" s="20"/>
        <tr r="I209" s="20"/>
        <tr r="K189" s="20"/>
        <tr r="J171" s="20"/>
        <tr r="J146" s="20"/>
        <tr r="E119" s="20"/>
        <tr r="F86" s="20"/>
        <tr r="F73" s="20"/>
        <tr r="L62" s="20"/>
        <tr r="G49" s="20"/>
        <tr r="E27" s="20"/>
        <tr r="J19" s="20"/>
        <tr r="D255" s="20"/>
        <tr r="L419" s="20"/>
        <tr r="L374" s="20"/>
        <tr r="K345" s="20"/>
        <tr r="K325" s="20"/>
        <tr r="H308" s="20"/>
        <tr r="E271" s="20"/>
        <tr r="J258" s="20"/>
        <tr r="L235" s="20"/>
        <tr r="G227" s="20"/>
        <tr r="E213" s="20"/>
        <tr r="H188" s="20"/>
        <tr r="E174" s="20"/>
        <tr r="J150" s="20"/>
        <tr r="F139" s="20"/>
        <tr r="G112" s="20"/>
        <tr r="C98" s="20"/>
        <tr r="H59" s="20"/>
        <tr r="K40" s="20"/>
        <tr r="J426" s="20"/>
        <tr r="K355" s="20"/>
        <tr r="G323" s="20"/>
        <tr r="L286" s="20"/>
        <tr r="J265" s="20"/>
        <tr r="E237" s="20"/>
        <tr r="E187" s="20"/>
        <tr r="E169" s="20"/>
        <tr r="J118" s="20"/>
        <tr r="E101" s="20"/>
        <tr r="L72" s="20"/>
        <tr r="I61" s="20"/>
        <tr r="F46" s="20"/>
        <tr r="K26" s="20"/>
        <tr r="F18" s="20"/>
        <tr r="H352" s="20"/>
        <tr r="C333" s="20"/>
        <tr r="C291" s="20"/>
        <tr r="K182" s="20"/>
        <tr r="G126" s="20"/>
        <tr r="E450" s="20"/>
        <tr r="L257" s="20"/>
        <tr r="C131" s="20"/>
        <tr r="J44" s="20"/>
        <tr r="D425" s="20"/>
        <tr r="H423" s="20"/>
        <tr r="I420" s="20"/>
        <tr r="C298" s="20"/>
        <tr r="C282" s="20"/>
        <tr r="E272" s="20"/>
        <tr r="E260" s="20"/>
        <tr r="F247" s="20"/>
        <tr r="H236" s="20"/>
        <tr r="I236" s="20"/>
        <tr r="I228" s="20"/>
        <tr r="C214" s="20"/>
        <tr r="K204" s="20"/>
        <tr r="C190" s="20"/>
        <tr r="C175" s="20"/>
        <tr r="J163" s="20"/>
        <tr r="I151" s="20"/>
        <tr r="I140" s="20"/>
        <tr r="J100" s="20"/>
        <tr r="J85" s="20"/>
        <tr r="I60" s="20"/>
        <tr r="H42" s="20"/>
        <tr r="H427" s="20"/>
        <tr r="D402" s="20"/>
        <tr r="K356" s="20"/>
        <tr r="J324" s="20"/>
        <tr r="C309" s="20"/>
        <tr r="I287" s="20"/>
        <tr r="I266" s="20"/>
        <tr r="G242" s="20"/>
        <tr r="G209" s="20"/>
        <tr r="H189" s="20"/>
        <tr r="E171" s="20"/>
        <tr r="F119" s="20"/>
        <tr r="F103" s="20"/>
        <tr r="E86" s="20"/>
        <tr r="L73" s="20"/>
        <tr r="K62" s="20"/>
        <tr r="D27" s="20"/>
        <tr r="H19" s="20"/>
        <tr r="D320" s="20"/>
        <tr r="L405" s="20"/>
        <tr r="D374" s="20"/>
        <tr r="C345" s="20"/>
        <tr r="G325" s="20"/>
        <tr r="L295" s="20"/>
        <tr r="L271" s="20"/>
        <tr r="G258" s="20"/>
        <tr r="D235" s="20"/>
        <tr r="D227" s="20"/>
        <tr r="J200" s="20"/>
        <tr r="G188" s="20"/>
        <tr r="K160" s="20"/>
        <tr r="G150" s="20"/>
        <tr r="D139" s="20"/>
        <tr r="F112" s="20"/>
        <tr r="J98" s="20"/>
        <tr r="G59" s="20"/>
        <tr r="I40" s="20"/>
        <tr r="L400" s="20"/>
        <tr r="C355" s="20"/>
        <tr r="F323" s="20"/>
        <tr r="C286" s="20"/>
        <tr r="I265" s="20"/>
        <tr r="L206" s="20"/>
        <tr r="I187" s="20"/>
        <tr r="C169" s="20"/>
        <tr r="H118" s="20"/>
        <tr r="F101" s="20"/>
        <tr r="D72" s="20"/>
        <tr r="H61" s="20"/>
        <tr r="D35" s="20"/>
        <tr r="J26" s="20"/>
        <tr r="E18" s="20"/>
        <tr r="K352" s="20"/>
        <tr r="H320" s="20"/>
        <tr r="K277" s="20"/>
        <tr r="G222" s="20"/>
        <tr r="E170" s="20"/>
        <tr r="H110" s="20"/>
        <tr r="K412" s="20"/>
        <tr r="D257" s="20"/>
        <tr r="J114" s="20"/>
        <tr r="H24" s="20"/>
        <tr r="G423" s="20"/>
        <tr r="H300" s="20"/>
        <tr r="D337" s="20"/>
        <tr r="D352" s="20"/>
        <tr r="E409" s="20"/>
        <tr r="G378" s="20"/>
        <tr r="H330" s="20"/>
        <tr r="J312" s="20"/>
        <tr r="K312" s="20"/>
        <tr r="D294" s="20"/>
        <tr r="G270" s="20"/>
        <tr r="H251" s="20"/>
        <tr r="J218" s="20"/>
        <tr r="L218" s="20"/>
        <tr r="D195" s="20"/>
        <tr r="C179" s="20"/>
        <tr r="G152" s="20"/>
        <tr r="J123" s="20"/>
        <tr r="E123" s="20"/>
        <tr r="E105" s="20"/>
        <tr r="F91" s="20"/>
        <tr r="C52" s="20"/>
        <tr r="F38" s="20"/>
        <tr r="H29" s="20"/>
        <tr r="J21" s="20"/>
        <tr r="C21" s="20"/>
        <tr r="D13" s="20"/>
        <tr r="C405" s="20"/>
        <tr r="H440" s="20"/>
        <tr r="E420" s="20"/>
        <tr r="G385" s="20"/>
        <tr r="G367" s="20"/>
        <tr r="J358" s="20"/>
        <tr r="J346" s="20"/>
        <tr r="K310" s="20"/>
        <tr r="I298" s="20"/>
        <tr r="I282" s="20"/>
        <tr r="K272" s="20"/>
        <tr r="L260" s="20"/>
        <tr r="E247" s="20"/>
        <tr r="G236" s="20"/>
        <tr r="J236" s="20"/>
        <tr r="H228" s="20"/>
        <tr r="J214" s="20"/>
        <tr r="C204" s="20"/>
        <tr r="J190" s="20"/>
        <tr r="I175" s="20"/>
        <tr r="I163" s="20"/>
        <tr r="H151" s="20"/>
        <tr r="F140" s="20"/>
        <tr r="J115" s="20"/>
        <tr r="I100" s="20"/>
        <tr r="H85" s="20"/>
        <tr r="H60" s="20"/>
        <tr r="G42" s="20"/>
        <tr r="E427" s="20"/>
        <tr r="C402" s="20"/>
        <tr r="I356" s="20"/>
        <tr r="I324" s="20"/>
        <tr r="I309" s="20"/>
        <tr r="K287" s="20"/>
        <tr r="G266" s="20"/>
        <tr r="H242" s="20"/>
        <tr r="K209" s="20"/>
        <tr r="F171" s="20"/>
        <tr r="F146" s="20"/>
        <tr r="L119" s="20"/>
        <tr r="D103" s="20"/>
        <tr r="L86" s="20"/>
        <tr r="D73" s="20"/>
        <tr r="G62" s="20"/>
        <tr r="K27" s="20"/>
        <tr r="I19" s="20"/>
        <tr r="F449" s="20"/>
        <tr r="F395" s="20"/>
        <tr r="L366" s="20"/>
        <tr r="G345" s="20"/>
        <tr r="H325" s="20"/>
        <tr r="C295" s="20"/>
        <tr r="K271" s="20"/>
        <tr r="F245" s="20"/>
        <tr r="C235" s="20"/>
        <tr r="E227" s="20"/>
        <tr r="H200" s="20"/>
        <tr r="D188" s="20"/>
        <tr r="C160" s="20"/>
        <tr r="F150" s="20"/>
        <tr r="F128" s="20"/>
        <tr r="K112" s="20"/>
        <tr r="I98" s="20"/>
        <tr r="E59" s="20"/>
        <tr r="D40" s="20"/>
        <tr r="K400" s="20"/>
        <tr r="I355" s="20"/>
        <tr r="E323" s="20"/>
        <tr r="J286" s="20"/>
        <tr r="E265" s="20"/>
        <tr r="K206" s="20"/>
        <tr r="K187" s="20"/>
        <tr r="D141" s="20"/>
        <tr r="E118" s="20"/>
        <tr r="L82" s="20"/>
        <tr r="J72" s="20"/>
        <tr r="E61" s="20"/>
        <tr r="K35" s="20"/>
        <tr r="F26" s="20"/>
        <tr r="C352" s="20"/>
        <tr r="G320" s="20"/>
        <tr r="C277" s="20"/>
        <tr r="E222" s="20"/>
        <tr r="L170" s="20"/>
        <tr r="E110" s="20"/>
        <tr r="G350" s="20"/>
        <tr r="L224" s="20"/>
        <tr r="G114" s="20"/>
        <tr r="H16" s="20"/>
        <tr r="K391" s="20"/>
        <tr r="I371" s="20"/>
        <tr r="F280" s="20"/>
        <tr r="D440" s="20"/>
        <tr r="F409" s="20"/>
        <tr r="E378" s="20"/>
        <tr r="F330" s="20"/>
        <tr r="I312" s="20"/>
        <tr r="L312" s="20"/>
        <tr r="C294" s="20"/>
        <tr r="E270" s="20"/>
        <tr r="F251" s="20"/>
        <tr r="I218" s="20"/>
        <tr r="K218" s="20"/>
        <tr r="C195" s="20"/>
        <tr r="K179" s="20"/>
        <tr r="C152" s="20"/>
        <tr r="H123" s="20"/>
        <tr r="D123" s="20"/>
        <tr r="D105" s="20"/>
        <tr r="K91" s="20"/>
        <tr r="D52" s="20"/>
        <tr r="L38" s="20"/>
        <tr r="G29" s="20"/>
        <tr r="I21" s="20"/>
        <tr r="E21" s="20"/>
        <tr r="K13" s="20"/>
        <tr r="C419" s="20"/>
        <tr r="F440" s="20"/>
        <tr r="H406" s="20"/>
        <tr r="F385" s="20"/>
        <tr r="F367" s="20"/>
        <tr r="H358" s="20"/>
        <tr r="H346" s="20"/>
        <tr r="C310" s="20"/>
        <tr r="H298" s="20"/>
        <tr r="L282" s="20"/>
        <tr r="C272" s="20"/>
        <tr r="D260" s="20"/>
        <tr r="L247" s="20"/>
        <tr r="F236" s="20"/>
        <tr r="E228" s="20"/>
        <tr r="G228" s="20"/>
        <tr r="I214" s="20"/>
        <tr r="I204" s="20"/>
        <tr r="I190" s="20"/>
        <tr r="H175" s="20"/>
        <tr r="F163" s="20"/>
        <tr r="F151" s="20"/>
        <tr r="H115" s="20"/>
        <tr r="H100" s="20"/>
        <tr r="G85" s="20"/>
        <tr r="E60" s="20"/>
        <tr r="E42" s="20"/>
        <tr r="C427" s="20"/>
        <tr r="I402" s="20"/>
        <tr r="G356" s="20"/>
        <tr r="K324" s="20"/>
        <tr r="H309" s="20"/>
        <tr r="H287" s="20"/>
        <tr r="H266" s="20"/>
        <tr r="F209" s="20"/>
        <tr r="F189" s="20"/>
        <tr r="L171" s="20"/>
        <tr r="D146" s="20"/>
        <tr r="D119" s="20"/>
        <tr r="K103" s="20"/>
        <tr r="K86" s="20"/>
        <tr r="K73" s="20"/>
        <tr r="I62" s="20"/>
        <tr r="J27" s="20"/>
        <tr r="F11" s="20"/>
        <tr r="D449" s="20"/>
        <tr r="E395" s="20"/>
        <tr r="E357" s="20"/>
        <tr r="D335" s="20"/>
        <tr r="F325" s="20"/>
        <tr r="G271" s="20"/>
        <tr r="L245" s="20"/>
        <tr r="J235" s="20"/>
        <tr r="C213" s="20"/>
        <tr r="G200" s="20"/>
        <tr r="K174" s="20"/>
        <tr r="H160" s="20"/>
        <tr r="L150" s="20"/>
        <tr r="K128" s="20"/>
        <tr r="D112" s="20"/>
        <tr r="H84" s="20"/>
        <tr r="K59" s="20"/>
        <tr r="L40" s="20"/>
        <tr r="C400" s="20"/>
        <tr r="G355" s="20"/>
        <tr r="K305" s="20"/>
        <tr r="H286" s="20"/>
        <tr r="L237" s="20"/>
        <tr r="H206" s="20"/>
        <tr r="G187" s="20"/>
        <tr r="J141" s="20"/>
        <tr r="G118" s="20"/>
        <tr r="D82" s="20"/>
        <tr r="H72" s="20"/>
        <tr r="L46" s="20"/>
        <tr r="C35" s="20"/>
        <tr r="E26" s="20"/>
        <tr r="H342" s="20"/>
        <tr r="I306" s="20"/>
        <tr r="G268" s="20"/>
        <tr r="C222" s="20"/>
        <tr r="E158" s="20"/>
        <tr r="G93" s="20"/>
        <tr r="D350" s="20"/>
        <tr r="C202" s="20"/>
        <tr r="J97" s="20"/>
        <tr r="J16" s="20"/>
        <tr r="C447" s="20"/>
        <tr r="F403" s="20"/>
        <tr r="L426" s="20"/>
        <tr r="G400" s="20"/>
        <tr r="F355" s="20"/>
        <tr r="J305" s="20"/>
        <tr r="F286" s="20"/>
        <tr r="D237" s="20"/>
        <tr r="I206" s="20"/>
        <tr r="D169" s="20"/>
        <tr r="K141" s="20"/>
        <tr r="F118" s="20"/>
        <tr r="C82" s="20"/>
        <tr r="E72" s="20"/>
        <tr r="K46" s="20"/>
        <tr r="H35" s="20"/>
        <tr r="G26" s="20"/>
        <tr r="K342" s="20"/>
        <tr r="H306" s="20"/>
        <tr r="K268" s="20"/>
        <tr r="G211" s="20"/>
        <tr r="J158" s="20"/>
        <tr r="G81" s="20"/>
        <tr r="H319" s="20"/>
        <tr r="J202" s="20"/>
        <tr r="H68" s="20"/>
        <tr r="J8" s="20"/>
        <tr r="D342" s="20"/>
        <tr r="F364" s="20"/>
        <tr r="D333" s="20"/>
        <tr r="G306" s="20"/>
        <tr r="H277" s="20"/>
        <tr r="C268" s="20"/>
        <tr r="C211" s="20"/>
        <tr r="C182" s="20"/>
        <tr r="H158" s="20"/>
        <tr r="C126" s="20"/>
        <tr r="L93" s="20"/>
        <tr r="K53" s="20"/>
        <tr r="E412" s="20"/>
        <tr r="J350" s="20"/>
        <tr r="K302" s="20"/>
        <tr r="H224" s="20"/>
        <tr r="I202" s="20"/>
        <tr r="F131" s="20"/>
        <tr r="D97" s="20"/>
        <tr r="E68" s="20"/>
        <tr r="F32" s="20"/>
        <tr r="K16" s="20"/>
        <tr r="I421" s="20"/>
        <tr r="G429" s="20"/>
        <tr r="L421" s="20"/>
        <tr r="H303" s="20"/>
        <tr r="C403" s="20"/>
        <tr r="H260" s="20"/>
        <tr r="C440" s="20"/>
        <tr r="D396" s="20"/>
        <tr r="F306" s="20"/>
        <tr r="L204" s="20"/>
        <tr r="G204" s="20"/>
        <tr r="H190" s="20"/>
        <tr r="J175" s="20"/>
        <tr r="K163" s="20"/>
        <tr r="L151" s="20"/>
        <tr r="G151" s="20"/>
        <tr r="H140" s="20"/>
        <tr r="L115" s="20"/>
        <tr r="G100" s="20"/>
        <tr r="I85" s="20"/>
        <tr r="L85" s="20"/>
        <tr r="F60" s="20"/>
        <tr r="L42" s="20"/>
        <tr r="G427" s="20"/>
        <tr r="E402" s="20"/>
        <tr r="K402" s="20"/>
        <tr r="H356" s="20"/>
        <tr r="C324" s="20"/>
        <tr r="D309" s="20"/>
        <tr r="E287" s="20"/>
        <tr r="G287" s="20"/>
        <tr r="K266" s="20"/>
        <tr r="C242" s="20"/>
        <tr r="D209" s="20"/>
        <tr r="E189" s="20"/>
        <tr r="G189" s="20"/>
        <tr r="G171" s="20"/>
        <tr r="H146" s="20"/>
        <tr r="K119" s="20"/>
        <tr r="L103" s="20"/>
        <tr r="I103" s="20"/>
        <tr r="G86" s="20"/>
        <tr r="C73" s="20"/>
        <tr r="J62" s="20"/>
        <tr r="G27" s="20"/>
        <tr r="G19" s="20"/>
        <tr r="G11" s="20"/>
        <tr r="L429" s="20"/>
        <tr r="L395" s="20"/>
        <tr r="F366" s="20"/>
        <tr r="D345" s="20"/>
        <tr r="G335" s="20"/>
        <tr r="E308" s="20"/>
        <tr r="G280" s="20"/>
        <tr r="E258" s="20"/>
        <tr r="K245" s="20"/>
        <tr r="K235" s="20"/>
        <tr r="H227" s="20"/>
        <tr r="F213" s="20"/>
        <tr r="F200" s="20"/>
        <tr r="F188" s="20"/>
        <tr r="D174" s="20"/>
        <tr r="D160" s="20"/>
        <tr r="D150" s="20"/>
        <tr r="G128" s="20"/>
        <tr r="H112" s="20"/>
        <tr r="H98" s="20"/>
        <tr r="F84" s="20"/>
        <tr r="F40" s="20"/>
        <tr r="F426" s="20"/>
        <tr r="H400" s="20"/>
        <tr r="H355" s="20"/>
        <tr r="I323" s="20"/>
        <tr r="F265" s="20"/>
        <tr r="F237" s="20"/>
        <tr r="F206" s="20"/>
        <tr r="L169" s="20"/>
        <tr r="L141" s="20"/>
        <tr r="L118" s="20"/>
        <tr r="J101" s="20"/>
        <tr r="K82" s="20"/>
        <tr r="K72" s="20"/>
        <tr r="J61" s="20"/>
        <tr r="J46" s="20"/>
        <tr r="J35" s="20"/>
        <tr r="H26" s="20"/>
        <tr r="H18" s="20"/>
        <tr r="E342" s="20"/>
        <tr r="I320" s="20"/>
        <tr r="E306" s="20"/>
        <tr r="E277" s="20"/>
        <tr r="I255" s="20"/>
        <tr r="H211" s="20"/>
        <tr r="F170" s="20"/>
        <tr r="I158" s="20"/>
        <tr r="I126" s="20"/>
        <tr r="I93" s="20"/>
        <tr r="C53" s="20"/>
        <tr r="L412" s="20"/>
        <tr r="C350" s="20"/>
        <tr r="I302" s="20"/>
        <tr r="F224" s="20"/>
        <tr r="G184" s="20"/>
        <tr r="E131" s="20"/>
        <tr r="K97" s="20"/>
        <tr r="J68" s="20"/>
        <tr r="E32" s="20"/>
        <tr r="D8" s="20"/>
        <tr r="G401" s="20"/>
        <tr r="I425" s="20"/>
        <tr r="F307" s="20"/>
        <tr r="I406" s="20"/>
        <tr r="E399" s="20"/>
        <tr r="H221" s="20"/>
        <tr r="C420" s="20"/>
        <tr r="D367" s="20"/>
        <tr r="J151" s="20"/>
        <tr r="J147" s="20"/>
        <tr r="D126" s="20"/>
        <tr r="H93" s="20"/>
        <tr r="D450" s="20"/>
        <tr r="D393" s="20"/>
        <tr r="G319" s="20"/>
        <tr r="C283" s="20"/>
        <tr r="J224" s="20"/>
        <tr r="H114" s="20"/>
        <tr r="F79" s="20"/>
        <tr r="H57" s="20"/>
        <tr r="F24" s="20"/>
        <tr r="G362" s="20"/>
        <tr r="I401" s="20"/>
        <tr r="F262" s="20"/>
        <tr r="F359" s="20"/>
        <tr r="H370" s="20"/>
        <tr r="F342" s="20"/>
        <tr r="C358" s="20"/>
        <tr r="K427" s="20"/>
        <tr r="F320" s="20"/>
        <tr r="K320" s="20"/>
        <tr r="G291" s="20"/>
        <tr r="D277" s="20"/>
        <tr r="C198" s="20"/>
        <tr r="I170" s="20"/>
        <tr r="H147" s="20"/>
        <tr r="L110" s="20"/>
        <tr r="C81" s="20"/>
        <tr r="K450" s="20"/>
        <tr r="K393" s="20"/>
        <tr r="K319" s="20"/>
        <tr r="K283" s="20"/>
        <tr r="I224" s="20"/>
        <tr r="E162" s="20"/>
        <tr r="F114" s="20"/>
        <tr r="E79" s="20"/>
        <tr r="K57" s="20"/>
        <tr r="K24" s="20"/>
        <tr r="H354" s="20"/>
        <tr r="D386" s="20"/>
        <tr r="L402" s="20"/>
        <tr r="K190" s="20"/>
        <tr r="L175" s="20"/>
        <tr r="G175" s="20"/>
        <tr r="K140" s="20"/>
        <tr r="I115" s="20"/>
        <tr r="C115" s="20"/>
        <tr r="K100" s="20"/>
        <tr r="F85" s="20"/>
        <tr r="G60" s="20"/>
        <tr r="I42" s="20"/>
        <tr r="C42" s="20"/>
        <tr r="L356" s="20"/>
        <tr r="E324" s="20"/>
        <tr r="G324" s="20"/>
        <tr r="K309" s="20"/>
        <tr r="C287" s="20"/>
        <tr r="D266" s="20"/>
        <tr r="E242" s="20"/>
        <tr r="K242" s="20"/>
        <tr r="C189" s="20"/>
        <tr r="K171" s="20"/>
        <tr r="L146" s="20"/>
        <tr r="I146" s="20"/>
        <tr r="I119" s="20"/>
        <tr r="D86" s="20"/>
        <tr r="E73" s="20"/>
        <tr r="F62" s="20"/>
        <tr r="L27" s="20"/>
        <tr r="L19" s="20"/>
        <tr r="K11" s="20"/>
        <tr r="L449" s="20"/>
        <tr r="D419" s="20"/>
        <tr r="D357" s="20"/>
        <tr r="E335" s="20"/>
        <tr r="I325" s="20"/>
        <tr r="G308" s="20"/>
        <tr r="I258" s="20"/>
        <tr r="G245" s="20"/>
        <tr r="K227" s="20"/>
        <tr r="K213" s="20"/>
        <tr r="K200" s="20"/>
        <tr r="D128" s="20"/>
        <tr r="I112" s="20"/>
        <tr r="L98" s="20"/>
        <tr r="L84" s="20"/>
        <tr r="I426" s="20"/>
        <tr r="L355" s="20"/>
        <tr r="L323" s="20"/>
        <tr r="K265" s="20"/>
        <tr r="K237" s="20"/>
        <tr r="C187" s="20"/>
        <tr r="K169" s="20"/>
        <tr r="G141" s="20"/>
        <tr r="K118" s="20"/>
        <tr r="K101" s="20"/>
        <tr r="F72" s="20"/>
        <tr r="G61" s="20"/>
        <tr r="L35" s="20"/>
        <tr r="L26" s="20"/>
        <tr r="L18" s="20"/>
        <tr r="G352" s="20"/>
        <tr r="E291" s="20"/>
        <tr r="I268" s="20"/>
        <tr r="F158" s="20"/>
        <tr r="L137" s="20"/>
        <tr r="D110" s="20"/>
        <tr r="I81" s="20"/>
        <tr r="F257" s="20"/>
        <tr r="C162" s="20"/>
        <tr r="K114" s="20"/>
        <tr r="L79" s="20"/>
        <tr r="L44" s="20"/>
        <tr r="C24" s="20"/>
        <tr r="L268" s="20"/>
        <tr r="D262" s="20"/>
        <tr r="L354" s="20"/>
        <tr r="I25" s="20"/>
        <tr r="D451" s="20"/>
        <tr r="C27" s="20"/>
        <tr r="E11" s="20"/>
        <tr r="I11" s="20"/>
        <tr r="L439" s="20"/>
        <tr r="F405" s="20"/>
        <tr r="E384" s="20"/>
        <tr r="E366" s="20"/>
        <tr r="G357" s="20"/>
        <tr r="L335" s="20"/>
        <tr r="L308" s="20"/>
        <tr r="L258" s="20"/>
        <tr r="E245" s="20"/>
        <tr r="I235" s="20"/>
        <tr r="L227" s="20"/>
        <tr r="I213" s="20"/>
        <tr r="G174" s="20"/>
        <tr r="I160" s="20"/>
        <tr r="C150" s="20"/>
        <tr r="E150" s="20"/>
        <tr r="L139" s="20"/>
        <tr r="L128" s="20"/>
        <tr r="E112" s="20"/>
        <tr r="E40" s="20"/>
        <tr r="E400" s="20"/>
        <tr r="E355" s="20"/>
        <tr r="C323" s="20"/>
        <tr r="C237" s="20"/>
        <tr r="E206" s="20"/>
        <tr r="I141" s="20"/>
        <tr r="G101" s="20"/>
        <tr r="C72" s="20"/>
        <tr r="F61" s="20"/>
        <tr r="E46" s="20"/>
        <tr r="I35" s="20"/>
        <tr r="C26" s="20"/>
        <tr r="G18" s="20"/>
        <tr r="I342" s="20"/>
        <tr r="E320" s="20"/>
        <tr r="I277" s="20"/>
        <tr r="F255" s="20"/>
        <tr r="F211" s="20"/>
        <tr r="F93" s="20"/>
        <tr r="I393" s="20"/>
        <tr r="F319" s="20"/>
        <tr r="E257" s="20"/>
        <tr r="L131" s="20"/>
        <tr r="C114" s="20"/>
        <tr r="L32" s="20"/>
        <tr r="I16" s="20"/>
        <tr r="I396" s="20"/>
        <tr r="E365" s="20"/>
        <tr r="L391" s="20"/>
        <tr r="I451" s="20"/>
        <tr r="F422" s="20"/>
        <tr r="F357" s="20"/>
        <tr r="F447" s="20"/>
        <tr r="G342" s="20"/>
        <tr r="G73" s="20"/>
        <tr r="C62" s="20"/>
        <tr r="C19" s="20"/>
        <tr r="F429" s="20"/>
        <tr r="C325" s="20"/>
        <tr r="E235" s="20"/>
        <tr r="F227" s="20"/>
        <tr r="G213" s="20"/>
        <tr r="G160" s="20"/>
        <tr r="I150" s="20"/>
        <tr r="C139" s="20"/>
        <tr r="E139" s="20"/>
        <tr r="I128" s="20"/>
        <tr r="C112" s="20"/>
        <tr r="G84" s="20"/>
        <tr r="C40" s="20"/>
        <tr r="G426" s="20"/>
        <tr r="I400" s="20"/>
        <tr r="C206" s="20"/>
        <tr r="F187" s="20"/>
        <tr r="G169" s="20"/>
        <tr r="I72" s="20"/>
        <tr r="C61" s="20"/>
        <tr r="G46" s="20"/>
        <tr r="F35" s="20"/>
        <tr r="C18" s="20"/>
        <tr r="C320" s="20"/>
        <tr r="I291" s="20"/>
        <tr r="G277" s="20"/>
        <tr r="E268" s="20"/>
        <tr r="G158" s="20"/>
        <tr r="F110" s="20"/>
        <tr r="E283" s="20"/>
        <tr r="G224" s="20"/>
        <tr r="I97" s="20"/>
        <tr r="G68" s="20"/>
        <tr r="G24" s="20"/>
        <tr r="E448" s="20"/>
        <tr r="F414" s="20"/>
        <tr r="E24" s="20"/>
        <tr r="G16" s="20"/>
        <tr r="C16" s="20"/>
        <tr r="I8" s="20"/>
        <tr r="F443" s="20"/>
        <tr r="C386" s="20"/>
        <tr r="G451" s="20"/>
        <tr r="C441" s="20"/>
        <tr r="G395" s="20"/>
        <tr r="G399" s="20"/>
        <tr r="F437" s="20"/>
        <tr r="F391" s="20"/>
        <tr r="C396" s="20"/>
        <tr r="I27" s="20"/>
        <tr r="F258" s="20"/>
        <tr r="F268" s="20"/>
        <tr r="I24" s="20"/>
        <tr r="E255" s="20"/>
        <tr r="F198" s="20"/>
        <tr r="I198" s="20"/>
        <tr r="E93" s="20"/>
        <tr r="I53" s="20"/>
        <tr r="C450" s="20"/>
        <tr r="F302" s="20"/>
        <tr r="I283" s="20"/>
        <tr r="C257" s="20"/>
        <tr r="E114" s="20"/>
        <tr r="I79" s="20"/>
        <tr r="F16" s="20"/>
        <tr r="I440" s="20"/>
        <tr r="F335" s="20"/>
        <tr r="I390" s="20"/>
        <tr r="I385" s="20"/>
        <tr r="I441" s="20"/>
        <tr r="I447" s="20"/>
        <tr r="C421" s="20"/>
        <tr r="I26" s="20"/>
        <tr r="F291" s="20"/>
        <tr r="C385" s="20"/>
        <tr r="F345" s="20"/>
        <tr r="C170" s="20"/>
        <tr r="F81" s="20"/>
        <tr r="F97" s="20"/>
        <tr r="C97" s="20"/>
        <tr r="C8" s="20"/>
        <tr r="B327" s="20"/>
        <tr r="B243" s="20"/>
        <tr r="B155" s="20"/>
        <tr r="B63" s="20"/>
        <tr r="B241" s="20"/>
        <tr r="B338" s="20"/>
        <tr r="B435" s="20"/>
        <tr r="B290" s="20"/>
        <tr r="B193" s="20"/>
        <tr r="B17" s="20"/>
        <tr r="B361" s="20"/>
        <tr r="B28" s="20"/>
        <tr r="B96" s="20"/>
        <tr r="B336" s="20"/>
        <tr r="B10" s="20"/>
        <tr r="B278" s="20"/>
        <tr r="B20" s="20"/>
        <tr r="B444" s="20"/>
        <tr r="B410" s="20"/>
        <tr r="B318" s="20"/>
        <tr r="B75" s="20"/>
        <tr r="B130" s="20"/>
        <tr r="B233" s="20"/>
        <tr r="B329" s="20"/>
        <tr r="B322" s="20"/>
        <tr r="B65" s="20"/>
        <tr r="B49" s="20"/>
        <tr r="B445" s="20"/>
        <tr r="B167" s="20"/>
        <tr r="B36" s="20"/>
        <tr r="B347" s="20"/>
        <tr r="B15" s="20"/>
        <tr r="B371" s="20"/>
        <tr r="B295" s="20"/>
        <tr r="B168" s="20"/>
        <tr r="B43" s="20"/>
        <tr r="B351" s="20"/>
        <tr r="B59" s="20"/>
        <tr r="I4" s="20"/>
        <tr r="B34" s="20"/>
        <tr r="B407" s="20"/>
        <tr r="B388" s="20"/>
        <tr r="B305" s="20"/>
        <tr r="B138" s="20"/>
        <tr r="B348" s="20"/>
        <tr r="B331" s="20"/>
        <tr r="B303" s="20"/>
        <tr r="B208" s="20"/>
        <tr r="B326" s="20"/>
        <tr r="B178" s="20"/>
        <tr r="B383" s="20"/>
        <tr r="B67" s="20"/>
        <tr r="B247" s="20"/>
        <tr r="B286" s="20"/>
        <tr r="B222" s="20"/>
        <tr r="B120" s="20"/>
        <tr r="B215" s="20"/>
        <tr r="B307" s="20"/>
        <tr r="B191" s="20"/>
        <tr r="B47" s="20"/>
        <tr r="B74" s="20"/>
        <tr r="B394" s="20"/>
        <tr r="B369" s="20"/>
        <tr r="B41" s="20"/>
        <tr r="B151" s="20"/>
        <tr r="B374" s="20"/>
        <tr r="B82" s="20"/>
        <tr r="B412" s="20"/>
        <tr r="B184" s="20"/>
        <tr r="J5" s="20"/>
        <tr r="B220" s="20"/>
        <tr r="B172" s="20"/>
        <tr r="B353" s="20"/>
        <tr r="B148" s="20"/>
        <tr r="B108" s="20"/>
        <tr r="B359" s="20"/>
        <tr r="B285" s="20"/>
        <tr r="B238" s="20"/>
        <tr r="B251" s="20"/>
        <tr r="B427" s="20"/>
        <tr r="B280" s="20"/>
        <tr r="B434" s="20"/>
        <tr r="B6" s="20"/>
        <tr r="B432" s="20"/>
        <tr r="B304" s="20"/>
        <tr r="B297" s="20"/>
        <tr r="B389" s="20"/>
        <tr r="B76" s="20"/>
        <tr r="B226" s="20"/>
        <tr r="H5" s="20"/>
        <tr r="B45" s="20"/>
        <tr r="B199" s="20"/>
        <tr r="B218" s="20"/>
        <tr r="B420" s="20"/>
        <tr r="B402" s="20"/>
        <tr r="B271" s="20"/>
        <tr r="B425" s="20"/>
        <tr r="B418" s="20"/>
        <tr r="B360" s="20"/>
        <tr r="K5" s="20"/>
        <tr r="B259" s="20"/>
        <tr r="B31" s="20"/>
        <tr r="B373" s="20"/>
        <tr r="B55" s="20"/>
        <tr r="B180" s="20"/>
        <tr r="B354" s="20"/>
        <tr r="B25" s="20"/>
        <tr r="B446" s="20"/>
        <tr r="B195" s="20"/>
        <tr r="B346" s="20"/>
        <tr r="B171" s="20"/>
        <tr r="B98" s="20"/>
        <tr r="B333" s="20"/>
        <tr r="B202" s="20"/>
        <tr r="B356" s="20"/>
        <tr r="D5" s="20"/>
        <tr r="B200" s="20"/>
        <tr r="B265" s="20"/>
        <tr r="B417" s="20"/>
        <tr r="B147" s="20"/>
        <tr r="B162" s="20"/>
        <tr r="B236" s="20"/>
        <tr r="B209" s="20"/>
        <tr r="B449" s="20"/>
        <tr r="B188" s="20"/>
        <tr r="B118" s="20"/>
        <tr r="B403" s="20"/>
        <tr r="B137" s="20"/>
        <tr r="B57" s="20"/>
        <tr r="B315" s="20"/>
        <tr r="B181" s="20"/>
        <tr r="B365" s="20"/>
        <tr r="B311" s="20"/>
        <tr r="B192" s="20"/>
        <tr r="L5" s="20"/>
        <tr r="B344" s="20"/>
        <tr r="B229" s="20"/>
        <tr r="B340" s="20"/>
        <tr r="B51" s="20"/>
        <tr r="B205" s="20"/>
        <tr r="B9" s="20"/>
        <tr r="B219" s="20"/>
        <tr r="B52" s="20"/>
        <tr r="B430" s="20"/>
        <tr r="B228" s="20"/>
        <tr r="B189" s="20"/>
        <tr r="B384" s="20"/>
        <tr r="B174" s="20"/>
        <tr r="B101" s="20"/>
        <tr r="B342" s="20"/>
        <tr r="B126" s="20"/>
        <tr r="B44" s="20"/>
        <tr r="B32" s="20"/>
        <tr r="B273" s="20"/>
        <tr r="B332" s="20"/>
        <tr r="B37" s="20"/>
        <tr r="B153" s="20"/>
        <tr r="B343" s="20"/>
        <tr r="B254" s="20"/>
        <tr r="B83" s="20"/>
        <tr r="B207" s="20"/>
        <tr r="B159" s="20"/>
        <tr r="B69" s="20"/>
        <tr r="B409" s="20"/>
        <tr r="B406" s="20"/>
        <tr r="B140" s="20"/>
        <tr r="B62" s="20"/>
        <tr r="B366" s="20"/>
        <tr r="B84" s="20"/>
        <tr r="B18" s="20"/>
        <tr r="B320" s="20"/>
        <tr r="B393" s="20"/>
        <tr r="B350" s="20"/>
        <tr r="B398" s="20"/>
        <tr r="B250" s="20"/>
        <tr r="B92" s="20"/>
        <tr r="B125" s="20"/>
        <tr r="B448" s="20"/>
        <tr r="B314" s="20"/>
        <tr r="B154" s="20"/>
        <tr r="B267" s="20"/>
        <tr r="B431" s="20"/>
        <tr r="B288" s="20"/>
        <tr r="B134" s="20"/>
        <tr r="B203" s="20"/>
        <tr r="B428" s="20"/>
        <tr r="B284" s="20"/>
        <tr r="B133" s="20"/>
        <tr r="B201" s="20"/>
        <tr r="B341" s="20"/>
        <tr r="B186" s="20"/>
        <tr r="B339" s="20"/>
        <tr r="B30" s="20"/>
        <tr r="G5" s="20"/>
        <tr r="B321" s="20"/>
        <tr r="B164" s="20"/>
        <tr r="B292" s="20"/>
        <tr r="B12" s="20"/>
        <tr r="B438" s="20"/>
        <tr r="B299" s="20"/>
        <tr r="B143" s="20"/>
        <tr r="B225" s="20"/>
        <tr r="C4" s="20"/>
        <tr r="B337" s="20"/>
        <tr r="B177" s="20"/>
        <tr r="B316" s="20"/>
        <tr r="B23" s="20"/>
        <tr r="B378" s="20"/>
        <tr r="B179" s="20"/>
        <tr r="B38" s="20"/>
        <tr r="B396" s="20"/>
        <tr r="B310" s="20"/>
        <tr r="B214" s="20"/>
        <tr r="B115" s="20"/>
        <tr r="B324" s="20"/>
        <tr r="B146" s="20"/>
        <tr r="B27" s="20"/>
        <tr r="B439" s="20"/>
        <tr r="B357" s="20"/>
        <tr r="B258" s="20"/>
        <tr r="B160" s="20"/>
        <tr r="B40" s="20"/>
        <tr r="B237" s="20"/>
        <tr r="B72" s="20"/>
        <tr r="B391" s="20"/>
        <tr r="B306" s="20"/>
        <tr r="B211" s="20"/>
        <tr r="B110" s="20"/>
        <tr r="B319" s="20"/>
        <tr r="B131" s="20"/>
        <tr r="B24" s="20"/>
        <tr r="B380" s="20"/>
        <tr r="B234" s="20"/>
        <tr r="B64" s="20"/>
        <tr r="B95" s="20"/>
        <tr r="B433" s="20"/>
        <tr r="B289" s="20"/>
        <tr r="B135" s="20"/>
        <tr r="B216" s="20"/>
        <tr r="B415" s="20"/>
        <tr r="B264" s="20"/>
        <tr r="B111" s="20"/>
        <tr r="B166" s="20"/>
        <tr r="B414" s="20"/>
        <tr r="B263" s="20"/>
        <tr r="B109" s="20"/>
        <tr r="B161" s="20"/>
        <tr r="E5" s="20"/>
        <tr r="B328" s="20"/>
        <tr r="B165" s="20"/>
        <tr r="B296" s="20"/>
        <tr r="B14" s="20"/>
        <tr r="B441" s="20"/>
        <tr r="B300" s="20"/>
        <tr r="B144" s="20"/>
        <tr r="B246" s="20"/>
        <tr r="B422" s="20"/>
        <tr r="B275" s="20"/>
        <tr r="B124" s="20"/>
        <tr r="B185" s="20"/>
        <tr r="I5" s="20"/>
        <tr r="B317" s="20"/>
        <tr r="B156" s="20"/>
        <tr r="B281" s="20"/>
        <tr r="B7" s="20"/>
        <tr r="B330" s="20"/>
        <tr r="B152" s="20"/>
        <tr r="B29" s="20"/>
        <tr r="B385" s="20"/>
        <tr r="B298" s="20"/>
        <tr r="B204" s="20"/>
        <tr r="B100" s="20"/>
        <tr r="B309" s="20"/>
        <tr r="B119" s="20"/>
        <tr r="B19" s="20"/>
        <tr r="B429" s="20"/>
        <tr r="B345" s="20"/>
        <tr r="B245" s="20"/>
        <tr r="B150" s="20"/>
        <tr r="B426" s="20"/>
        <tr r="B206" s="20"/>
        <tr r="B61" s="20"/>
        <tr r="E4" s="20"/>
        <tr r="B381" s="20"/>
        <tr r="B291" s="20"/>
        <tr r="B198" s="20"/>
        <tr r="B93" s="20"/>
        <tr r="B302" s="20"/>
        <tr r="B114" s="20"/>
        <tr r="B16" s="20"/>
        <tr r="B368" s="20"/>
        <tr r="B217" s="20"/>
        <tr r="B442" s="20"/>
        <tr r="B66" s="20"/>
        <tr r="B416" s="20"/>
        <tr r="B269" s="20"/>
        <tr r="B116" s="20"/>
        <tr r="B173" s="20"/>
        <tr r="B392" s="20"/>
        <tr r="B248" s="20"/>
        <tr r="B89" s="20"/>
        <tr r="B117" s="20"/>
        <tr r="B390" s="20"/>
        <tr r="B244" s="20"/>
        <tr r="B88" s="20"/>
        <tr r="B113" s="20"/>
        <tr r="B443" s="20"/>
        <tr r="B301" s="20"/>
        <tr r="B145" s="20"/>
        <tr r="B252" s="20"/>
        <tr r="B423" s="20"/>
        <tr r="B276" s="20"/>
        <tr r="B127" s="20"/>
        <tr r="B194" s="20"/>
        <tr r="B401" s="20"/>
        <tr r="B256" s="20"/>
        <tr r="B102" s="20"/>
        <tr r="B136" s="20"/>
        <tr r="B436" s="20"/>
        <tr r="B293" s="20"/>
        <tr r="B142" s="20"/>
        <tr r="B223" s="20"/>
        <tr r="B312" s="20"/>
        <tr r="B123" s="20"/>
        <tr r="B21" s="20"/>
        <tr r="C5" s="20"/>
        <tr r="B375" s="20"/>
        <tr r="B282" s="20"/>
        <tr r="B190" s="20"/>
        <tr r="B85" s="20"/>
        <tr r="B287" s="20"/>
        <tr r="B103" s="20"/>
        <tr r="B11" s="20"/>
        <tr r="B419" s="20"/>
        <tr r="B335" s="20"/>
        <tr r="B235" s="20"/>
        <tr r="B139" s="20"/>
        <tr r="B400" s="20"/>
        <tr r="B187" s="20"/>
        <tr r="B46" s="20"/>
        <tr r="F5" s="20"/>
        <tr r="B372" s="20"/>
        <tr r="B277" s="20"/>
        <tr r="B182" s="20"/>
        <tr r="B81" s="20"/>
        <tr r="B283" s="20"/>
        <tr r="B97" s="20"/>
        <tr r="B8" s="20"/>
        <tr r="B349" s="20"/>
        <tr r="B196" s="20"/>
        <tr r="B382" s="20"/>
        <tr r="B39" s="20"/>
        <tr r="B397" s="20"/>
        <tr r="B249" s="20"/>
        <tr r="B90" s="20"/>
        <tr r="B121" s="20"/>
        <tr r="B377" s="20"/>
        <tr r="B231" s="20"/>
        <tr r="B50" s="20"/>
        <tr r="B80" s="20"/>
        <tr r="B376" s="20"/>
        <tr r="B230" s="20"/>
        <tr r="B48" s="20"/>
        <tr r="B78" s="20"/>
        <tr r="B424" s="20"/>
        <tr r="B279" s="20"/>
        <tr r="B132" s="20"/>
        <tr r="B197" s="20"/>
        <tr r="B404" s="20"/>
        <tr r="B261" s="20"/>
        <tr r="B106" s="20"/>
        <tr r="B149" s="20"/>
        <tr r="B386" s="20"/>
        <tr r="B239" s="20"/>
        <tr r="B71" s="20"/>
        <tr r="B99" s="20"/>
        <tr r="B421" s="20"/>
        <tr r="B274" s="20"/>
        <tr r="B122" s="20"/>
        <tr r="B183" s="20"/>
        <tr r="B294" s="20"/>
        <tr r="B105" s="20"/>
        <tr r="B13" s="20"/>
        <tr r="B451" s="20"/>
        <tr r="B367" s="20"/>
        <tr r="B272" s="20"/>
        <tr r="B175" s="20"/>
        <tr r="B60" s="20"/>
        <tr r="B266" s="20"/>
        <tr r="B86" s="20"/>
        <tr r="B405" s="20"/>
        <tr r="B325" s="20"/>
        <tr r="B227" s="20"/>
        <tr r="B128" s="20"/>
        <tr r="B355" s="20"/>
        <tr r="B169" s="20"/>
        <tr r="B35" s="20"/>
        <tr r="B447" s="20"/>
        <tr r="B364" s="20"/>
        <tr r="B268" s="20"/>
        <tr r="B170" s="20"/>
        <tr r="B53" s="20"/>
        <tr r="B257" s="20"/>
        <tr r="B79" s="20"/>
        <tr r="G4" s="20"/>
        <tr r="B334" s="20"/>
        <tr r="B176" s="20"/>
        <tr r="B313" s="20"/>
        <tr r="B22" s="20"/>
        <tr r="B379" s="20"/>
        <tr r="B232" s="20"/>
        <tr r="B54" s="20"/>
        <tr r="B87" s="20"/>
        <tr r="B363" s="20"/>
        <tr r="B212" s="20"/>
        <tr r="B413" s="20"/>
        <tr r="B58" s="20"/>
        <tr r="B362" s="20"/>
        <tr r="B210" s="20"/>
        <tr r="B411" s="20"/>
        <tr r="B56" s="20"/>
        <tr r="B408" s="20"/>
        <tr r="B262" s="20"/>
        <tr r="B107" s="20"/>
        <tr r="B157" s="20"/>
        <tr r="B387" s="20"/>
        <tr r="B240" s="20"/>
        <tr r="B77" s="20"/>
        <tr r="B104" s="20"/>
        <tr r="B370" s="20"/>
        <tr r="B221" s="20"/>
        <tr r="B33" s="20"/>
        <tr r="B70" s="20"/>
        <tr r="B399" s="20"/>
        <tr r="B253" s="20"/>
        <tr r="B94" s="20"/>
        <tr r="B129" s="20"/>
        <tr r="B270" s="20"/>
        <tr r="B91" s="20"/>
        <tr r="B440" s="20"/>
        <tr r="B358" s="20"/>
        <tr r="B260" s="20"/>
        <tr r="B163" s="20"/>
        <tr r="B42" s="20"/>
        <tr r="B242" s="20"/>
        <tr r="B73" s="20"/>
        <tr r="B395" s="20"/>
        <tr r="B308" s="20"/>
        <tr r="B213" s="20"/>
        <tr r="B112" s="20"/>
        <tr r="B323" s="20"/>
        <tr r="B141" s="20"/>
        <tr r="B26" s="20"/>
        <tr r="B437" s="20"/>
        <tr r="B352" s="20"/>
        <tr r="B255" s="20"/>
        <tr r="B158" s="20"/>
        <tr r="B450" s="20"/>
        <tr r="B224" s="20"/>
        <tr r="B68" s="20"/>
      </tp>
    </main>
  </volType>
</volTypes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theme" Target="theme/theme1.xml"/><Relationship Id="rId18" Type="http://schemas.openxmlformats.org/officeDocument/2006/relationships/powerPivotData" Target="model/item.data"/><Relationship Id="rId26" Type="http://schemas.openxmlformats.org/officeDocument/2006/relationships/customXml" Target="../customXml/item7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2.xml"/><Relationship Id="rId34" Type="http://schemas.openxmlformats.org/officeDocument/2006/relationships/customXml" Target="../customXml/item15.xml"/><Relationship Id="rId7" Type="http://schemas.openxmlformats.org/officeDocument/2006/relationships/pivotCacheDefinition" Target="pivotCache/pivotCacheDefinition3.xml"/><Relationship Id="rId12" Type="http://schemas.openxmlformats.org/officeDocument/2006/relationships/pivotTable" Target="pivotTables/pivotTable1.xml"/><Relationship Id="rId17" Type="http://schemas.openxmlformats.org/officeDocument/2006/relationships/sheetMetadata" Target="metadata.xml"/><Relationship Id="rId25" Type="http://schemas.openxmlformats.org/officeDocument/2006/relationships/customXml" Target="../customXml/item6.xml"/><Relationship Id="rId33" Type="http://schemas.openxmlformats.org/officeDocument/2006/relationships/customXml" Target="../customXml/item14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1.xml"/><Relationship Id="rId29" Type="http://schemas.openxmlformats.org/officeDocument/2006/relationships/customXml" Target="../customXml/item10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pivotCacheDefinition" Target="pivotCache/pivotCacheDefinition7.xml"/><Relationship Id="rId24" Type="http://schemas.openxmlformats.org/officeDocument/2006/relationships/customXml" Target="../customXml/item5.xml"/><Relationship Id="rId32" Type="http://schemas.openxmlformats.org/officeDocument/2006/relationships/customXml" Target="../customXml/item13.xml"/><Relationship Id="rId5" Type="http://schemas.openxmlformats.org/officeDocument/2006/relationships/pivotCacheDefinition" Target="pivotCache/pivotCacheDefinition1.xml"/><Relationship Id="rId15" Type="http://schemas.openxmlformats.org/officeDocument/2006/relationships/styles" Target="styles.xml"/><Relationship Id="rId23" Type="http://schemas.openxmlformats.org/officeDocument/2006/relationships/customXml" Target="../customXml/item4.xml"/><Relationship Id="rId28" Type="http://schemas.openxmlformats.org/officeDocument/2006/relationships/customXml" Target="../customXml/item9.xml"/><Relationship Id="rId36" Type="http://schemas.openxmlformats.org/officeDocument/2006/relationships/volatileDependencies" Target="volatileDependencies.xml"/><Relationship Id="rId10" Type="http://schemas.openxmlformats.org/officeDocument/2006/relationships/pivotCacheDefinition" Target="pivotCache/pivotCacheDefinition6.xml"/><Relationship Id="rId19" Type="http://schemas.openxmlformats.org/officeDocument/2006/relationships/calcChain" Target="calcChain.xml"/><Relationship Id="rId31" Type="http://schemas.openxmlformats.org/officeDocument/2006/relationships/customXml" Target="../customXml/item1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5.xml"/><Relationship Id="rId14" Type="http://schemas.openxmlformats.org/officeDocument/2006/relationships/connections" Target="connections.xml"/><Relationship Id="rId22" Type="http://schemas.openxmlformats.org/officeDocument/2006/relationships/customXml" Target="../customXml/item3.xml"/><Relationship Id="rId27" Type="http://schemas.openxmlformats.org/officeDocument/2006/relationships/customXml" Target="../customXml/item8.xml"/><Relationship Id="rId30" Type="http://schemas.openxmlformats.org/officeDocument/2006/relationships/customXml" Target="../customXml/item11.xml"/><Relationship Id="rId35" Type="http://schemas.openxmlformats.org/officeDocument/2006/relationships/customXml" Target="../customXml/item16.xml"/><Relationship Id="rId8" Type="http://schemas.openxmlformats.org/officeDocument/2006/relationships/pivotCacheDefinition" Target="pivotCache/pivotCacheDefinition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canceled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93"/>
              <c:pt idx="0">
                <c:v>May
2009</c:v>
              </c:pt>
              <c:pt idx="1">
                <c:v>Jul
2009</c:v>
              </c:pt>
              <c:pt idx="2">
                <c:v>Aug
2009</c:v>
              </c:pt>
              <c:pt idx="3">
                <c:v>Sep
2009</c:v>
              </c:pt>
              <c:pt idx="4">
                <c:v>Oct
2009</c:v>
              </c:pt>
              <c:pt idx="5">
                <c:v>Nov
2009</c:v>
              </c:pt>
              <c:pt idx="6">
                <c:v>Jan
2010</c:v>
              </c:pt>
              <c:pt idx="7">
                <c:v>Feb
2010</c:v>
              </c:pt>
              <c:pt idx="8">
                <c:v>Mar
2010</c:v>
              </c:pt>
              <c:pt idx="9">
                <c:v>Apr
2010</c:v>
              </c:pt>
              <c:pt idx="10">
                <c:v>May
2010</c:v>
              </c:pt>
              <c:pt idx="11">
                <c:v>Jun
2010</c:v>
              </c:pt>
              <c:pt idx="12">
                <c:v>Jul
2010</c:v>
              </c:pt>
              <c:pt idx="13">
                <c:v>Aug
2010</c:v>
              </c:pt>
              <c:pt idx="14">
                <c:v>Sep
2010</c:v>
              </c:pt>
              <c:pt idx="15">
                <c:v>Oct
2010</c:v>
              </c:pt>
              <c:pt idx="16">
                <c:v>Nov
2010</c:v>
              </c:pt>
              <c:pt idx="17">
                <c:v>Dec
2010</c:v>
              </c:pt>
              <c:pt idx="18">
                <c:v>Jan
2011</c:v>
              </c:pt>
              <c:pt idx="19">
                <c:v>Feb
2011</c:v>
              </c:pt>
              <c:pt idx="20">
                <c:v>Mar
2011</c:v>
              </c:pt>
              <c:pt idx="21">
                <c:v>Apr
2011</c:v>
              </c:pt>
              <c:pt idx="22">
                <c:v>May
2011</c:v>
              </c:pt>
              <c:pt idx="23">
                <c:v>Jun
2011</c:v>
              </c:pt>
              <c:pt idx="24">
                <c:v>Jul
2011</c:v>
              </c:pt>
              <c:pt idx="25">
                <c:v>Aug
2011</c:v>
              </c:pt>
              <c:pt idx="26">
                <c:v>Sep
2011</c:v>
              </c:pt>
              <c:pt idx="27">
                <c:v>Oct
2011</c:v>
              </c:pt>
              <c:pt idx="28">
                <c:v>Nov
2011</c:v>
              </c:pt>
              <c:pt idx="29">
                <c:v>Dec
2011</c:v>
              </c:pt>
              <c:pt idx="30">
                <c:v>Jan
2012</c:v>
              </c:pt>
              <c:pt idx="31">
                <c:v>Feb
2012</c:v>
              </c:pt>
              <c:pt idx="32">
                <c:v>Mar
2012</c:v>
              </c:pt>
              <c:pt idx="33">
                <c:v>Apr
2012</c:v>
              </c:pt>
              <c:pt idx="34">
                <c:v>May
2012</c:v>
              </c:pt>
              <c:pt idx="35">
                <c:v>Jun
2012</c:v>
              </c:pt>
              <c:pt idx="36">
                <c:v>Jul
2012</c:v>
              </c:pt>
              <c:pt idx="37">
                <c:v>Aug
2012</c:v>
              </c:pt>
              <c:pt idx="38">
                <c:v>Sep
2012</c:v>
              </c:pt>
              <c:pt idx="39">
                <c:v>Oct
2012</c:v>
              </c:pt>
              <c:pt idx="40">
                <c:v>Nov
2012</c:v>
              </c:pt>
              <c:pt idx="41">
                <c:v>Dec
2012</c:v>
              </c:pt>
              <c:pt idx="42">
                <c:v>Jan
2013</c:v>
              </c:pt>
              <c:pt idx="43">
                <c:v>Feb
2013</c:v>
              </c:pt>
              <c:pt idx="44">
                <c:v>Mar
2013</c:v>
              </c:pt>
              <c:pt idx="45">
                <c:v>Apr
2013</c:v>
              </c:pt>
              <c:pt idx="46">
                <c:v>May
2013</c:v>
              </c:pt>
              <c:pt idx="47">
                <c:v>Jun
2013</c:v>
              </c:pt>
              <c:pt idx="48">
                <c:v>Jul
2013</c:v>
              </c:pt>
              <c:pt idx="49">
                <c:v>Aug
2013</c:v>
              </c:pt>
              <c:pt idx="50">
                <c:v>Sep
2013</c:v>
              </c:pt>
              <c:pt idx="51">
                <c:v>Oct
2013</c:v>
              </c:pt>
              <c:pt idx="52">
                <c:v>Nov
2013</c:v>
              </c:pt>
              <c:pt idx="53">
                <c:v>Dec
2013</c:v>
              </c:pt>
              <c:pt idx="54">
                <c:v>Jan
2014</c:v>
              </c:pt>
              <c:pt idx="55">
                <c:v>Feb
2014</c:v>
              </c:pt>
              <c:pt idx="56">
                <c:v>Mar
2014</c:v>
              </c:pt>
              <c:pt idx="57">
                <c:v>Apr
2014</c:v>
              </c:pt>
              <c:pt idx="58">
                <c:v>May
2014</c:v>
              </c:pt>
              <c:pt idx="59">
                <c:v>Jun
2014</c:v>
              </c:pt>
              <c:pt idx="60">
                <c:v>Jul
2014</c:v>
              </c:pt>
              <c:pt idx="61">
                <c:v>Aug
2014</c:v>
              </c:pt>
              <c:pt idx="62">
                <c:v>Sep
2014</c:v>
              </c:pt>
              <c:pt idx="63">
                <c:v>Oct
2014</c:v>
              </c:pt>
              <c:pt idx="64">
                <c:v>Nov
2014</c:v>
              </c:pt>
              <c:pt idx="65">
                <c:v>Dec
2014</c:v>
              </c:pt>
              <c:pt idx="66">
                <c:v>Jan
2015</c:v>
              </c:pt>
              <c:pt idx="67">
                <c:v>Feb
2015</c:v>
              </c:pt>
              <c:pt idx="68">
                <c:v>Mar
2015</c:v>
              </c:pt>
              <c:pt idx="69">
                <c:v>Apr
2015</c:v>
              </c:pt>
              <c:pt idx="70">
                <c:v>May
2015</c:v>
              </c:pt>
              <c:pt idx="71">
                <c:v>Jun
2015</c:v>
              </c:pt>
              <c:pt idx="72">
                <c:v>Jul
2015</c:v>
              </c:pt>
              <c:pt idx="73">
                <c:v>Aug
2015</c:v>
              </c:pt>
              <c:pt idx="74">
                <c:v>Sep
2015</c:v>
              </c:pt>
              <c:pt idx="75">
                <c:v>Oct
2015</c:v>
              </c:pt>
              <c:pt idx="76">
                <c:v>Nov
2015</c:v>
              </c:pt>
              <c:pt idx="77">
                <c:v>Dec
2015</c:v>
              </c:pt>
              <c:pt idx="78">
                <c:v>Jan
2016</c:v>
              </c:pt>
              <c:pt idx="79">
                <c:v>Feb
2016</c:v>
              </c:pt>
              <c:pt idx="80">
                <c:v>Mar
2016</c:v>
              </c:pt>
              <c:pt idx="81">
                <c:v>Apr
2016</c:v>
              </c:pt>
              <c:pt idx="82">
                <c:v>May
2016</c:v>
              </c:pt>
              <c:pt idx="83">
                <c:v>Jun
2016</c:v>
              </c:pt>
              <c:pt idx="84">
                <c:v>Jul
2016</c:v>
              </c:pt>
              <c:pt idx="85">
                <c:v>Aug
2016</c:v>
              </c:pt>
              <c:pt idx="86">
                <c:v>Sep
2016</c:v>
              </c:pt>
              <c:pt idx="87">
                <c:v>Oct
2016</c:v>
              </c:pt>
              <c:pt idx="88">
                <c:v>Nov
2016</c:v>
              </c:pt>
              <c:pt idx="89">
                <c:v>Dec
2016</c:v>
              </c:pt>
              <c:pt idx="90">
                <c:v>Jan
2017</c:v>
              </c:pt>
              <c:pt idx="91">
                <c:v>Feb
2017</c:v>
              </c:pt>
              <c:pt idx="92">
                <c:v>Mar
2017</c:v>
              </c:pt>
            </c:strLit>
          </c:cat>
          <c:val>
            <c:numLit>
              <c:formatCode>General</c:formatCode>
              <c:ptCount val="93"/>
              <c:pt idx="3">
                <c:v>1</c:v>
              </c:pt>
              <c:pt idx="13">
                <c:v>1</c:v>
              </c:pt>
              <c:pt idx="18">
                <c:v>1</c:v>
              </c:pt>
              <c:pt idx="22">
                <c:v>2</c:v>
              </c:pt>
              <c:pt idx="24">
                <c:v>2</c:v>
              </c:pt>
              <c:pt idx="25">
                <c:v>1</c:v>
              </c:pt>
              <c:pt idx="29">
                <c:v>1</c:v>
              </c:pt>
              <c:pt idx="30">
                <c:v>1</c:v>
              </c:pt>
              <c:pt idx="32">
                <c:v>2</c:v>
              </c:pt>
              <c:pt idx="34">
                <c:v>1</c:v>
              </c:pt>
              <c:pt idx="36">
                <c:v>1</c:v>
              </c:pt>
              <c:pt idx="37">
                <c:v>1</c:v>
              </c:pt>
              <c:pt idx="45">
                <c:v>1</c:v>
              </c:pt>
              <c:pt idx="46">
                <c:v>1</c:v>
              </c:pt>
              <c:pt idx="48">
                <c:v>1</c:v>
              </c:pt>
              <c:pt idx="49">
                <c:v>2</c:v>
              </c:pt>
              <c:pt idx="51">
                <c:v>1</c:v>
              </c:pt>
              <c:pt idx="52">
                <c:v>1</c:v>
              </c:pt>
              <c:pt idx="54">
                <c:v>1</c:v>
              </c:pt>
              <c:pt idx="55">
                <c:v>1</c:v>
              </c:pt>
              <c:pt idx="56">
                <c:v>1</c:v>
              </c:pt>
              <c:pt idx="57">
                <c:v>1</c:v>
              </c:pt>
              <c:pt idx="58">
                <c:v>3</c:v>
              </c:pt>
              <c:pt idx="59">
                <c:v>8</c:v>
              </c:pt>
              <c:pt idx="60">
                <c:v>18</c:v>
              </c:pt>
              <c:pt idx="61">
                <c:v>7</c:v>
              </c:pt>
              <c:pt idx="62">
                <c:v>5</c:v>
              </c:pt>
              <c:pt idx="63">
                <c:v>10</c:v>
              </c:pt>
              <c:pt idx="64">
                <c:v>16</c:v>
              </c:pt>
              <c:pt idx="65">
                <c:v>9</c:v>
              </c:pt>
              <c:pt idx="66">
                <c:v>11</c:v>
              </c:pt>
              <c:pt idx="67">
                <c:v>10</c:v>
              </c:pt>
              <c:pt idx="68">
                <c:v>17</c:v>
              </c:pt>
              <c:pt idx="69">
                <c:v>17</c:v>
              </c:pt>
              <c:pt idx="70">
                <c:v>11</c:v>
              </c:pt>
              <c:pt idx="71">
                <c:v>7</c:v>
              </c:pt>
              <c:pt idx="72">
                <c:v>14</c:v>
              </c:pt>
              <c:pt idx="73">
                <c:v>10</c:v>
              </c:pt>
              <c:pt idx="74">
                <c:v>12</c:v>
              </c:pt>
              <c:pt idx="75">
                <c:v>7</c:v>
              </c:pt>
              <c:pt idx="76">
                <c:v>10</c:v>
              </c:pt>
              <c:pt idx="77">
                <c:v>5</c:v>
              </c:pt>
              <c:pt idx="78">
                <c:v>12</c:v>
              </c:pt>
              <c:pt idx="79">
                <c:v>8</c:v>
              </c:pt>
              <c:pt idx="80">
                <c:v>7</c:v>
              </c:pt>
              <c:pt idx="81">
                <c:v>8</c:v>
              </c:pt>
              <c:pt idx="82">
                <c:v>8</c:v>
              </c:pt>
              <c:pt idx="83">
                <c:v>12</c:v>
              </c:pt>
              <c:pt idx="84">
                <c:v>7</c:v>
              </c:pt>
              <c:pt idx="85">
                <c:v>11</c:v>
              </c:pt>
              <c:pt idx="86">
                <c:v>6</c:v>
              </c:pt>
              <c:pt idx="87">
                <c:v>2</c:v>
              </c:pt>
              <c:pt idx="88">
                <c:v>10</c:v>
              </c:pt>
              <c:pt idx="89">
                <c:v>8</c:v>
              </c:pt>
              <c:pt idx="90">
                <c:v>8</c:v>
              </c:pt>
              <c:pt idx="91">
                <c:v>8</c:v>
              </c:pt>
              <c:pt idx="92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1-A827-4CCF-8131-4E5E8A213068}"/>
            </c:ext>
          </c:extLst>
        </c:ser>
        <c:ser>
          <c:idx val="1"/>
          <c:order val="1"/>
          <c:tx>
            <c:v>failed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93"/>
              <c:pt idx="0">
                <c:v>May
2009</c:v>
              </c:pt>
              <c:pt idx="1">
                <c:v>Jul
2009</c:v>
              </c:pt>
              <c:pt idx="2">
                <c:v>Aug
2009</c:v>
              </c:pt>
              <c:pt idx="3">
                <c:v>Sep
2009</c:v>
              </c:pt>
              <c:pt idx="4">
                <c:v>Oct
2009</c:v>
              </c:pt>
              <c:pt idx="5">
                <c:v>Nov
2009</c:v>
              </c:pt>
              <c:pt idx="6">
                <c:v>Jan
2010</c:v>
              </c:pt>
              <c:pt idx="7">
                <c:v>Feb
2010</c:v>
              </c:pt>
              <c:pt idx="8">
                <c:v>Mar
2010</c:v>
              </c:pt>
              <c:pt idx="9">
                <c:v>Apr
2010</c:v>
              </c:pt>
              <c:pt idx="10">
                <c:v>May
2010</c:v>
              </c:pt>
              <c:pt idx="11">
                <c:v>Jun
2010</c:v>
              </c:pt>
              <c:pt idx="12">
                <c:v>Jul
2010</c:v>
              </c:pt>
              <c:pt idx="13">
                <c:v>Aug
2010</c:v>
              </c:pt>
              <c:pt idx="14">
                <c:v>Sep
2010</c:v>
              </c:pt>
              <c:pt idx="15">
                <c:v>Oct
2010</c:v>
              </c:pt>
              <c:pt idx="16">
                <c:v>Nov
2010</c:v>
              </c:pt>
              <c:pt idx="17">
                <c:v>Dec
2010</c:v>
              </c:pt>
              <c:pt idx="18">
                <c:v>Jan
2011</c:v>
              </c:pt>
              <c:pt idx="19">
                <c:v>Feb
2011</c:v>
              </c:pt>
              <c:pt idx="20">
                <c:v>Mar
2011</c:v>
              </c:pt>
              <c:pt idx="21">
                <c:v>Apr
2011</c:v>
              </c:pt>
              <c:pt idx="22">
                <c:v>May
2011</c:v>
              </c:pt>
              <c:pt idx="23">
                <c:v>Jun
2011</c:v>
              </c:pt>
              <c:pt idx="24">
                <c:v>Jul
2011</c:v>
              </c:pt>
              <c:pt idx="25">
                <c:v>Aug
2011</c:v>
              </c:pt>
              <c:pt idx="26">
                <c:v>Sep
2011</c:v>
              </c:pt>
              <c:pt idx="27">
                <c:v>Oct
2011</c:v>
              </c:pt>
              <c:pt idx="28">
                <c:v>Nov
2011</c:v>
              </c:pt>
              <c:pt idx="29">
                <c:v>Dec
2011</c:v>
              </c:pt>
              <c:pt idx="30">
                <c:v>Jan
2012</c:v>
              </c:pt>
              <c:pt idx="31">
                <c:v>Feb
2012</c:v>
              </c:pt>
              <c:pt idx="32">
                <c:v>Mar
2012</c:v>
              </c:pt>
              <c:pt idx="33">
                <c:v>Apr
2012</c:v>
              </c:pt>
              <c:pt idx="34">
                <c:v>May
2012</c:v>
              </c:pt>
              <c:pt idx="35">
                <c:v>Jun
2012</c:v>
              </c:pt>
              <c:pt idx="36">
                <c:v>Jul
2012</c:v>
              </c:pt>
              <c:pt idx="37">
                <c:v>Aug
2012</c:v>
              </c:pt>
              <c:pt idx="38">
                <c:v>Sep
2012</c:v>
              </c:pt>
              <c:pt idx="39">
                <c:v>Oct
2012</c:v>
              </c:pt>
              <c:pt idx="40">
                <c:v>Nov
2012</c:v>
              </c:pt>
              <c:pt idx="41">
                <c:v>Dec
2012</c:v>
              </c:pt>
              <c:pt idx="42">
                <c:v>Jan
2013</c:v>
              </c:pt>
              <c:pt idx="43">
                <c:v>Feb
2013</c:v>
              </c:pt>
              <c:pt idx="44">
                <c:v>Mar
2013</c:v>
              </c:pt>
              <c:pt idx="45">
                <c:v>Apr
2013</c:v>
              </c:pt>
              <c:pt idx="46">
                <c:v>May
2013</c:v>
              </c:pt>
              <c:pt idx="47">
                <c:v>Jun
2013</c:v>
              </c:pt>
              <c:pt idx="48">
                <c:v>Jul
2013</c:v>
              </c:pt>
              <c:pt idx="49">
                <c:v>Aug
2013</c:v>
              </c:pt>
              <c:pt idx="50">
                <c:v>Sep
2013</c:v>
              </c:pt>
              <c:pt idx="51">
                <c:v>Oct
2013</c:v>
              </c:pt>
              <c:pt idx="52">
                <c:v>Nov
2013</c:v>
              </c:pt>
              <c:pt idx="53">
                <c:v>Dec
2013</c:v>
              </c:pt>
              <c:pt idx="54">
                <c:v>Jan
2014</c:v>
              </c:pt>
              <c:pt idx="55">
                <c:v>Feb
2014</c:v>
              </c:pt>
              <c:pt idx="56">
                <c:v>Mar
2014</c:v>
              </c:pt>
              <c:pt idx="57">
                <c:v>Apr
2014</c:v>
              </c:pt>
              <c:pt idx="58">
                <c:v>May
2014</c:v>
              </c:pt>
              <c:pt idx="59">
                <c:v>Jun
2014</c:v>
              </c:pt>
              <c:pt idx="60">
                <c:v>Jul
2014</c:v>
              </c:pt>
              <c:pt idx="61">
                <c:v>Aug
2014</c:v>
              </c:pt>
              <c:pt idx="62">
                <c:v>Sep
2014</c:v>
              </c:pt>
              <c:pt idx="63">
                <c:v>Oct
2014</c:v>
              </c:pt>
              <c:pt idx="64">
                <c:v>Nov
2014</c:v>
              </c:pt>
              <c:pt idx="65">
                <c:v>Dec
2014</c:v>
              </c:pt>
              <c:pt idx="66">
                <c:v>Jan
2015</c:v>
              </c:pt>
              <c:pt idx="67">
                <c:v>Feb
2015</c:v>
              </c:pt>
              <c:pt idx="68">
                <c:v>Mar
2015</c:v>
              </c:pt>
              <c:pt idx="69">
                <c:v>Apr
2015</c:v>
              </c:pt>
              <c:pt idx="70">
                <c:v>May
2015</c:v>
              </c:pt>
              <c:pt idx="71">
                <c:v>Jun
2015</c:v>
              </c:pt>
              <c:pt idx="72">
                <c:v>Jul
2015</c:v>
              </c:pt>
              <c:pt idx="73">
                <c:v>Aug
2015</c:v>
              </c:pt>
              <c:pt idx="74">
                <c:v>Sep
2015</c:v>
              </c:pt>
              <c:pt idx="75">
                <c:v>Oct
2015</c:v>
              </c:pt>
              <c:pt idx="76">
                <c:v>Nov
2015</c:v>
              </c:pt>
              <c:pt idx="77">
                <c:v>Dec
2015</c:v>
              </c:pt>
              <c:pt idx="78">
                <c:v>Jan
2016</c:v>
              </c:pt>
              <c:pt idx="79">
                <c:v>Feb
2016</c:v>
              </c:pt>
              <c:pt idx="80">
                <c:v>Mar
2016</c:v>
              </c:pt>
              <c:pt idx="81">
                <c:v>Apr
2016</c:v>
              </c:pt>
              <c:pt idx="82">
                <c:v>May
2016</c:v>
              </c:pt>
              <c:pt idx="83">
                <c:v>Jun
2016</c:v>
              </c:pt>
              <c:pt idx="84">
                <c:v>Jul
2016</c:v>
              </c:pt>
              <c:pt idx="85">
                <c:v>Aug
2016</c:v>
              </c:pt>
              <c:pt idx="86">
                <c:v>Sep
2016</c:v>
              </c:pt>
              <c:pt idx="87">
                <c:v>Oct
2016</c:v>
              </c:pt>
              <c:pt idx="88">
                <c:v>Nov
2016</c:v>
              </c:pt>
              <c:pt idx="89">
                <c:v>Dec
2016</c:v>
              </c:pt>
              <c:pt idx="90">
                <c:v>Jan
2017</c:v>
              </c:pt>
              <c:pt idx="91">
                <c:v>Feb
2017</c:v>
              </c:pt>
              <c:pt idx="92">
                <c:v>Mar
2017</c:v>
              </c:pt>
            </c:strLit>
          </c:cat>
          <c:val>
            <c:numLit>
              <c:formatCode>General</c:formatCode>
              <c:ptCount val="93"/>
              <c:pt idx="2">
                <c:v>1</c:v>
              </c:pt>
              <c:pt idx="3">
                <c:v>2</c:v>
              </c:pt>
              <c:pt idx="4">
                <c:v>1</c:v>
              </c:pt>
              <c:pt idx="6">
                <c:v>1</c:v>
              </c:pt>
              <c:pt idx="8">
                <c:v>1</c:v>
              </c:pt>
              <c:pt idx="9">
                <c:v>1</c:v>
              </c:pt>
              <c:pt idx="10">
                <c:v>2</c:v>
              </c:pt>
              <c:pt idx="11">
                <c:v>4</c:v>
              </c:pt>
              <c:pt idx="14">
                <c:v>3</c:v>
              </c:pt>
              <c:pt idx="15">
                <c:v>1</c:v>
              </c:pt>
              <c:pt idx="16">
                <c:v>2</c:v>
              </c:pt>
              <c:pt idx="18">
                <c:v>1</c:v>
              </c:pt>
              <c:pt idx="20">
                <c:v>1</c:v>
              </c:pt>
              <c:pt idx="21">
                <c:v>1</c:v>
              </c:pt>
              <c:pt idx="22">
                <c:v>1</c:v>
              </c:pt>
              <c:pt idx="23">
                <c:v>4</c:v>
              </c:pt>
              <c:pt idx="24">
                <c:v>4</c:v>
              </c:pt>
              <c:pt idx="25">
                <c:v>2</c:v>
              </c:pt>
              <c:pt idx="26">
                <c:v>4</c:v>
              </c:pt>
              <c:pt idx="27">
                <c:v>1</c:v>
              </c:pt>
              <c:pt idx="28">
                <c:v>5</c:v>
              </c:pt>
              <c:pt idx="29">
                <c:v>4</c:v>
              </c:pt>
              <c:pt idx="30">
                <c:v>5</c:v>
              </c:pt>
              <c:pt idx="31">
                <c:v>4</c:v>
              </c:pt>
              <c:pt idx="32">
                <c:v>6</c:v>
              </c:pt>
              <c:pt idx="33">
                <c:v>6</c:v>
              </c:pt>
              <c:pt idx="34">
                <c:v>7</c:v>
              </c:pt>
              <c:pt idx="35">
                <c:v>2</c:v>
              </c:pt>
              <c:pt idx="36">
                <c:v>4</c:v>
              </c:pt>
              <c:pt idx="37">
                <c:v>5</c:v>
              </c:pt>
              <c:pt idx="38">
                <c:v>6</c:v>
              </c:pt>
              <c:pt idx="39">
                <c:v>5</c:v>
              </c:pt>
              <c:pt idx="40">
                <c:v>5</c:v>
              </c:pt>
              <c:pt idx="41">
                <c:v>5</c:v>
              </c:pt>
              <c:pt idx="42">
                <c:v>3</c:v>
              </c:pt>
              <c:pt idx="43">
                <c:v>3</c:v>
              </c:pt>
              <c:pt idx="44">
                <c:v>3</c:v>
              </c:pt>
              <c:pt idx="45">
                <c:v>5</c:v>
              </c:pt>
              <c:pt idx="46">
                <c:v>7</c:v>
              </c:pt>
              <c:pt idx="47">
                <c:v>2</c:v>
              </c:pt>
              <c:pt idx="48">
                <c:v>6</c:v>
              </c:pt>
              <c:pt idx="49">
                <c:v>5</c:v>
              </c:pt>
              <c:pt idx="50">
                <c:v>7</c:v>
              </c:pt>
              <c:pt idx="51">
                <c:v>15</c:v>
              </c:pt>
              <c:pt idx="52">
                <c:v>5</c:v>
              </c:pt>
              <c:pt idx="53">
                <c:v>6</c:v>
              </c:pt>
              <c:pt idx="54">
                <c:v>10</c:v>
              </c:pt>
              <c:pt idx="55">
                <c:v>6</c:v>
              </c:pt>
              <c:pt idx="56">
                <c:v>9</c:v>
              </c:pt>
              <c:pt idx="57">
                <c:v>13</c:v>
              </c:pt>
              <c:pt idx="58">
                <c:v>35</c:v>
              </c:pt>
              <c:pt idx="59">
                <c:v>38</c:v>
              </c:pt>
              <c:pt idx="60">
                <c:v>82</c:v>
              </c:pt>
              <c:pt idx="61">
                <c:v>53</c:v>
              </c:pt>
              <c:pt idx="62">
                <c:v>40</c:v>
              </c:pt>
              <c:pt idx="63">
                <c:v>53</c:v>
              </c:pt>
              <c:pt idx="64">
                <c:v>41</c:v>
              </c:pt>
              <c:pt idx="65">
                <c:v>42</c:v>
              </c:pt>
              <c:pt idx="66">
                <c:v>64</c:v>
              </c:pt>
              <c:pt idx="67">
                <c:v>51</c:v>
              </c:pt>
              <c:pt idx="68">
                <c:v>48</c:v>
              </c:pt>
              <c:pt idx="69">
                <c:v>52</c:v>
              </c:pt>
              <c:pt idx="70">
                <c:v>41</c:v>
              </c:pt>
              <c:pt idx="71">
                <c:v>54</c:v>
              </c:pt>
              <c:pt idx="72">
                <c:v>36</c:v>
              </c:pt>
              <c:pt idx="73">
                <c:v>41</c:v>
              </c:pt>
              <c:pt idx="74">
                <c:v>36</c:v>
              </c:pt>
              <c:pt idx="75">
                <c:v>45</c:v>
              </c:pt>
              <c:pt idx="76">
                <c:v>28</c:v>
              </c:pt>
              <c:pt idx="77">
                <c:v>31</c:v>
              </c:pt>
              <c:pt idx="78">
                <c:v>42</c:v>
              </c:pt>
              <c:pt idx="79">
                <c:v>34</c:v>
              </c:pt>
              <c:pt idx="80">
                <c:v>40</c:v>
              </c:pt>
              <c:pt idx="81">
                <c:v>24</c:v>
              </c:pt>
              <c:pt idx="82">
                <c:v>33</c:v>
              </c:pt>
              <c:pt idx="83">
                <c:v>43</c:v>
              </c:pt>
              <c:pt idx="84">
                <c:v>18</c:v>
              </c:pt>
              <c:pt idx="85">
                <c:v>27</c:v>
              </c:pt>
              <c:pt idx="86">
                <c:v>29</c:v>
              </c:pt>
              <c:pt idx="87">
                <c:v>28</c:v>
              </c:pt>
              <c:pt idx="88">
                <c:v>28</c:v>
              </c:pt>
              <c:pt idx="89">
                <c:v>30</c:v>
              </c:pt>
              <c:pt idx="90">
                <c:v>23</c:v>
              </c:pt>
              <c:pt idx="91">
                <c:v>8</c:v>
              </c:pt>
            </c:numLit>
          </c:val>
          <c:extLst>
            <c:ext xmlns:c16="http://schemas.microsoft.com/office/drawing/2014/chart" uri="{C3380CC4-5D6E-409C-BE32-E72D297353CC}">
              <c16:uniqueId val="{00000005-A827-4CCF-8131-4E5E8A213068}"/>
            </c:ext>
          </c:extLst>
        </c:ser>
        <c:ser>
          <c:idx val="2"/>
          <c:order val="2"/>
          <c:tx>
            <c:v>live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93"/>
              <c:pt idx="0">
                <c:v>May
2009</c:v>
              </c:pt>
              <c:pt idx="1">
                <c:v>Jul
2009</c:v>
              </c:pt>
              <c:pt idx="2">
                <c:v>Aug
2009</c:v>
              </c:pt>
              <c:pt idx="3">
                <c:v>Sep
2009</c:v>
              </c:pt>
              <c:pt idx="4">
                <c:v>Oct
2009</c:v>
              </c:pt>
              <c:pt idx="5">
                <c:v>Nov
2009</c:v>
              </c:pt>
              <c:pt idx="6">
                <c:v>Jan
2010</c:v>
              </c:pt>
              <c:pt idx="7">
                <c:v>Feb
2010</c:v>
              </c:pt>
              <c:pt idx="8">
                <c:v>Mar
2010</c:v>
              </c:pt>
              <c:pt idx="9">
                <c:v>Apr
2010</c:v>
              </c:pt>
              <c:pt idx="10">
                <c:v>May
2010</c:v>
              </c:pt>
              <c:pt idx="11">
                <c:v>Jun
2010</c:v>
              </c:pt>
              <c:pt idx="12">
                <c:v>Jul
2010</c:v>
              </c:pt>
              <c:pt idx="13">
                <c:v>Aug
2010</c:v>
              </c:pt>
              <c:pt idx="14">
                <c:v>Sep
2010</c:v>
              </c:pt>
              <c:pt idx="15">
                <c:v>Oct
2010</c:v>
              </c:pt>
              <c:pt idx="16">
                <c:v>Nov
2010</c:v>
              </c:pt>
              <c:pt idx="17">
                <c:v>Dec
2010</c:v>
              </c:pt>
              <c:pt idx="18">
                <c:v>Jan
2011</c:v>
              </c:pt>
              <c:pt idx="19">
                <c:v>Feb
2011</c:v>
              </c:pt>
              <c:pt idx="20">
                <c:v>Mar
2011</c:v>
              </c:pt>
              <c:pt idx="21">
                <c:v>Apr
2011</c:v>
              </c:pt>
              <c:pt idx="22">
                <c:v>May
2011</c:v>
              </c:pt>
              <c:pt idx="23">
                <c:v>Jun
2011</c:v>
              </c:pt>
              <c:pt idx="24">
                <c:v>Jul
2011</c:v>
              </c:pt>
              <c:pt idx="25">
                <c:v>Aug
2011</c:v>
              </c:pt>
              <c:pt idx="26">
                <c:v>Sep
2011</c:v>
              </c:pt>
              <c:pt idx="27">
                <c:v>Oct
2011</c:v>
              </c:pt>
              <c:pt idx="28">
                <c:v>Nov
2011</c:v>
              </c:pt>
              <c:pt idx="29">
                <c:v>Dec
2011</c:v>
              </c:pt>
              <c:pt idx="30">
                <c:v>Jan
2012</c:v>
              </c:pt>
              <c:pt idx="31">
                <c:v>Feb
2012</c:v>
              </c:pt>
              <c:pt idx="32">
                <c:v>Mar
2012</c:v>
              </c:pt>
              <c:pt idx="33">
                <c:v>Apr
2012</c:v>
              </c:pt>
              <c:pt idx="34">
                <c:v>May
2012</c:v>
              </c:pt>
              <c:pt idx="35">
                <c:v>Jun
2012</c:v>
              </c:pt>
              <c:pt idx="36">
                <c:v>Jul
2012</c:v>
              </c:pt>
              <c:pt idx="37">
                <c:v>Aug
2012</c:v>
              </c:pt>
              <c:pt idx="38">
                <c:v>Sep
2012</c:v>
              </c:pt>
              <c:pt idx="39">
                <c:v>Oct
2012</c:v>
              </c:pt>
              <c:pt idx="40">
                <c:v>Nov
2012</c:v>
              </c:pt>
              <c:pt idx="41">
                <c:v>Dec
2012</c:v>
              </c:pt>
              <c:pt idx="42">
                <c:v>Jan
2013</c:v>
              </c:pt>
              <c:pt idx="43">
                <c:v>Feb
2013</c:v>
              </c:pt>
              <c:pt idx="44">
                <c:v>Mar
2013</c:v>
              </c:pt>
              <c:pt idx="45">
                <c:v>Apr
2013</c:v>
              </c:pt>
              <c:pt idx="46">
                <c:v>May
2013</c:v>
              </c:pt>
              <c:pt idx="47">
                <c:v>Jun
2013</c:v>
              </c:pt>
              <c:pt idx="48">
                <c:v>Jul
2013</c:v>
              </c:pt>
              <c:pt idx="49">
                <c:v>Aug
2013</c:v>
              </c:pt>
              <c:pt idx="50">
                <c:v>Sep
2013</c:v>
              </c:pt>
              <c:pt idx="51">
                <c:v>Oct
2013</c:v>
              </c:pt>
              <c:pt idx="52">
                <c:v>Nov
2013</c:v>
              </c:pt>
              <c:pt idx="53">
                <c:v>Dec
2013</c:v>
              </c:pt>
              <c:pt idx="54">
                <c:v>Jan
2014</c:v>
              </c:pt>
              <c:pt idx="55">
                <c:v>Feb
2014</c:v>
              </c:pt>
              <c:pt idx="56">
                <c:v>Mar
2014</c:v>
              </c:pt>
              <c:pt idx="57">
                <c:v>Apr
2014</c:v>
              </c:pt>
              <c:pt idx="58">
                <c:v>May
2014</c:v>
              </c:pt>
              <c:pt idx="59">
                <c:v>Jun
2014</c:v>
              </c:pt>
              <c:pt idx="60">
                <c:v>Jul
2014</c:v>
              </c:pt>
              <c:pt idx="61">
                <c:v>Aug
2014</c:v>
              </c:pt>
              <c:pt idx="62">
                <c:v>Sep
2014</c:v>
              </c:pt>
              <c:pt idx="63">
                <c:v>Oct
2014</c:v>
              </c:pt>
              <c:pt idx="64">
                <c:v>Nov
2014</c:v>
              </c:pt>
              <c:pt idx="65">
                <c:v>Dec
2014</c:v>
              </c:pt>
              <c:pt idx="66">
                <c:v>Jan
2015</c:v>
              </c:pt>
              <c:pt idx="67">
                <c:v>Feb
2015</c:v>
              </c:pt>
              <c:pt idx="68">
                <c:v>Mar
2015</c:v>
              </c:pt>
              <c:pt idx="69">
                <c:v>Apr
2015</c:v>
              </c:pt>
              <c:pt idx="70">
                <c:v>May
2015</c:v>
              </c:pt>
              <c:pt idx="71">
                <c:v>Jun
2015</c:v>
              </c:pt>
              <c:pt idx="72">
                <c:v>Jul
2015</c:v>
              </c:pt>
              <c:pt idx="73">
                <c:v>Aug
2015</c:v>
              </c:pt>
              <c:pt idx="74">
                <c:v>Sep
2015</c:v>
              </c:pt>
              <c:pt idx="75">
                <c:v>Oct
2015</c:v>
              </c:pt>
              <c:pt idx="76">
                <c:v>Nov
2015</c:v>
              </c:pt>
              <c:pt idx="77">
                <c:v>Dec
2015</c:v>
              </c:pt>
              <c:pt idx="78">
                <c:v>Jan
2016</c:v>
              </c:pt>
              <c:pt idx="79">
                <c:v>Feb
2016</c:v>
              </c:pt>
              <c:pt idx="80">
                <c:v>Mar
2016</c:v>
              </c:pt>
              <c:pt idx="81">
                <c:v>Apr
2016</c:v>
              </c:pt>
              <c:pt idx="82">
                <c:v>May
2016</c:v>
              </c:pt>
              <c:pt idx="83">
                <c:v>Jun
2016</c:v>
              </c:pt>
              <c:pt idx="84">
                <c:v>Jul
2016</c:v>
              </c:pt>
              <c:pt idx="85">
                <c:v>Aug
2016</c:v>
              </c:pt>
              <c:pt idx="86">
                <c:v>Sep
2016</c:v>
              </c:pt>
              <c:pt idx="87">
                <c:v>Oct
2016</c:v>
              </c:pt>
              <c:pt idx="88">
                <c:v>Nov
2016</c:v>
              </c:pt>
              <c:pt idx="89">
                <c:v>Dec
2016</c:v>
              </c:pt>
              <c:pt idx="90">
                <c:v>Jan
2017</c:v>
              </c:pt>
              <c:pt idx="91">
                <c:v>Feb
2017</c:v>
              </c:pt>
              <c:pt idx="92">
                <c:v>Mar
2017</c:v>
              </c:pt>
            </c:strLit>
          </c:cat>
          <c:val>
            <c:numLit>
              <c:formatCode>General</c:formatCode>
              <c:ptCount val="93"/>
              <c:pt idx="90">
                <c:v>2</c:v>
              </c:pt>
              <c:pt idx="91">
                <c:v>18</c:v>
              </c:pt>
              <c:pt idx="92">
                <c:v>30</c:v>
              </c:pt>
            </c:numLit>
          </c:val>
          <c:extLst>
            <c:ext xmlns:c16="http://schemas.microsoft.com/office/drawing/2014/chart" uri="{C3380CC4-5D6E-409C-BE32-E72D297353CC}">
              <c16:uniqueId val="{00000006-A827-4CCF-8131-4E5E8A213068}"/>
            </c:ext>
          </c:extLst>
        </c:ser>
        <c:ser>
          <c:idx val="3"/>
          <c:order val="3"/>
          <c:tx>
            <c:v>successful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Lit>
              <c:ptCount val="93"/>
              <c:pt idx="0">
                <c:v>May
2009</c:v>
              </c:pt>
              <c:pt idx="1">
                <c:v>Jul
2009</c:v>
              </c:pt>
              <c:pt idx="2">
                <c:v>Aug
2009</c:v>
              </c:pt>
              <c:pt idx="3">
                <c:v>Sep
2009</c:v>
              </c:pt>
              <c:pt idx="4">
                <c:v>Oct
2009</c:v>
              </c:pt>
              <c:pt idx="5">
                <c:v>Nov
2009</c:v>
              </c:pt>
              <c:pt idx="6">
                <c:v>Jan
2010</c:v>
              </c:pt>
              <c:pt idx="7">
                <c:v>Feb
2010</c:v>
              </c:pt>
              <c:pt idx="8">
                <c:v>Mar
2010</c:v>
              </c:pt>
              <c:pt idx="9">
                <c:v>Apr
2010</c:v>
              </c:pt>
              <c:pt idx="10">
                <c:v>May
2010</c:v>
              </c:pt>
              <c:pt idx="11">
                <c:v>Jun
2010</c:v>
              </c:pt>
              <c:pt idx="12">
                <c:v>Jul
2010</c:v>
              </c:pt>
              <c:pt idx="13">
                <c:v>Aug
2010</c:v>
              </c:pt>
              <c:pt idx="14">
                <c:v>Sep
2010</c:v>
              </c:pt>
              <c:pt idx="15">
                <c:v>Oct
2010</c:v>
              </c:pt>
              <c:pt idx="16">
                <c:v>Nov
2010</c:v>
              </c:pt>
              <c:pt idx="17">
                <c:v>Dec
2010</c:v>
              </c:pt>
              <c:pt idx="18">
                <c:v>Jan
2011</c:v>
              </c:pt>
              <c:pt idx="19">
                <c:v>Feb
2011</c:v>
              </c:pt>
              <c:pt idx="20">
                <c:v>Mar
2011</c:v>
              </c:pt>
              <c:pt idx="21">
                <c:v>Apr
2011</c:v>
              </c:pt>
              <c:pt idx="22">
                <c:v>May
2011</c:v>
              </c:pt>
              <c:pt idx="23">
                <c:v>Jun
2011</c:v>
              </c:pt>
              <c:pt idx="24">
                <c:v>Jul
2011</c:v>
              </c:pt>
              <c:pt idx="25">
                <c:v>Aug
2011</c:v>
              </c:pt>
              <c:pt idx="26">
                <c:v>Sep
2011</c:v>
              </c:pt>
              <c:pt idx="27">
                <c:v>Oct
2011</c:v>
              </c:pt>
              <c:pt idx="28">
                <c:v>Nov
2011</c:v>
              </c:pt>
              <c:pt idx="29">
                <c:v>Dec
2011</c:v>
              </c:pt>
              <c:pt idx="30">
                <c:v>Jan
2012</c:v>
              </c:pt>
              <c:pt idx="31">
                <c:v>Feb
2012</c:v>
              </c:pt>
              <c:pt idx="32">
                <c:v>Mar
2012</c:v>
              </c:pt>
              <c:pt idx="33">
                <c:v>Apr
2012</c:v>
              </c:pt>
              <c:pt idx="34">
                <c:v>May
2012</c:v>
              </c:pt>
              <c:pt idx="35">
                <c:v>Jun
2012</c:v>
              </c:pt>
              <c:pt idx="36">
                <c:v>Jul
2012</c:v>
              </c:pt>
              <c:pt idx="37">
                <c:v>Aug
2012</c:v>
              </c:pt>
              <c:pt idx="38">
                <c:v>Sep
2012</c:v>
              </c:pt>
              <c:pt idx="39">
                <c:v>Oct
2012</c:v>
              </c:pt>
              <c:pt idx="40">
                <c:v>Nov
2012</c:v>
              </c:pt>
              <c:pt idx="41">
                <c:v>Dec
2012</c:v>
              </c:pt>
              <c:pt idx="42">
                <c:v>Jan
2013</c:v>
              </c:pt>
              <c:pt idx="43">
                <c:v>Feb
2013</c:v>
              </c:pt>
              <c:pt idx="44">
                <c:v>Mar
2013</c:v>
              </c:pt>
              <c:pt idx="45">
                <c:v>Apr
2013</c:v>
              </c:pt>
              <c:pt idx="46">
                <c:v>May
2013</c:v>
              </c:pt>
              <c:pt idx="47">
                <c:v>Jun
2013</c:v>
              </c:pt>
              <c:pt idx="48">
                <c:v>Jul
2013</c:v>
              </c:pt>
              <c:pt idx="49">
                <c:v>Aug
2013</c:v>
              </c:pt>
              <c:pt idx="50">
                <c:v>Sep
2013</c:v>
              </c:pt>
              <c:pt idx="51">
                <c:v>Oct
2013</c:v>
              </c:pt>
              <c:pt idx="52">
                <c:v>Nov
2013</c:v>
              </c:pt>
              <c:pt idx="53">
                <c:v>Dec
2013</c:v>
              </c:pt>
              <c:pt idx="54">
                <c:v>Jan
2014</c:v>
              </c:pt>
              <c:pt idx="55">
                <c:v>Feb
2014</c:v>
              </c:pt>
              <c:pt idx="56">
                <c:v>Mar
2014</c:v>
              </c:pt>
              <c:pt idx="57">
                <c:v>Apr
2014</c:v>
              </c:pt>
              <c:pt idx="58">
                <c:v>May
2014</c:v>
              </c:pt>
              <c:pt idx="59">
                <c:v>Jun
2014</c:v>
              </c:pt>
              <c:pt idx="60">
                <c:v>Jul
2014</c:v>
              </c:pt>
              <c:pt idx="61">
                <c:v>Aug
2014</c:v>
              </c:pt>
              <c:pt idx="62">
                <c:v>Sep
2014</c:v>
              </c:pt>
              <c:pt idx="63">
                <c:v>Oct
2014</c:v>
              </c:pt>
              <c:pt idx="64">
                <c:v>Nov
2014</c:v>
              </c:pt>
              <c:pt idx="65">
                <c:v>Dec
2014</c:v>
              </c:pt>
              <c:pt idx="66">
                <c:v>Jan
2015</c:v>
              </c:pt>
              <c:pt idx="67">
                <c:v>Feb
2015</c:v>
              </c:pt>
              <c:pt idx="68">
                <c:v>Mar
2015</c:v>
              </c:pt>
              <c:pt idx="69">
                <c:v>Apr
2015</c:v>
              </c:pt>
              <c:pt idx="70">
                <c:v>May
2015</c:v>
              </c:pt>
              <c:pt idx="71">
                <c:v>Jun
2015</c:v>
              </c:pt>
              <c:pt idx="72">
                <c:v>Jul
2015</c:v>
              </c:pt>
              <c:pt idx="73">
                <c:v>Aug
2015</c:v>
              </c:pt>
              <c:pt idx="74">
                <c:v>Sep
2015</c:v>
              </c:pt>
              <c:pt idx="75">
                <c:v>Oct
2015</c:v>
              </c:pt>
              <c:pt idx="76">
                <c:v>Nov
2015</c:v>
              </c:pt>
              <c:pt idx="77">
                <c:v>Dec
2015</c:v>
              </c:pt>
              <c:pt idx="78">
                <c:v>Jan
2016</c:v>
              </c:pt>
              <c:pt idx="79">
                <c:v>Feb
2016</c:v>
              </c:pt>
              <c:pt idx="80">
                <c:v>Mar
2016</c:v>
              </c:pt>
              <c:pt idx="81">
                <c:v>Apr
2016</c:v>
              </c:pt>
              <c:pt idx="82">
                <c:v>May
2016</c:v>
              </c:pt>
              <c:pt idx="83">
                <c:v>Jun
2016</c:v>
              </c:pt>
              <c:pt idx="84">
                <c:v>Jul
2016</c:v>
              </c:pt>
              <c:pt idx="85">
                <c:v>Aug
2016</c:v>
              </c:pt>
              <c:pt idx="86">
                <c:v>Sep
2016</c:v>
              </c:pt>
              <c:pt idx="87">
                <c:v>Oct
2016</c:v>
              </c:pt>
              <c:pt idx="88">
                <c:v>Nov
2016</c:v>
              </c:pt>
              <c:pt idx="89">
                <c:v>Dec
2016</c:v>
              </c:pt>
              <c:pt idx="90">
                <c:v>Jan
2017</c:v>
              </c:pt>
              <c:pt idx="91">
                <c:v>Feb
2017</c:v>
              </c:pt>
              <c:pt idx="92">
                <c:v>Mar
2017</c:v>
              </c:pt>
            </c:strLit>
          </c:cat>
          <c:val>
            <c:numLit>
              <c:formatCode>General</c:formatCode>
              <c:ptCount val="93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2</c:v>
              </c:pt>
              <c:pt idx="4">
                <c:v>1</c:v>
              </c:pt>
              <c:pt idx="5">
                <c:v>3</c:v>
              </c:pt>
              <c:pt idx="6">
                <c:v>3</c:v>
              </c:pt>
              <c:pt idx="7">
                <c:v>3</c:v>
              </c:pt>
              <c:pt idx="8">
                <c:v>6</c:v>
              </c:pt>
              <c:pt idx="9">
                <c:v>1</c:v>
              </c:pt>
              <c:pt idx="10">
                <c:v>5</c:v>
              </c:pt>
              <c:pt idx="11">
                <c:v>8</c:v>
              </c:pt>
              <c:pt idx="12">
                <c:v>3</c:v>
              </c:pt>
              <c:pt idx="13">
                <c:v>2</c:v>
              </c:pt>
              <c:pt idx="14">
                <c:v>2</c:v>
              </c:pt>
              <c:pt idx="15">
                <c:v>6</c:v>
              </c:pt>
              <c:pt idx="16">
                <c:v>3</c:v>
              </c:pt>
              <c:pt idx="17">
                <c:v>7</c:v>
              </c:pt>
              <c:pt idx="18">
                <c:v>10</c:v>
              </c:pt>
              <c:pt idx="19">
                <c:v>8</c:v>
              </c:pt>
              <c:pt idx="20">
                <c:v>8</c:v>
              </c:pt>
              <c:pt idx="21">
                <c:v>12</c:v>
              </c:pt>
              <c:pt idx="22">
                <c:v>15</c:v>
              </c:pt>
              <c:pt idx="23">
                <c:v>12</c:v>
              </c:pt>
              <c:pt idx="24">
                <c:v>11</c:v>
              </c:pt>
              <c:pt idx="25">
                <c:v>16</c:v>
              </c:pt>
              <c:pt idx="26">
                <c:v>10</c:v>
              </c:pt>
              <c:pt idx="27">
                <c:v>10</c:v>
              </c:pt>
              <c:pt idx="28">
                <c:v>13</c:v>
              </c:pt>
              <c:pt idx="29">
                <c:v>11</c:v>
              </c:pt>
              <c:pt idx="30">
                <c:v>21</c:v>
              </c:pt>
              <c:pt idx="31">
                <c:v>17</c:v>
              </c:pt>
              <c:pt idx="32">
                <c:v>29</c:v>
              </c:pt>
              <c:pt idx="33">
                <c:v>22</c:v>
              </c:pt>
              <c:pt idx="34">
                <c:v>16</c:v>
              </c:pt>
              <c:pt idx="35">
                <c:v>22</c:v>
              </c:pt>
              <c:pt idx="36">
                <c:v>17</c:v>
              </c:pt>
              <c:pt idx="37">
                <c:v>18</c:v>
              </c:pt>
              <c:pt idx="38">
                <c:v>13</c:v>
              </c:pt>
              <c:pt idx="39">
                <c:v>16</c:v>
              </c:pt>
              <c:pt idx="40">
                <c:v>14</c:v>
              </c:pt>
              <c:pt idx="41">
                <c:v>11</c:v>
              </c:pt>
              <c:pt idx="42">
                <c:v>19</c:v>
              </c:pt>
              <c:pt idx="43">
                <c:v>24</c:v>
              </c:pt>
              <c:pt idx="44">
                <c:v>14</c:v>
              </c:pt>
              <c:pt idx="45">
                <c:v>25</c:v>
              </c:pt>
              <c:pt idx="46">
                <c:v>13</c:v>
              </c:pt>
              <c:pt idx="47">
                <c:v>16</c:v>
              </c:pt>
              <c:pt idx="48">
                <c:v>10</c:v>
              </c:pt>
              <c:pt idx="49">
                <c:v>10</c:v>
              </c:pt>
              <c:pt idx="50">
                <c:v>18</c:v>
              </c:pt>
              <c:pt idx="51">
                <c:v>19</c:v>
              </c:pt>
              <c:pt idx="52">
                <c:v>18</c:v>
              </c:pt>
              <c:pt idx="53">
                <c:v>14</c:v>
              </c:pt>
              <c:pt idx="54">
                <c:v>19</c:v>
              </c:pt>
              <c:pt idx="55">
                <c:v>14</c:v>
              </c:pt>
              <c:pt idx="56">
                <c:v>17</c:v>
              </c:pt>
              <c:pt idx="57">
                <c:v>34</c:v>
              </c:pt>
              <c:pt idx="58">
                <c:v>58</c:v>
              </c:pt>
              <c:pt idx="59">
                <c:v>58</c:v>
              </c:pt>
              <c:pt idx="60">
                <c:v>59</c:v>
              </c:pt>
              <c:pt idx="61">
                <c:v>51</c:v>
              </c:pt>
              <c:pt idx="62">
                <c:v>37</c:v>
              </c:pt>
              <c:pt idx="63">
                <c:v>60</c:v>
              </c:pt>
              <c:pt idx="64">
                <c:v>38</c:v>
              </c:pt>
              <c:pt idx="65">
                <c:v>29</c:v>
              </c:pt>
              <c:pt idx="66">
                <c:v>42</c:v>
              </c:pt>
              <c:pt idx="67">
                <c:v>64</c:v>
              </c:pt>
              <c:pt idx="68">
                <c:v>50</c:v>
              </c:pt>
              <c:pt idx="69">
                <c:v>53</c:v>
              </c:pt>
              <c:pt idx="70">
                <c:v>68</c:v>
              </c:pt>
              <c:pt idx="71">
                <c:v>61</c:v>
              </c:pt>
              <c:pt idx="72">
                <c:v>49</c:v>
              </c:pt>
              <c:pt idx="73">
                <c:v>39</c:v>
              </c:pt>
              <c:pt idx="74">
                <c:v>36</c:v>
              </c:pt>
              <c:pt idx="75">
                <c:v>44</c:v>
              </c:pt>
              <c:pt idx="76">
                <c:v>46</c:v>
              </c:pt>
              <c:pt idx="77">
                <c:v>15</c:v>
              </c:pt>
              <c:pt idx="78">
                <c:v>33</c:v>
              </c:pt>
              <c:pt idx="79">
                <c:v>49</c:v>
              </c:pt>
              <c:pt idx="80">
                <c:v>55</c:v>
              </c:pt>
              <c:pt idx="81">
                <c:v>45</c:v>
              </c:pt>
              <c:pt idx="82">
                <c:v>58</c:v>
              </c:pt>
              <c:pt idx="83">
                <c:v>34</c:v>
              </c:pt>
              <c:pt idx="84">
                <c:v>44</c:v>
              </c:pt>
              <c:pt idx="85">
                <c:v>29</c:v>
              </c:pt>
              <c:pt idx="86">
                <c:v>29</c:v>
              </c:pt>
              <c:pt idx="87">
                <c:v>27</c:v>
              </c:pt>
              <c:pt idx="88">
                <c:v>48</c:v>
              </c:pt>
              <c:pt idx="89">
                <c:v>24</c:v>
              </c:pt>
              <c:pt idx="90">
                <c:v>35</c:v>
              </c:pt>
              <c:pt idx="91">
                <c:v>23</c:v>
              </c:pt>
              <c:pt idx="92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7-A827-4CCF-8131-4E5E8A2130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9439711"/>
        <c:axId val="39440543"/>
      </c:barChart>
      <c:catAx>
        <c:axId val="39439711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40543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39440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39711"/>
        <c:crosses val="autoZero"/>
        <c:crossBetween val="between"/>
        <c:extLst>
          <c:ext xmlns:c15="http://schemas.microsoft.com/office/drawing/2012/chart" uri="{F40574EE-89B7-4290-83BB-5DA773EAF853}">
            <c15:numFmt c:formatCode="General" c:sourceLinked="1"/>
          </c:ext>
        </c:extLst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[Module 1 challenge.xlsx]PivotChartTable7</c15:name>
        <c15:fmtId val="0"/>
      </c15:pivotSource>
      <c15:pivotOptions>
        <c15:dropZoneFilter val="1"/>
        <c15:dropZoneCategories val="1"/>
        <c15:dropZoneData val="1"/>
        <c15:dropZoneSeries val="1"/>
        <c15:dropZonesVisible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 challenge.xlsx]Launch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by Month Launched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'Launch Date'!$H$18:$H$19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'Launch Date'!$G$20:$G$32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Date'!$H$20:$H$32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E3-4824-9486-7D6B9C016116}"/>
            </c:ext>
          </c:extLst>
        </c:ser>
        <c:ser>
          <c:idx val="1"/>
          <c:order val="1"/>
          <c:tx>
            <c:strRef>
              <c:f>'Launch Date'!$I$18:$I$19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'Launch Date'!$G$20:$G$32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Date'!$I$20:$I$32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E3-4824-9486-7D6B9C016116}"/>
            </c:ext>
          </c:extLst>
        </c:ser>
        <c:ser>
          <c:idx val="2"/>
          <c:order val="2"/>
          <c:tx>
            <c:strRef>
              <c:f>'Launch Date'!$J$18:$J$19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'Launch Date'!$G$20:$G$32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Date'!$J$20:$J$32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E3-4824-9486-7D6B9C016116}"/>
            </c:ext>
          </c:extLst>
        </c:ser>
        <c:ser>
          <c:idx val="3"/>
          <c:order val="3"/>
          <c:tx>
            <c:strRef>
              <c:f>'Launch Date'!$K$18:$K$19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'Launch Date'!$G$20:$G$32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Date'!$K$20:$K$32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E3-4824-9486-7D6B9C0161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742751"/>
        <c:axId val="40740255"/>
      </c:barChart>
      <c:catAx>
        <c:axId val="40742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40255"/>
        <c:crosses val="autoZero"/>
        <c:auto val="1"/>
        <c:lblAlgn val="ctr"/>
        <c:lblOffset val="100"/>
        <c:noMultiLvlLbl val="0"/>
      </c:catAx>
      <c:valAx>
        <c:axId val="40740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42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 challenge.xlsx]Launch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</a:t>
            </a:r>
            <a:r>
              <a:rPr lang="en-US" baseline="0"/>
              <a:t> Outcome by Month and Type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'Launch Date'!$H$36:$H$37</c:f>
              <c:strCache>
                <c:ptCount val="1"/>
                <c:pt idx="0">
                  <c:v>film &amp; video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'Launch Date'!$G$38:$G$50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Date'!$H$38:$H$50</c:f>
              <c:numCache>
                <c:formatCode>General</c:formatCode>
                <c:ptCount val="12"/>
                <c:pt idx="0">
                  <c:v>25</c:v>
                </c:pt>
                <c:pt idx="1">
                  <c:v>27</c:v>
                </c:pt>
                <c:pt idx="2">
                  <c:v>37</c:v>
                </c:pt>
                <c:pt idx="3">
                  <c:v>31</c:v>
                </c:pt>
                <c:pt idx="4">
                  <c:v>23</c:v>
                </c:pt>
                <c:pt idx="5">
                  <c:v>30</c:v>
                </c:pt>
                <c:pt idx="6">
                  <c:v>25</c:v>
                </c:pt>
                <c:pt idx="7">
                  <c:v>16</c:v>
                </c:pt>
                <c:pt idx="8">
                  <c:v>19</c:v>
                </c:pt>
                <c:pt idx="9">
                  <c:v>29</c:v>
                </c:pt>
                <c:pt idx="10">
                  <c:v>23</c:v>
                </c:pt>
                <c:pt idx="11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E1-422D-81DB-1377E6678AA6}"/>
            </c:ext>
          </c:extLst>
        </c:ser>
        <c:ser>
          <c:idx val="1"/>
          <c:order val="1"/>
          <c:tx>
            <c:strRef>
              <c:f>'Launch Date'!$I$36:$I$37</c:f>
              <c:strCache>
                <c:ptCount val="1"/>
                <c:pt idx="0">
                  <c:v>food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'Launch Date'!$G$38:$G$50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Date'!$I$38:$I$50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1</c:v>
                </c:pt>
                <c:pt idx="3">
                  <c:v>1</c:v>
                </c:pt>
                <c:pt idx="4">
                  <c:v>6</c:v>
                </c:pt>
                <c:pt idx="5">
                  <c:v>1</c:v>
                </c:pt>
                <c:pt idx="6">
                  <c:v>4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E1-422D-81DB-1377E6678AA6}"/>
            </c:ext>
          </c:extLst>
        </c:ser>
        <c:ser>
          <c:idx val="2"/>
          <c:order val="2"/>
          <c:tx>
            <c:strRef>
              <c:f>'Launch Date'!$J$36:$J$37</c:f>
              <c:strCache>
                <c:ptCount val="1"/>
                <c:pt idx="0">
                  <c:v>games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'Launch Date'!$G$38:$G$50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Date'!$J$38:$J$50</c:f>
              <c:numCache>
                <c:formatCode>General</c:formatCode>
                <c:ptCount val="12"/>
                <c:pt idx="0">
                  <c:v>13</c:v>
                </c:pt>
                <c:pt idx="1">
                  <c:v>11</c:v>
                </c:pt>
                <c:pt idx="2">
                  <c:v>6</c:v>
                </c:pt>
                <c:pt idx="3">
                  <c:v>3</c:v>
                </c:pt>
                <c:pt idx="4">
                  <c:v>5</c:v>
                </c:pt>
                <c:pt idx="5">
                  <c:v>2</c:v>
                </c:pt>
                <c:pt idx="6">
                  <c:v>6</c:v>
                </c:pt>
                <c:pt idx="7">
                  <c:v>5</c:v>
                </c:pt>
                <c:pt idx="8">
                  <c:v>2</c:v>
                </c:pt>
                <c:pt idx="9">
                  <c:v>10</c:v>
                </c:pt>
                <c:pt idx="10">
                  <c:v>13</c:v>
                </c:pt>
                <c:pt idx="11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CE1-422D-81DB-1377E6678AA6}"/>
            </c:ext>
          </c:extLst>
        </c:ser>
        <c:ser>
          <c:idx val="3"/>
          <c:order val="3"/>
          <c:tx>
            <c:strRef>
              <c:f>'Launch Date'!$K$36:$K$37</c:f>
              <c:strCache>
                <c:ptCount val="1"/>
                <c:pt idx="0">
                  <c:v>music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'Launch Date'!$G$38:$G$50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Date'!$K$38:$K$50</c:f>
              <c:numCache>
                <c:formatCode>General</c:formatCode>
                <c:ptCount val="12"/>
                <c:pt idx="0">
                  <c:v>54</c:v>
                </c:pt>
                <c:pt idx="1">
                  <c:v>49</c:v>
                </c:pt>
                <c:pt idx="2">
                  <c:v>49</c:v>
                </c:pt>
                <c:pt idx="3">
                  <c:v>48</c:v>
                </c:pt>
                <c:pt idx="4">
                  <c:v>54</c:v>
                </c:pt>
                <c:pt idx="5">
                  <c:v>46</c:v>
                </c:pt>
                <c:pt idx="6">
                  <c:v>39</c:v>
                </c:pt>
                <c:pt idx="7">
                  <c:v>44</c:v>
                </c:pt>
                <c:pt idx="8">
                  <c:v>38</c:v>
                </c:pt>
                <c:pt idx="9">
                  <c:v>43</c:v>
                </c:pt>
                <c:pt idx="10">
                  <c:v>46</c:v>
                </c:pt>
                <c:pt idx="11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CE1-422D-81DB-1377E6678AA6}"/>
            </c:ext>
          </c:extLst>
        </c:ser>
        <c:ser>
          <c:idx val="4"/>
          <c:order val="4"/>
          <c:tx>
            <c:strRef>
              <c:f>'Launch Date'!$L$36:$L$37</c:f>
              <c:strCache>
                <c:ptCount val="1"/>
                <c:pt idx="0">
                  <c:v>photography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'Launch Date'!$G$38:$G$50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Date'!$L$38:$L$50</c:f>
              <c:numCache>
                <c:formatCode>General</c:formatCode>
                <c:ptCount val="12"/>
                <c:pt idx="0">
                  <c:v>10</c:v>
                </c:pt>
                <c:pt idx="1">
                  <c:v>13</c:v>
                </c:pt>
                <c:pt idx="2">
                  <c:v>9</c:v>
                </c:pt>
                <c:pt idx="3">
                  <c:v>6</c:v>
                </c:pt>
                <c:pt idx="4">
                  <c:v>13</c:v>
                </c:pt>
                <c:pt idx="5">
                  <c:v>8</c:v>
                </c:pt>
                <c:pt idx="6">
                  <c:v>6</c:v>
                </c:pt>
                <c:pt idx="7">
                  <c:v>7</c:v>
                </c:pt>
                <c:pt idx="8">
                  <c:v>7</c:v>
                </c:pt>
                <c:pt idx="9">
                  <c:v>9</c:v>
                </c:pt>
                <c:pt idx="10">
                  <c:v>8</c:v>
                </c:pt>
                <c:pt idx="1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CE1-422D-81DB-1377E6678AA6}"/>
            </c:ext>
          </c:extLst>
        </c:ser>
        <c:ser>
          <c:idx val="5"/>
          <c:order val="5"/>
          <c:tx>
            <c:strRef>
              <c:f>'Launch Date'!$M$36:$M$37</c:f>
              <c:strCache>
                <c:ptCount val="1"/>
                <c:pt idx="0">
                  <c:v>publishing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'Launch Date'!$G$38:$G$50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Date'!$M$38:$M$50</c:f>
              <c:numCache>
                <c:formatCode>General</c:formatCode>
                <c:ptCount val="12"/>
                <c:pt idx="0">
                  <c:v>11</c:v>
                </c:pt>
                <c:pt idx="1">
                  <c:v>6</c:v>
                </c:pt>
                <c:pt idx="2">
                  <c:v>5</c:v>
                </c:pt>
                <c:pt idx="3">
                  <c:v>6</c:v>
                </c:pt>
                <c:pt idx="4">
                  <c:v>8</c:v>
                </c:pt>
                <c:pt idx="5">
                  <c:v>7</c:v>
                </c:pt>
                <c:pt idx="6">
                  <c:v>9</c:v>
                </c:pt>
                <c:pt idx="7">
                  <c:v>2</c:v>
                </c:pt>
                <c:pt idx="8">
                  <c:v>5</c:v>
                </c:pt>
                <c:pt idx="9">
                  <c:v>3</c:v>
                </c:pt>
                <c:pt idx="10">
                  <c:v>11</c:v>
                </c:pt>
                <c:pt idx="1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CE1-422D-81DB-1377E6678AA6}"/>
            </c:ext>
          </c:extLst>
        </c:ser>
        <c:ser>
          <c:idx val="6"/>
          <c:order val="6"/>
          <c:tx>
            <c:strRef>
              <c:f>'Launch Date'!$N$36:$N$37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'Launch Date'!$G$38:$G$50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Date'!$N$38:$N$50</c:f>
              <c:numCache>
                <c:formatCode>General</c:formatCode>
                <c:ptCount val="12"/>
                <c:pt idx="0">
                  <c:v>9</c:v>
                </c:pt>
                <c:pt idx="1">
                  <c:v>20</c:v>
                </c:pt>
                <c:pt idx="2">
                  <c:v>17</c:v>
                </c:pt>
                <c:pt idx="3">
                  <c:v>26</c:v>
                </c:pt>
                <c:pt idx="4">
                  <c:v>14</c:v>
                </c:pt>
                <c:pt idx="5">
                  <c:v>17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20</c:v>
                </c:pt>
                <c:pt idx="10">
                  <c:v>24</c:v>
                </c:pt>
                <c:pt idx="11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CE1-422D-81DB-1377E6678AA6}"/>
            </c:ext>
          </c:extLst>
        </c:ser>
        <c:ser>
          <c:idx val="7"/>
          <c:order val="7"/>
          <c:tx>
            <c:strRef>
              <c:f>'Launch Date'!$O$36:$O$37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'Launch Date'!$G$38:$G$50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Date'!$O$38:$O$50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CE1-422D-81DB-1377E6678A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93862335"/>
        <c:axId val="1793861087"/>
      </c:barChart>
      <c:catAx>
        <c:axId val="1793862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3861087"/>
        <c:crosses val="autoZero"/>
        <c:auto val="1"/>
        <c:lblAlgn val="ctr"/>
        <c:lblOffset val="100"/>
        <c:noMultiLvlLbl val="0"/>
      </c:catAx>
      <c:valAx>
        <c:axId val="1793861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3862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 challenge.xlsx]Launch Date!PivotTable6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Most Success</a:t>
            </a:r>
            <a:r>
              <a:rPr lang="en-US" baseline="0"/>
              <a:t> Rate by Sub-Category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'Launch Date'!$H$54:$H$55</c:f>
              <c:strCache>
                <c:ptCount val="1"/>
                <c:pt idx="0">
                  <c:v>May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'Launch Date'!$G$56:$G$74</c:f>
              <c:strCache>
                <c:ptCount val="18"/>
                <c:pt idx="0">
                  <c:v>metal</c:v>
                </c:pt>
                <c:pt idx="1">
                  <c:v>classical music</c:v>
                </c:pt>
                <c:pt idx="2">
                  <c:v>space exploration</c:v>
                </c:pt>
                <c:pt idx="3">
                  <c:v>pop</c:v>
                </c:pt>
                <c:pt idx="4">
                  <c:v>electronic music</c:v>
                </c:pt>
                <c:pt idx="5">
                  <c:v>tabletop games</c:v>
                </c:pt>
                <c:pt idx="6">
                  <c:v>shorts</c:v>
                </c:pt>
                <c:pt idx="7">
                  <c:v>small batch</c:v>
                </c:pt>
                <c:pt idx="8">
                  <c:v>television</c:v>
                </c:pt>
                <c:pt idx="9">
                  <c:v>nonfiction</c:v>
                </c:pt>
                <c:pt idx="10">
                  <c:v>musical</c:v>
                </c:pt>
                <c:pt idx="11">
                  <c:v>spaces</c:v>
                </c:pt>
                <c:pt idx="12">
                  <c:v>documentary</c:v>
                </c:pt>
                <c:pt idx="13">
                  <c:v>hardware</c:v>
                </c:pt>
                <c:pt idx="14">
                  <c:v>photobooks</c:v>
                </c:pt>
                <c:pt idx="15">
                  <c:v>indie rock</c:v>
                </c:pt>
                <c:pt idx="16">
                  <c:v>rock</c:v>
                </c:pt>
                <c:pt idx="17">
                  <c:v>plays</c:v>
                </c:pt>
              </c:strCache>
            </c:strRef>
          </c:cat>
          <c:val>
            <c:numRef>
              <c:f>'Launch Date'!$H$56:$H$74</c:f>
              <c:numCache>
                <c:formatCode>General</c:formatCode>
                <c:ptCount val="1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6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13</c:v>
                </c:pt>
                <c:pt idx="15">
                  <c:v>14</c:v>
                </c:pt>
                <c:pt idx="16">
                  <c:v>29</c:v>
                </c:pt>
                <c:pt idx="17">
                  <c:v>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FA-4563-87FC-3FAA184EDD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07119919"/>
        <c:axId val="1307110767"/>
      </c:barChart>
      <c:catAx>
        <c:axId val="1307119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110767"/>
        <c:crosses val="autoZero"/>
        <c:auto val="1"/>
        <c:lblAlgn val="ctr"/>
        <c:lblOffset val="100"/>
        <c:noMultiLvlLbl val="0"/>
      </c:catAx>
      <c:valAx>
        <c:axId val="1307110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119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 challenge.xlsx]Launch Date!PivotTable18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'Launch Date'!$H$85</c:f>
              <c:strCache>
                <c:ptCount val="1"/>
                <c:pt idx="0">
                  <c:v>Count of outcomes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'Launch Date'!$G$86:$G$98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Date'!$H$86:$H$98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65-40F8-B968-78A439F24924}"/>
            </c:ext>
          </c:extLst>
        </c:ser>
        <c:ser>
          <c:idx val="1"/>
          <c:order val="1"/>
          <c:tx>
            <c:strRef>
              <c:f>'Launch Date'!$I$85</c:f>
              <c:strCache>
                <c:ptCount val="1"/>
                <c:pt idx="0">
                  <c:v>Sum of goal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'Launch Date'!$G$86:$G$98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Date'!$I$86:$I$98</c:f>
              <c:numCache>
                <c:formatCode>_("$"* #,##0_);_("$"* \(#,##0\);_("$"* "-"??_);_(@_)</c:formatCode>
                <c:ptCount val="12"/>
                <c:pt idx="0">
                  <c:v>1345039</c:v>
                </c:pt>
                <c:pt idx="1">
                  <c:v>2124934</c:v>
                </c:pt>
                <c:pt idx="2">
                  <c:v>1932665</c:v>
                </c:pt>
                <c:pt idx="3">
                  <c:v>2379814.4699999997</c:v>
                </c:pt>
                <c:pt idx="4">
                  <c:v>2038459</c:v>
                </c:pt>
                <c:pt idx="5">
                  <c:v>1651472</c:v>
                </c:pt>
                <c:pt idx="6">
                  <c:v>1630130</c:v>
                </c:pt>
                <c:pt idx="7">
                  <c:v>1226330.79</c:v>
                </c:pt>
                <c:pt idx="8">
                  <c:v>1606900</c:v>
                </c:pt>
                <c:pt idx="9">
                  <c:v>2454263.5499999998</c:v>
                </c:pt>
                <c:pt idx="10">
                  <c:v>2152020</c:v>
                </c:pt>
                <c:pt idx="11">
                  <c:v>1017336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65-40F8-B968-78A439F24924}"/>
            </c:ext>
          </c:extLst>
        </c:ser>
        <c:ser>
          <c:idx val="2"/>
          <c:order val="2"/>
          <c:tx>
            <c:strRef>
              <c:f>'Launch Date'!$J$85</c:f>
              <c:strCache>
                <c:ptCount val="1"/>
                <c:pt idx="0">
                  <c:v>Average of goal2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'Launch Date'!$G$86:$G$98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Date'!$J$86:$J$98</c:f>
              <c:numCache>
                <c:formatCode>_("$"* #,##0_);_("$"* \(#,##0\);_("$"* "-"??_);_(@_)</c:formatCode>
                <c:ptCount val="12"/>
                <c:pt idx="0">
                  <c:v>7390.3241758241757</c:v>
                </c:pt>
                <c:pt idx="1">
                  <c:v>10519.475247524753</c:v>
                </c:pt>
                <c:pt idx="2">
                  <c:v>10737.027777777777</c:v>
                </c:pt>
                <c:pt idx="3">
                  <c:v>12394.867031249998</c:v>
                </c:pt>
                <c:pt idx="4">
                  <c:v>8711.363247863248</c:v>
                </c:pt>
                <c:pt idx="5">
                  <c:v>7826.8815165876777</c:v>
                </c:pt>
                <c:pt idx="6">
                  <c:v>8402.7319587628863</c:v>
                </c:pt>
                <c:pt idx="7">
                  <c:v>7387.5348795180726</c:v>
                </c:pt>
                <c:pt idx="8">
                  <c:v>10931.292517006803</c:v>
                </c:pt>
                <c:pt idx="9">
                  <c:v>13411.276229508196</c:v>
                </c:pt>
                <c:pt idx="10">
                  <c:v>11759.672131147541</c:v>
                </c:pt>
                <c:pt idx="11">
                  <c:v>9165.1891891891901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865-40F8-B968-78A439F249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88632448"/>
        <c:axId val="1988632864"/>
      </c:barChart>
      <c:catAx>
        <c:axId val="1988632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8632864"/>
        <c:crosses val="autoZero"/>
        <c:auto val="1"/>
        <c:lblAlgn val="ctr"/>
        <c:lblOffset val="100"/>
        <c:noMultiLvlLbl val="0"/>
      </c:catAx>
      <c:valAx>
        <c:axId val="1988632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8632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Goals</a:t>
            </a:r>
            <a:r>
              <a:rPr lang="en-US" baseline="0"/>
              <a:t> and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Kickstarter!$Y$32:$Y$35</c:f>
              <c:strCache>
                <c:ptCount val="4"/>
                <c:pt idx="0">
                  <c:v>Avg Successful Launches</c:v>
                </c:pt>
                <c:pt idx="1">
                  <c:v>Avg Successful Plays</c:v>
                </c:pt>
                <c:pt idx="2">
                  <c:v>Avg Failed Plays</c:v>
                </c:pt>
                <c:pt idx="3">
                  <c:v>Avg Failed all Launches</c:v>
                </c:pt>
              </c:strCache>
            </c:strRef>
          </c:cat>
          <c:val>
            <c:numRef>
              <c:f>Kickstarter!$Z$32:$Z$35</c:f>
              <c:numCache>
                <c:formatCode>_("$"* #,##0.00_);_("$"* \(#,##0.00\);_("$"* "-"??_);_(@_)</c:formatCode>
                <c:ptCount val="4"/>
                <c:pt idx="0">
                  <c:v>8711.363247863248</c:v>
                </c:pt>
                <c:pt idx="1">
                  <c:v>3030.5806451612902</c:v>
                </c:pt>
                <c:pt idx="2">
                  <c:v>9288.2142857142862</c:v>
                </c:pt>
                <c:pt idx="3">
                  <c:v>83236.968253968254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2D-4204-AA48-28801EBE10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43469616"/>
        <c:axId val="1743470448"/>
      </c:barChart>
      <c:catAx>
        <c:axId val="1743469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3470448"/>
        <c:crosses val="autoZero"/>
        <c:auto val="1"/>
        <c:lblAlgn val="ctr"/>
        <c:lblOffset val="100"/>
        <c:noMultiLvlLbl val="0"/>
      </c:catAx>
      <c:valAx>
        <c:axId val="1743470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3469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_xlchart.v1.11</cx:f>
      </cx:strDim>
      <cx:numDim type="val">
        <cx:f>_xlchart.v1.0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Goals and Outcomes</a:t>
            </a:r>
          </a:p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Month of May</a:t>
            </a:r>
          </a:p>
        </cx:rich>
      </cx:tx>
    </cx:title>
    <cx:plotArea>
      <cx:plotAreaRegion>
        <cx:series layoutId="waterfall" uniqueId="{50174FD4-D6BA-418C-9433-7CD56A324799}">
          <cx:spPr>
            <a:solidFill>
              <a:schemeClr val="accent1"/>
            </a:solidFill>
          </cx:spPr>
          <cx:dataLabels pos="outEnd">
            <cx:visibility seriesName="0" categoryName="0" value="1"/>
          </cx:dataLabels>
          <cx:dataId val="0"/>
          <cx:layoutPr>
            <cx:visibility connectorLines="0"/>
            <cx:subtotals>
              <cx:idx val="5"/>
            </cx:subtotals>
          </cx:layoutPr>
        </cx:series>
      </cx:plotAreaRegion>
      <cx:axis id="0">
        <cx:catScaling gapWidth="0.25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97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dk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31</xdr:col>
      <xdr:colOff>148590</xdr:colOff>
      <xdr:row>1</xdr:row>
      <xdr:rowOff>172720</xdr:rowOff>
    </xdr:from>
    <xdr:to>
      <xdr:col>62</xdr:col>
      <xdr:colOff>191770</xdr:colOff>
      <xdr:row>24</xdr:row>
      <xdr:rowOff>16129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A136412-F59B-4ABB-B690-AD5CB4A6A9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91810" y="355600"/>
          <a:ext cx="7663180" cy="404964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393700</xdr:colOff>
      <xdr:row>0</xdr:row>
      <xdr:rowOff>146050</xdr:rowOff>
    </xdr:from>
    <xdr:to>
      <xdr:col>11</xdr:col>
      <xdr:colOff>228600</xdr:colOff>
      <xdr:row>13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943762-D0DB-4FD8-8421-1604F51358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906780</xdr:colOff>
      <xdr:row>17</xdr:row>
      <xdr:rowOff>28575</xdr:rowOff>
    </xdr:from>
    <xdr:to>
      <xdr:col>15</xdr:col>
      <xdr:colOff>106680</xdr:colOff>
      <xdr:row>32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FC990E4-B3AE-4A12-A407-C6EE636B3C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927100</xdr:colOff>
      <xdr:row>30</xdr:row>
      <xdr:rowOff>118110</xdr:rowOff>
    </xdr:from>
    <xdr:to>
      <xdr:col>8</xdr:col>
      <xdr:colOff>614680</xdr:colOff>
      <xdr:row>45</xdr:row>
      <xdr:rowOff>99060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5C59815-5CB4-42F1-B0B2-32605DCAD4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163830</xdr:colOff>
      <xdr:row>53</xdr:row>
      <xdr:rowOff>83820</xdr:rowOff>
    </xdr:from>
    <xdr:to>
      <xdr:col>15</xdr:col>
      <xdr:colOff>12700</xdr:colOff>
      <xdr:row>72</xdr:row>
      <xdr:rowOff>8890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9A44CD2-695E-42E8-AB2C-04765E23B6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118110</xdr:colOff>
      <xdr:row>73</xdr:row>
      <xdr:rowOff>148590</xdr:rowOff>
    </xdr:from>
    <xdr:to>
      <xdr:col>31</xdr:col>
      <xdr:colOff>137160</xdr:colOff>
      <xdr:row>88</xdr:row>
      <xdr:rowOff>148590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C8C960E-CA06-4E7C-A56D-3368402F9D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17928</xdr:colOff>
      <xdr:row>6</xdr:row>
      <xdr:rowOff>286870</xdr:rowOff>
    </xdr:from>
    <xdr:to>
      <xdr:col>30</xdr:col>
      <xdr:colOff>770965</xdr:colOff>
      <xdr:row>17</xdr:row>
      <xdr:rowOff>179293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F5F4EDB1-6FB6-4C69-AD95-D1B6DFE04B6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2497057" y="3030070"/>
              <a:ext cx="11949955" cy="612289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26</xdr:col>
      <xdr:colOff>1447800</xdr:colOff>
      <xdr:row>24</xdr:row>
      <xdr:rowOff>210670</xdr:rowOff>
    </xdr:from>
    <xdr:to>
      <xdr:col>32</xdr:col>
      <xdr:colOff>107576</xdr:colOff>
      <xdr:row>30</xdr:row>
      <xdr:rowOff>457200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3DD1D24-924C-4AE8-AE28-F32EDA5952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ave" refreshedDate="44612.286153356479" createdVersion="5" refreshedVersion="7" minRefreshableVersion="3" recordCount="0" supportSubquery="1" supportAdvancedDrill="1" xr:uid="{751C07EC-BB65-4831-996F-93546DF13C37}">
  <cacheSource type="external" connectionId="1"/>
  <cacheFields count="5">
    <cacheField name="[Table1].[Launched (Month)].[Launched (Month)]" caption="Launched (Month)" numFmtId="0" hierarchy="22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Table1].[outcomes].[outcomes]" caption="outcomes" numFmtId="0" hierarchy="5" level="1">
      <sharedItems containsSemiMixedTypes="0" containsNonDate="0" containsString="0"/>
    </cacheField>
    <cacheField name="[Measures].[Count of outcomes]" caption="Count of outcomes" numFmtId="0" hierarchy="26" level="32767"/>
    <cacheField name="[Measures].[Sum of goal]" caption="Sum of goal" numFmtId="0" hierarchy="31" level="32767"/>
    <cacheField name="[Measures].[Average of goal]" caption="Average of goal" numFmtId="0" hierarchy="37" level="32767"/>
  </cacheFields>
  <cacheHierarchies count="38">
    <cacheHierarchy uniqueName="[Table1].[id]" caption="id" attribute="1" defaultMemberUniqueName="[Table1].[id].[All]" allUniqueName="[Table1].[id].[All]" dimensionUniqueName="[Table1]" displayFolder="" count="0" memberValueDatatype="20" unbalanced="0"/>
    <cacheHierarchy uniqueName="[Table1].[name]" caption="name" attribute="1" defaultMemberUniqueName="[Table1].[name].[All]" allUniqueName="[Table1].[name].[All]" dimensionUniqueName="[Table1]" displayFolder="" count="0" memberValueDatatype="130" unbalanced="0"/>
    <cacheHierarchy uniqueName="[Table1].[blurb]" caption="blurb" attribute="1" defaultMemberUniqueName="[Table1].[blurb].[All]" allUniqueName="[Table1].[blurb].[All]" dimensionUniqueName="[Table1]" displayFolder="" count="0" memberValueDatatype="130" unbalanced="0"/>
    <cacheHierarchy uniqueName="[Table1].[goal]" caption="goal" attribute="1" defaultMemberUniqueName="[Table1].[goal].[All]" allUniqueName="[Table1].[goal].[All]" dimensionUniqueName="[Table1]" displayFolder="" count="0" memberValueDatatype="5" unbalanced="0"/>
    <cacheHierarchy uniqueName="[Table1].[pledged]" caption="pledged" attribute="1" defaultMemberUniqueName="[Table1].[pledged].[All]" allUniqueName="[Table1].[pledged].[All]" dimensionUniqueName="[Table1]" displayFolder="" count="0" memberValueDatatype="5" unbalanced="0"/>
    <cacheHierarchy uniqueName="[Table1].[outcomes]" caption="outcomes" attribute="1" defaultMemberUniqueName="[Table1].[outcomes].[All]" allUniqueName="[Table1].[outcomes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currency]" caption="currency" attribute="1" defaultMemberUniqueName="[Table1].[currency].[All]" allUniqueName="[Table1].[currency].[All]" dimensionUniqueName="[Table1]" displayFolder="" count="0" memberValueDatatype="130" unbalanced="0"/>
    <cacheHierarchy uniqueName="[Table1].[deadline]" caption="deadline" attribute="1" defaultMemberUniqueName="[Table1].[deadline].[All]" allUniqueName="[Table1].[deadline].[All]" dimensionUniqueName="[Table1]" displayFolder="" count="0" memberValueDatatype="20" unbalanced="0"/>
    <cacheHierarchy uniqueName="[Table1].[launched_at]" caption="launched_at" attribute="1" defaultMemberUniqueName="[Table1].[launched_at].[All]" allUniqueName="[Table1].[launched_at].[All]" dimensionUniqueName="[Table1]" displayFolder="" count="0" memberValueDatatype="20" unbalanced="0"/>
    <cacheHierarchy uniqueName="[Table1].[staff_pick]" caption="staff_pick" attribute="1" defaultMemberUniqueName="[Table1].[staff_pick].[All]" allUniqueName="[Table1].[staff_pick].[All]" dimensionUniqueName="[Table1]" displayFolder="" count="0" memberValueDatatype="11" unbalanced="0"/>
    <cacheHierarchy uniqueName="[Table1].[backers_count]" caption="backers_count" attribute="1" defaultMemberUniqueName="[Table1].[backers_count].[All]" allUniqueName="[Table1].[backers_count].[All]" dimensionUniqueName="[Table1]" displayFolder="" count="0" memberValueDatatype="20" unbalanced="0"/>
    <cacheHierarchy uniqueName="[Table1].[spotlight]" caption="spotlight" attribute="1" defaultMemberUniqueName="[Table1].[spotlight].[All]" allUniqueName="[Table1].[spotlight].[All]" dimensionUniqueName="[Table1]" displayFolder="" count="0" memberValueDatatype="11" unbalanced="0"/>
    <cacheHierarchy uniqueName="[Table1].[Category and Subcategory]" caption="Category and Subcategory" attribute="1" defaultMemberUniqueName="[Table1].[Category and Subcategory].[All]" allUniqueName="[Table1].[Category and Subcategory].[All]" dimensionUniqueName="[Table1]" displayFolder="" count="0" memberValueDatatype="130" unbalanced="0"/>
    <cacheHierarchy uniqueName="[Table1].[percentage]" caption="percentage" attribute="1" defaultMemberUniqueName="[Table1].[percentage].[All]" allUniqueName="[Table1].[percentage].[All]" dimensionUniqueName="[Table1]" displayFolder="" count="0" memberValueDatatype="20" unbalanced="0"/>
    <cacheHierarchy uniqueName="[Table1].[Average Donation]" caption="Average Donation" attribute="1" defaultMemberUniqueName="[Table1].[Average Donation].[All]" allUniqueName="[Table1].[Average Donation].[All]" dimensionUniqueName="[Table1]" displayFolder="" count="0" memberValueDatatype="130" unbalanced="0"/>
    <cacheHierarchy uniqueName="[Table1].[Parent]" caption="Parent" attribute="1" defaultMemberUniqueName="[Table1].[Parent].[All]" allUniqueName="[Table1].[Parent].[All]" dimensionUniqueName="[Table1]" displayFolder="" count="0" memberValueDatatype="130" unbalanced="0"/>
    <cacheHierarchy uniqueName="[Table1].[Subcategory]" caption="Subcategory" attribute="1" defaultMemberUniqueName="[Table1].[Subcategory].[All]" allUniqueName="[Table1].[Subcategory].[All]" dimensionUniqueName="[Table1]" displayFolder="" count="0" memberValueDatatype="130" unbalanced="0"/>
    <cacheHierarchy uniqueName="[Table1].[Launched]" caption="Launched" attribute="1" time="1" defaultMemberUniqueName="[Table1].[Launched].[All]" allUniqueName="[Table1].[Launched].[All]" dimensionUniqueName="[Table1]" displayFolder="" count="0" memberValueDatatype="7" unbalanced="0"/>
    <cacheHierarchy uniqueName="[Table1].[Date ended]" caption="Date ended" attribute="1" time="1" defaultMemberUniqueName="[Table1].[Date ended].[All]" allUniqueName="[Table1].[Date ended].[All]" dimensionUniqueName="[Table1]" displayFolder="" count="0" memberValueDatatype="7" unbalanced="0"/>
    <cacheHierarchy uniqueName="[Table1].[Launched (Year)]" caption="Launched (Year)" attribute="1" defaultMemberUniqueName="[Table1].[Launched (Year)].[All]" allUniqueName="[Table1].[Launched (Year)].[All]" dimensionUniqueName="[Table1]" displayFolder="" count="0" memberValueDatatype="130" unbalanced="0"/>
    <cacheHierarchy uniqueName="[Table1].[Launched (Quarter)]" caption="Launched (Quarter)" attribute="1" defaultMemberUniqueName="[Table1].[Launched (Quarter)].[All]" allUniqueName="[Table1].[Launched (Quarter)].[All]" dimensionUniqueName="[Table1]" displayFolder="" count="0" memberValueDatatype="130" unbalanced="0"/>
    <cacheHierarchy uniqueName="[Table1].[Launched (Month)]" caption="Launched (Month)" attribute="1" defaultMemberUniqueName="[Table1].[Launched (Month)].[All]" allUniqueName="[Table1].[Launched (Month)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Launched (Month Index)]" caption="Launched (Month Index)" attribute="1" defaultMemberUniqueName="[Table1].[Launched (Month Index)].[All]" allUniqueName="[Table1].[Launched (Month Index)].[All]" dimensionUniqueName="[Table1]" displayFolder="" count="0" memberValueDatatype="20" unbalanced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outcomes]" caption="Count of outcomes" measure="1" displayFolder="" measureGroup="Table1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Launched (Year)]" caption="Count of Launched (Year)" measure="1" displayFolder="" measureGroup="Table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Launched (Month)]" caption="Count of Launched (Month)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Launched (Quarter)]" caption="Count of Launched (Quarter)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Launched]" caption="Count of Launched" measure="1" displayFolder="" measureGroup="Table1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goal]" caption="Sum of goal" measure="1" displayFolder="" measureGroup="Table1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pledged]" caption="Sum of pledged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country]" caption="Count of country" measure="1" displayFolder="" measureGroup="Table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Subcategory]" caption="Count of Subcategory" measure="1" displayFolder="" measureGroup="Table1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backers_count]" caption="Sum of backers_count" measure="1" displayFolder="" measureGroup="Table1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Count of backers_count]" caption="Count of backers_count" measure="1" displayFolder="" measureGroup="Table1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goal]" caption="Average of goal" measure="1" displayFolder="" measureGroup="Table1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ave" refreshedDate="44609.784057986108" createdVersion="5" refreshedVersion="7" minRefreshableVersion="3" recordCount="0" supportSubquery="1" supportAdvancedDrill="1" xr:uid="{D505CE02-0503-41E0-AE1E-4A082D1054D8}">
  <cacheSource type="external" connectionId="1"/>
  <cacheFields count="4">
    <cacheField name="[Measures].[Count of outcomes]" caption="Count of outcomes" numFmtId="0" hierarchy="26" level="32767"/>
    <cacheField name="[Table1].[outcomes].[outcomes]" caption="outcomes" numFmtId="0" hierarchy="5" level="1">
      <sharedItems containsSemiMixedTypes="0" containsNonDate="0" containsString="0"/>
    </cacheField>
    <cacheField name="[Table1].[Parent].[Parent]" caption="Parent" numFmtId="0" hierarchy="16" level="1">
      <sharedItems count="8">
        <s v="film &amp; video"/>
        <s v="food"/>
        <s v="games"/>
        <s v="music"/>
        <s v="photography"/>
        <s v="publishing"/>
        <s v="technology"/>
        <s v="theater"/>
      </sharedItems>
    </cacheField>
    <cacheField name="[Table1].[Launched (Month)].[Launched (Month)]" caption="Launched (Month)" numFmtId="0" hierarchy="22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</cacheFields>
  <cacheHierarchies count="38">
    <cacheHierarchy uniqueName="[Table1].[id]" caption="id" attribute="1" defaultMemberUniqueName="[Table1].[id].[All]" allUniqueName="[Table1].[id].[All]" dimensionUniqueName="[Table1]" displayFolder="" count="0" memberValueDatatype="20" unbalanced="0"/>
    <cacheHierarchy uniqueName="[Table1].[name]" caption="name" attribute="1" defaultMemberUniqueName="[Table1].[name].[All]" allUniqueName="[Table1].[name].[All]" dimensionUniqueName="[Table1]" displayFolder="" count="0" memberValueDatatype="130" unbalanced="0"/>
    <cacheHierarchy uniqueName="[Table1].[blurb]" caption="blurb" attribute="1" defaultMemberUniqueName="[Table1].[blurb].[All]" allUniqueName="[Table1].[blurb].[All]" dimensionUniqueName="[Table1]" displayFolder="" count="0" memberValueDatatype="130" unbalanced="0"/>
    <cacheHierarchy uniqueName="[Table1].[goal]" caption="goal" attribute="1" defaultMemberUniqueName="[Table1].[goal].[All]" allUniqueName="[Table1].[goal].[All]" dimensionUniqueName="[Table1]" displayFolder="" count="0" memberValueDatatype="5" unbalanced="0"/>
    <cacheHierarchy uniqueName="[Table1].[pledged]" caption="pledged" attribute="1" defaultMemberUniqueName="[Table1].[pledged].[All]" allUniqueName="[Table1].[pledged].[All]" dimensionUniqueName="[Table1]" displayFolder="" count="0" memberValueDatatype="5" unbalanced="0"/>
    <cacheHierarchy uniqueName="[Table1].[outcomes]" caption="outcomes" attribute="1" defaultMemberUniqueName="[Table1].[outcomes].[All]" allUniqueName="[Table1].[outcomes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currency]" caption="currency" attribute="1" defaultMemberUniqueName="[Table1].[currency].[All]" allUniqueName="[Table1].[currency].[All]" dimensionUniqueName="[Table1]" displayFolder="" count="0" memberValueDatatype="130" unbalanced="0"/>
    <cacheHierarchy uniqueName="[Table1].[deadline]" caption="deadline" attribute="1" defaultMemberUniqueName="[Table1].[deadline].[All]" allUniqueName="[Table1].[deadline].[All]" dimensionUniqueName="[Table1]" displayFolder="" count="0" memberValueDatatype="20" unbalanced="0"/>
    <cacheHierarchy uniqueName="[Table1].[launched_at]" caption="launched_at" attribute="1" defaultMemberUniqueName="[Table1].[launched_at].[All]" allUniqueName="[Table1].[launched_at].[All]" dimensionUniqueName="[Table1]" displayFolder="" count="0" memberValueDatatype="20" unbalanced="0"/>
    <cacheHierarchy uniqueName="[Table1].[staff_pick]" caption="staff_pick" attribute="1" defaultMemberUniqueName="[Table1].[staff_pick].[All]" allUniqueName="[Table1].[staff_pick].[All]" dimensionUniqueName="[Table1]" displayFolder="" count="0" memberValueDatatype="11" unbalanced="0"/>
    <cacheHierarchy uniqueName="[Table1].[backers_count]" caption="backers_count" attribute="1" defaultMemberUniqueName="[Table1].[backers_count].[All]" allUniqueName="[Table1].[backers_count].[All]" dimensionUniqueName="[Table1]" displayFolder="" count="0" memberValueDatatype="20" unbalanced="0"/>
    <cacheHierarchy uniqueName="[Table1].[spotlight]" caption="spotlight" attribute="1" defaultMemberUniqueName="[Table1].[spotlight].[All]" allUniqueName="[Table1].[spotlight].[All]" dimensionUniqueName="[Table1]" displayFolder="" count="0" memberValueDatatype="11" unbalanced="0"/>
    <cacheHierarchy uniqueName="[Table1].[Category and Subcategory]" caption="Category and Subcategory" attribute="1" defaultMemberUniqueName="[Table1].[Category and Subcategory].[All]" allUniqueName="[Table1].[Category and Subcategory].[All]" dimensionUniqueName="[Table1]" displayFolder="" count="0" memberValueDatatype="130" unbalanced="0"/>
    <cacheHierarchy uniqueName="[Table1].[percentage]" caption="percentage" attribute="1" defaultMemberUniqueName="[Table1].[percentage].[All]" allUniqueName="[Table1].[percentage].[All]" dimensionUniqueName="[Table1]" displayFolder="" count="0" memberValueDatatype="20" unbalanced="0"/>
    <cacheHierarchy uniqueName="[Table1].[Average Donation]" caption="Average Donation" attribute="1" defaultMemberUniqueName="[Table1].[Average Donation].[All]" allUniqueName="[Table1].[Average Donation].[All]" dimensionUniqueName="[Table1]" displayFolder="" count="0" memberValueDatatype="130" unbalanced="0"/>
    <cacheHierarchy uniqueName="[Table1].[Parent]" caption="Parent" attribute="1" defaultMemberUniqueName="[Table1].[Parent].[All]" allUniqueName="[Table1].[Parent].[All]" dimensionUniqueName="[Table1]" displayFolder="" count="2" memberValueDatatype="130" unbalanced="0">
      <fieldsUsage count="2">
        <fieldUsage x="-1"/>
        <fieldUsage x="2"/>
      </fieldsUsage>
    </cacheHierarchy>
    <cacheHierarchy uniqueName="[Table1].[Subcategory]" caption="Subcategory" attribute="1" defaultMemberUniqueName="[Table1].[Subcategory].[All]" allUniqueName="[Table1].[Subcategory].[All]" dimensionUniqueName="[Table1]" displayFolder="" count="0" memberValueDatatype="130" unbalanced="0"/>
    <cacheHierarchy uniqueName="[Table1].[Launched]" caption="Launched" attribute="1" time="1" defaultMemberUniqueName="[Table1].[Launched].[All]" allUniqueName="[Table1].[Launched].[All]" dimensionUniqueName="[Table1]" displayFolder="" count="0" memberValueDatatype="7" unbalanced="0"/>
    <cacheHierarchy uniqueName="[Table1].[Date ended]" caption="Date ended" attribute="1" time="1" defaultMemberUniqueName="[Table1].[Date ended].[All]" allUniqueName="[Table1].[Date ended].[All]" dimensionUniqueName="[Table1]" displayFolder="" count="0" memberValueDatatype="7" unbalanced="0"/>
    <cacheHierarchy uniqueName="[Table1].[Launched (Year)]" caption="Launched (Year)" attribute="1" defaultMemberUniqueName="[Table1].[Launched (Year)].[All]" allUniqueName="[Table1].[Launched (Year)].[All]" dimensionUniqueName="[Table1]" displayFolder="" count="0" memberValueDatatype="130" unbalanced="0"/>
    <cacheHierarchy uniqueName="[Table1].[Launched (Quarter)]" caption="Launched (Quarter)" attribute="1" defaultMemberUniqueName="[Table1].[Launched (Quarter)].[All]" allUniqueName="[Table1].[Launched (Quarter)].[All]" dimensionUniqueName="[Table1]" displayFolder="" count="0" memberValueDatatype="130" unbalanced="0"/>
    <cacheHierarchy uniqueName="[Table1].[Launched (Month)]" caption="Launched (Month)" attribute="1" defaultMemberUniqueName="[Table1].[Launched (Month)].[All]" allUniqueName="[Table1].[Launched (Month)].[All]" dimensionUniqueName="[Table1]" displayFolder="" count="2" memberValueDatatype="130" unbalanced="0">
      <fieldsUsage count="2">
        <fieldUsage x="-1"/>
        <fieldUsage x="3"/>
      </fieldsUsage>
    </cacheHierarchy>
    <cacheHierarchy uniqueName="[Table1].[Launched (Month Index)]" caption="Launched (Month Index)" attribute="1" defaultMemberUniqueName="[Table1].[Launched (Month Index)].[All]" allUniqueName="[Table1].[Launched (Month Index)].[All]" dimensionUniqueName="[Table1]" displayFolder="" count="0" memberValueDatatype="20" unbalanced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outcomes]" caption="Count of outcomes" measure="1" displayFolder="" measureGroup="Tabl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Launched (Year)]" caption="Count of Launched (Year)" measure="1" displayFolder="" measureGroup="Table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Launched (Month)]" caption="Count of Launched (Month)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Launched (Quarter)]" caption="Count of Launched (Quarter)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Launched]" caption="Count of Launched" measure="1" displayFolder="" measureGroup="Table1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goal]" caption="Sum of goal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pledged]" caption="Sum of pledged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country]" caption="Count of country" measure="1" displayFolder="" measureGroup="Table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Subcategory]" caption="Count of Subcategory" measure="1" displayFolder="" measureGroup="Table1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backers_count]" caption="Sum of backers_count" measure="1" displayFolder="" measureGroup="Table1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Count of backers_count]" caption="Count of backers_count" measure="1" displayFolder="" measureGroup="Table1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goal]" caption="Average of goal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ave" refreshedDate="44609.620458564816" createdVersion="5" refreshedVersion="7" minRefreshableVersion="3" recordCount="0" supportSubquery="1" supportAdvancedDrill="1" xr:uid="{E1B16A2F-EFDB-4FE6-AE4D-A53E319F775B}">
  <cacheSource type="external" connectionId="1"/>
  <cacheFields count="3">
    <cacheField name="[Table1].[Launched (Month)].[Launched (Month)]" caption="Launched (Month)" numFmtId="0" hierarchy="22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Table1].[outcomes].[outcomes]" caption="outcomes" numFmtId="0" hierarchy="5" level="1">
      <sharedItems count="4">
        <s v="canceled"/>
        <s v="failed"/>
        <s v="live"/>
        <s v="successful"/>
      </sharedItems>
    </cacheField>
    <cacheField name="[Measures].[Count of outcomes]" caption="Count of outcomes" numFmtId="0" hierarchy="26" level="32767"/>
  </cacheFields>
  <cacheHierarchies count="38">
    <cacheHierarchy uniqueName="[Table1].[id]" caption="id" attribute="1" defaultMemberUniqueName="[Table1].[id].[All]" allUniqueName="[Table1].[id].[All]" dimensionUniqueName="[Table1]" displayFolder="" count="0" memberValueDatatype="20" unbalanced="0"/>
    <cacheHierarchy uniqueName="[Table1].[name]" caption="name" attribute="1" defaultMemberUniqueName="[Table1].[name].[All]" allUniqueName="[Table1].[name].[All]" dimensionUniqueName="[Table1]" displayFolder="" count="0" memberValueDatatype="130" unbalanced="0"/>
    <cacheHierarchy uniqueName="[Table1].[blurb]" caption="blurb" attribute="1" defaultMemberUniqueName="[Table1].[blurb].[All]" allUniqueName="[Table1].[blurb].[All]" dimensionUniqueName="[Table1]" displayFolder="" count="0" memberValueDatatype="130" unbalanced="0"/>
    <cacheHierarchy uniqueName="[Table1].[goal]" caption="goal" attribute="1" defaultMemberUniqueName="[Table1].[goal].[All]" allUniqueName="[Table1].[goal].[All]" dimensionUniqueName="[Table1]" displayFolder="" count="0" memberValueDatatype="5" unbalanced="0"/>
    <cacheHierarchy uniqueName="[Table1].[pledged]" caption="pledged" attribute="1" defaultMemberUniqueName="[Table1].[pledged].[All]" allUniqueName="[Table1].[pledged].[All]" dimensionUniqueName="[Table1]" displayFolder="" count="0" memberValueDatatype="5" unbalanced="0"/>
    <cacheHierarchy uniqueName="[Table1].[outcomes]" caption="outcomes" attribute="1" defaultMemberUniqueName="[Table1].[outcomes].[All]" allUniqueName="[Table1].[outcomes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currency]" caption="currency" attribute="1" defaultMemberUniqueName="[Table1].[currency].[All]" allUniqueName="[Table1].[currency].[All]" dimensionUniqueName="[Table1]" displayFolder="" count="0" memberValueDatatype="130" unbalanced="0"/>
    <cacheHierarchy uniqueName="[Table1].[deadline]" caption="deadline" attribute="1" defaultMemberUniqueName="[Table1].[deadline].[All]" allUniqueName="[Table1].[deadline].[All]" dimensionUniqueName="[Table1]" displayFolder="" count="0" memberValueDatatype="20" unbalanced="0"/>
    <cacheHierarchy uniqueName="[Table1].[launched_at]" caption="launched_at" attribute="1" defaultMemberUniqueName="[Table1].[launched_at].[All]" allUniqueName="[Table1].[launched_at].[All]" dimensionUniqueName="[Table1]" displayFolder="" count="0" memberValueDatatype="20" unbalanced="0"/>
    <cacheHierarchy uniqueName="[Table1].[staff_pick]" caption="staff_pick" attribute="1" defaultMemberUniqueName="[Table1].[staff_pick].[All]" allUniqueName="[Table1].[staff_pick].[All]" dimensionUniqueName="[Table1]" displayFolder="" count="0" memberValueDatatype="11" unbalanced="0"/>
    <cacheHierarchy uniqueName="[Table1].[backers_count]" caption="backers_count" attribute="1" defaultMemberUniqueName="[Table1].[backers_count].[All]" allUniqueName="[Table1].[backers_count].[All]" dimensionUniqueName="[Table1]" displayFolder="" count="0" memberValueDatatype="20" unbalanced="0"/>
    <cacheHierarchy uniqueName="[Table1].[spotlight]" caption="spotlight" attribute="1" defaultMemberUniqueName="[Table1].[spotlight].[All]" allUniqueName="[Table1].[spotlight].[All]" dimensionUniqueName="[Table1]" displayFolder="" count="0" memberValueDatatype="11" unbalanced="0"/>
    <cacheHierarchy uniqueName="[Table1].[Category and Subcategory]" caption="Category and Subcategory" attribute="1" defaultMemberUniqueName="[Table1].[Category and Subcategory].[All]" allUniqueName="[Table1].[Category and Subcategory].[All]" dimensionUniqueName="[Table1]" displayFolder="" count="0" memberValueDatatype="130" unbalanced="0"/>
    <cacheHierarchy uniqueName="[Table1].[percentage]" caption="percentage" attribute="1" defaultMemberUniqueName="[Table1].[percentage].[All]" allUniqueName="[Table1].[percentage].[All]" dimensionUniqueName="[Table1]" displayFolder="" count="0" memberValueDatatype="20" unbalanced="0"/>
    <cacheHierarchy uniqueName="[Table1].[Average Donation]" caption="Average Donation" attribute="1" defaultMemberUniqueName="[Table1].[Average Donation].[All]" allUniqueName="[Table1].[Average Donation].[All]" dimensionUniqueName="[Table1]" displayFolder="" count="0" memberValueDatatype="130" unbalanced="0"/>
    <cacheHierarchy uniqueName="[Table1].[Parent]" caption="Parent" attribute="1" defaultMemberUniqueName="[Table1].[Parent].[All]" allUniqueName="[Table1].[Parent].[All]" dimensionUniqueName="[Table1]" displayFolder="" count="0" memberValueDatatype="130" unbalanced="0"/>
    <cacheHierarchy uniqueName="[Table1].[Subcategory]" caption="Subcategory" attribute="1" defaultMemberUniqueName="[Table1].[Subcategory].[All]" allUniqueName="[Table1].[Subcategory].[All]" dimensionUniqueName="[Table1]" displayFolder="" count="0" memberValueDatatype="130" unbalanced="0"/>
    <cacheHierarchy uniqueName="[Table1].[Launched]" caption="Launched" attribute="1" time="1" defaultMemberUniqueName="[Table1].[Launched].[All]" allUniqueName="[Table1].[Launched].[All]" dimensionUniqueName="[Table1]" displayFolder="" count="0" memberValueDatatype="7" unbalanced="0"/>
    <cacheHierarchy uniqueName="[Table1].[Date ended]" caption="Date ended" attribute="1" time="1" defaultMemberUniqueName="[Table1].[Date ended].[All]" allUniqueName="[Table1].[Date ended].[All]" dimensionUniqueName="[Table1]" displayFolder="" count="0" memberValueDatatype="7" unbalanced="0"/>
    <cacheHierarchy uniqueName="[Table1].[Launched (Year)]" caption="Launched (Year)" attribute="1" defaultMemberUniqueName="[Table1].[Launched (Year)].[All]" allUniqueName="[Table1].[Launched (Year)].[All]" dimensionUniqueName="[Table1]" displayFolder="" count="0" memberValueDatatype="130" unbalanced="0"/>
    <cacheHierarchy uniqueName="[Table1].[Launched (Quarter)]" caption="Launched (Quarter)" attribute="1" defaultMemberUniqueName="[Table1].[Launched (Quarter)].[All]" allUniqueName="[Table1].[Launched (Quarter)].[All]" dimensionUniqueName="[Table1]" displayFolder="" count="0" memberValueDatatype="130" unbalanced="0"/>
    <cacheHierarchy uniqueName="[Table1].[Launched (Month)]" caption="Launched (Month)" attribute="1" defaultMemberUniqueName="[Table1].[Launched (Month)].[All]" allUniqueName="[Table1].[Launched (Month)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Launched (Month Index)]" caption="Launched (Month Index)" attribute="1" defaultMemberUniqueName="[Table1].[Launched (Month Index)].[All]" allUniqueName="[Table1].[Launched (Month Index)].[All]" dimensionUniqueName="[Table1]" displayFolder="" count="0" memberValueDatatype="20" unbalanced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outcomes]" caption="Count of outcomes" measure="1" displayFolder="" measureGroup="Table1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Launched (Year)]" caption="Count of Launched (Year)" measure="1" displayFolder="" measureGroup="Table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Launched (Month)]" caption="Count of Launched (Month)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Launched (Quarter)]" caption="Count of Launched (Quarter)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Launched]" caption="Count of Launched" measure="1" displayFolder="" measureGroup="Table1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goal]" caption="Sum of goal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pledged]" caption="Sum of pledged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country]" caption="Count of country" measure="1" displayFolder="" measureGroup="Table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Subcategory]" caption="Count of Subcategory" measure="1" displayFolder="" measureGroup="Table1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backers_count]" caption="Sum of backers_count" measure="1" displayFolder="" measureGroup="Table1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Count of backers_count]" caption="Count of backers_count" measure="1" displayFolder="" measureGroup="Table1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goal]" caption="Average of goal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ave" refreshedDate="44609.783243865742" createdVersion="5" refreshedVersion="7" minRefreshableVersion="3" recordCount="0" supportSubquery="1" supportAdvancedDrill="1" xr:uid="{0482C409-1C75-4298-8C41-3CBAF65AB87C}">
  <cacheSource type="external" connectionId="1"/>
  <cacheFields count="6">
    <cacheField name="[Measures].[Count of outcomes]" caption="Count of outcomes" numFmtId="0" hierarchy="26" level="32767"/>
    <cacheField name="[Table1].[outcomes].[outcomes]" caption="outcomes" numFmtId="0" hierarchy="5" level="1">
      <sharedItems containsSemiMixedTypes="0" containsNonDate="0" containsString="0"/>
    </cacheField>
    <cacheField name="[Table1].[country].[country]" caption="country" numFmtId="0" hierarchy="6" level="1">
      <sharedItems count="19">
        <s v="US"/>
        <s v="GB"/>
        <s v="CA"/>
        <s v="AU"/>
        <s v="NZ"/>
        <s v="DK"/>
        <s v="NL"/>
        <s v="SE"/>
        <s v="ES"/>
        <s v="FR"/>
        <s v="DE"/>
        <s v="IE"/>
        <s v="IT"/>
        <s v="AT"/>
        <s v="LU"/>
        <s v="NO"/>
        <s v="BE"/>
        <s v="SG"/>
        <s v="CH"/>
      </sharedItems>
    </cacheField>
    <cacheField name="[Measures].[Sum of goal]" caption="Sum of goal" numFmtId="0" hierarchy="31" level="32767"/>
    <cacheField name="[Table1].[Parent].[Parent]" caption="Parent" numFmtId="0" hierarchy="16" level="1">
      <sharedItems count="8">
        <s v="film &amp; video"/>
        <s v="music"/>
        <s v="technology"/>
        <s v="photography"/>
        <s v="publishing"/>
        <s v="theater"/>
        <s v="games"/>
        <s v="food"/>
      </sharedItems>
    </cacheField>
    <cacheField name="[Table1].[Launched (Year)].[Launched (Year)]" caption="Launched (Year)" numFmtId="0" hierarchy="20" level="1">
      <sharedItems count="9">
        <s v="2009"/>
        <s v="2010"/>
        <s v="2011"/>
        <s v="2012"/>
        <s v="2013"/>
        <s v="2014"/>
        <s v="2015"/>
        <s v="2016"/>
        <s v="2017"/>
      </sharedItems>
    </cacheField>
  </cacheFields>
  <cacheHierarchies count="38">
    <cacheHierarchy uniqueName="[Table1].[id]" caption="id" attribute="1" defaultMemberUniqueName="[Table1].[id].[All]" allUniqueName="[Table1].[id].[All]" dimensionUniqueName="[Table1]" displayFolder="" count="0" memberValueDatatype="20" unbalanced="0"/>
    <cacheHierarchy uniqueName="[Table1].[name]" caption="name" attribute="1" defaultMemberUniqueName="[Table1].[name].[All]" allUniqueName="[Table1].[name].[All]" dimensionUniqueName="[Table1]" displayFolder="" count="0" memberValueDatatype="130" unbalanced="0"/>
    <cacheHierarchy uniqueName="[Table1].[blurb]" caption="blurb" attribute="1" defaultMemberUniqueName="[Table1].[blurb].[All]" allUniqueName="[Table1].[blurb].[All]" dimensionUniqueName="[Table1]" displayFolder="" count="0" memberValueDatatype="130" unbalanced="0"/>
    <cacheHierarchy uniqueName="[Table1].[goal]" caption="goal" attribute="1" defaultMemberUniqueName="[Table1].[goal].[All]" allUniqueName="[Table1].[goal].[All]" dimensionUniqueName="[Table1]" displayFolder="" count="0" memberValueDatatype="5" unbalanced="0"/>
    <cacheHierarchy uniqueName="[Table1].[pledged]" caption="pledged" attribute="1" defaultMemberUniqueName="[Table1].[pledged].[All]" allUniqueName="[Table1].[pledged].[All]" dimensionUniqueName="[Table1]" displayFolder="" count="0" memberValueDatatype="5" unbalanced="0"/>
    <cacheHierarchy uniqueName="[Table1].[outcomes]" caption="outcomes" attribute="1" defaultMemberUniqueName="[Table1].[outcomes].[All]" allUniqueName="[Table1].[outcomes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country]" caption="country" attribute="1" defaultMemberUniqueName="[Table1].[country].[All]" allUniqueName="[Table1].[country].[All]" dimensionUniqueName="[Table1]" displayFolder="" count="2" memberValueDatatype="130" unbalanced="0">
      <fieldsUsage count="2">
        <fieldUsage x="-1"/>
        <fieldUsage x="2"/>
      </fieldsUsage>
    </cacheHierarchy>
    <cacheHierarchy uniqueName="[Table1].[currency]" caption="currency" attribute="1" defaultMemberUniqueName="[Table1].[currency].[All]" allUniqueName="[Table1].[currency].[All]" dimensionUniqueName="[Table1]" displayFolder="" count="0" memberValueDatatype="130" unbalanced="0"/>
    <cacheHierarchy uniqueName="[Table1].[deadline]" caption="deadline" attribute="1" defaultMemberUniqueName="[Table1].[deadline].[All]" allUniqueName="[Table1].[deadline].[All]" dimensionUniqueName="[Table1]" displayFolder="" count="0" memberValueDatatype="20" unbalanced="0"/>
    <cacheHierarchy uniqueName="[Table1].[launched_at]" caption="launched_at" attribute="1" defaultMemberUniqueName="[Table1].[launched_at].[All]" allUniqueName="[Table1].[launched_at].[All]" dimensionUniqueName="[Table1]" displayFolder="" count="0" memberValueDatatype="20" unbalanced="0"/>
    <cacheHierarchy uniqueName="[Table1].[staff_pick]" caption="staff_pick" attribute="1" defaultMemberUniqueName="[Table1].[staff_pick].[All]" allUniqueName="[Table1].[staff_pick].[All]" dimensionUniqueName="[Table1]" displayFolder="" count="0" memberValueDatatype="11" unbalanced="0"/>
    <cacheHierarchy uniqueName="[Table1].[backers_count]" caption="backers_count" attribute="1" defaultMemberUniqueName="[Table1].[backers_count].[All]" allUniqueName="[Table1].[backers_count].[All]" dimensionUniqueName="[Table1]" displayFolder="" count="0" memberValueDatatype="20" unbalanced="0"/>
    <cacheHierarchy uniqueName="[Table1].[spotlight]" caption="spotlight" attribute="1" defaultMemberUniqueName="[Table1].[spotlight].[All]" allUniqueName="[Table1].[spotlight].[All]" dimensionUniqueName="[Table1]" displayFolder="" count="0" memberValueDatatype="11" unbalanced="0"/>
    <cacheHierarchy uniqueName="[Table1].[Category and Subcategory]" caption="Category and Subcategory" attribute="1" defaultMemberUniqueName="[Table1].[Category and Subcategory].[All]" allUniqueName="[Table1].[Category and Subcategory].[All]" dimensionUniqueName="[Table1]" displayFolder="" count="0" memberValueDatatype="130" unbalanced="0"/>
    <cacheHierarchy uniqueName="[Table1].[percentage]" caption="percentage" attribute="1" defaultMemberUniqueName="[Table1].[percentage].[All]" allUniqueName="[Table1].[percentage].[All]" dimensionUniqueName="[Table1]" displayFolder="" count="0" memberValueDatatype="20" unbalanced="0"/>
    <cacheHierarchy uniqueName="[Table1].[Average Donation]" caption="Average Donation" attribute="1" defaultMemberUniqueName="[Table1].[Average Donation].[All]" allUniqueName="[Table1].[Average Donation].[All]" dimensionUniqueName="[Table1]" displayFolder="" count="0" memberValueDatatype="130" unbalanced="0"/>
    <cacheHierarchy uniqueName="[Table1].[Parent]" caption="Parent" attribute="1" defaultMemberUniqueName="[Table1].[Parent].[All]" allUniqueName="[Table1].[Parent].[All]" dimensionUniqueName="[Table1]" displayFolder="" count="2" memberValueDatatype="130" unbalanced="0">
      <fieldsUsage count="2">
        <fieldUsage x="-1"/>
        <fieldUsage x="4"/>
      </fieldsUsage>
    </cacheHierarchy>
    <cacheHierarchy uniqueName="[Table1].[Subcategory]" caption="Subcategory" attribute="1" defaultMemberUniqueName="[Table1].[Subcategory].[All]" allUniqueName="[Table1].[Subcategory].[All]" dimensionUniqueName="[Table1]" displayFolder="" count="0" memberValueDatatype="130" unbalanced="0"/>
    <cacheHierarchy uniqueName="[Table1].[Launched]" caption="Launched" attribute="1" time="1" defaultMemberUniqueName="[Table1].[Launched].[All]" allUniqueName="[Table1].[Launched].[All]" dimensionUniqueName="[Table1]" displayFolder="" count="0" memberValueDatatype="7" unbalanced="0"/>
    <cacheHierarchy uniqueName="[Table1].[Date ended]" caption="Date ended" attribute="1" time="1" defaultMemberUniqueName="[Table1].[Date ended].[All]" allUniqueName="[Table1].[Date ended].[All]" dimensionUniqueName="[Table1]" displayFolder="" count="0" memberValueDatatype="7" unbalanced="0"/>
    <cacheHierarchy uniqueName="[Table1].[Launched (Year)]" caption="Launched (Year)" attribute="1" defaultMemberUniqueName="[Table1].[Launched (Year)].[All]" allUniqueName="[Table1].[Launched (Year)].[All]" dimensionUniqueName="[Table1]" displayFolder="" count="2" memberValueDatatype="130" unbalanced="0">
      <fieldsUsage count="2">
        <fieldUsage x="-1"/>
        <fieldUsage x="5"/>
      </fieldsUsage>
    </cacheHierarchy>
    <cacheHierarchy uniqueName="[Table1].[Launched (Quarter)]" caption="Launched (Quarter)" attribute="1" defaultMemberUniqueName="[Table1].[Launched (Quarter)].[All]" allUniqueName="[Table1].[Launched (Quarter)].[All]" dimensionUniqueName="[Table1]" displayFolder="" count="0" memberValueDatatype="130" unbalanced="0"/>
    <cacheHierarchy uniqueName="[Table1].[Launched (Month)]" caption="Launched (Month)" attribute="1" defaultMemberUniqueName="[Table1].[Launched (Month)].[All]" allUniqueName="[Table1].[Launched (Month)].[All]" dimensionUniqueName="[Table1]" displayFolder="" count="0" memberValueDatatype="130" unbalanced="0"/>
    <cacheHierarchy uniqueName="[Table1].[Launched (Month Index)]" caption="Launched (Month Index)" attribute="1" defaultMemberUniqueName="[Table1].[Launched (Month Index)].[All]" allUniqueName="[Table1].[Launched (Month Index)].[All]" dimensionUniqueName="[Table1]" displayFolder="" count="0" memberValueDatatype="20" unbalanced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outcomes]" caption="Count of outcomes" measure="1" displayFolder="" measureGroup="Tabl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Launched (Year)]" caption="Count of Launched (Year)" measure="1" displayFolder="" measureGroup="Table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Launched (Month)]" caption="Count of Launched (Month)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Launched (Quarter)]" caption="Count of Launched (Quarter)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Launched]" caption="Count of Launched" measure="1" displayFolder="" measureGroup="Table1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goal]" caption="Sum of goal" measure="1" displayFolder="" measureGroup="Table1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pledged]" caption="Sum of pledged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country]" caption="Count of country" measure="1" displayFolder="" measureGroup="Table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Subcategory]" caption="Count of Subcategory" measure="1" displayFolder="" measureGroup="Table1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backers_count]" caption="Sum of backers_count" measure="1" displayFolder="" measureGroup="Table1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Count of backers_count]" caption="Count of backers_count" measure="1" displayFolder="" measureGroup="Table1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goal]" caption="Average of goal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ave" refreshedDate="44609.789324652775" createdVersion="5" refreshedVersion="7" minRefreshableVersion="3" recordCount="0" supportSubquery="1" supportAdvancedDrill="1" xr:uid="{6BF75D1A-F87C-41BD-9E5D-BA57563D165C}">
  <cacheSource type="external" connectionId="1"/>
  <cacheFields count="4">
    <cacheField name="[Table1].[outcomes].[outcomes]" caption="outcomes" numFmtId="0" hierarchy="5" level="1">
      <sharedItems containsSemiMixedTypes="0" containsNonDate="0" containsString="0"/>
    </cacheField>
    <cacheField name="[Table1].[Subcategory].[Subcategory]" caption="Subcategory" numFmtId="0" hierarchy="17" level="1">
      <sharedItems count="18">
        <s v="classical music"/>
        <s v="documentary"/>
        <s v="electronic music"/>
        <s v="hardware"/>
        <s v="indie rock"/>
        <s v="metal"/>
        <s v="musical"/>
        <s v="nonfiction"/>
        <s v="photobooks"/>
        <s v="plays"/>
        <s v="pop"/>
        <s v="rock"/>
        <s v="shorts"/>
        <s v="small batch"/>
        <s v="space exploration"/>
        <s v="spaces"/>
        <s v="tabletop games"/>
        <s v="television"/>
      </sharedItems>
    </cacheField>
    <cacheField name="[Measures].[Count of Subcategory]" caption="Count of Subcategory" numFmtId="0" hierarchy="34" level="32767"/>
    <cacheField name="[Table1].[Launched (Month)].[Launched (Month)]" caption="Launched (Month)" numFmtId="0" hierarchy="22" level="1">
      <sharedItems count="12">
        <s v="May"/>
        <s v="Jan" u="1"/>
        <s v="Feb" u="1"/>
        <s v="Mar" u="1"/>
        <s v="Apr" u="1"/>
        <s v="Jun" u="1"/>
        <s v="Jul" u="1"/>
        <s v="Aug" u="1"/>
        <s v="Sep" u="1"/>
        <s v="Oct" u="1"/>
        <s v="Nov" u="1"/>
        <s v="Dec" u="1"/>
      </sharedItems>
    </cacheField>
  </cacheFields>
  <cacheHierarchies count="38">
    <cacheHierarchy uniqueName="[Table1].[id]" caption="id" attribute="1" defaultMemberUniqueName="[Table1].[id].[All]" allUniqueName="[Table1].[id].[All]" dimensionUniqueName="[Table1]" displayFolder="" count="0" memberValueDatatype="20" unbalanced="0"/>
    <cacheHierarchy uniqueName="[Table1].[name]" caption="name" attribute="1" defaultMemberUniqueName="[Table1].[name].[All]" allUniqueName="[Table1].[name].[All]" dimensionUniqueName="[Table1]" displayFolder="" count="0" memberValueDatatype="130" unbalanced="0"/>
    <cacheHierarchy uniqueName="[Table1].[blurb]" caption="blurb" attribute="1" defaultMemberUniqueName="[Table1].[blurb].[All]" allUniqueName="[Table1].[blurb].[All]" dimensionUniqueName="[Table1]" displayFolder="" count="0" memberValueDatatype="130" unbalanced="0"/>
    <cacheHierarchy uniqueName="[Table1].[goal]" caption="goal" attribute="1" defaultMemberUniqueName="[Table1].[goal].[All]" allUniqueName="[Table1].[goal].[All]" dimensionUniqueName="[Table1]" displayFolder="" count="0" memberValueDatatype="5" unbalanced="0"/>
    <cacheHierarchy uniqueName="[Table1].[pledged]" caption="pledged" attribute="1" defaultMemberUniqueName="[Table1].[pledged].[All]" allUniqueName="[Table1].[pledged].[All]" dimensionUniqueName="[Table1]" displayFolder="" count="0" memberValueDatatype="5" unbalanced="0"/>
    <cacheHierarchy uniqueName="[Table1].[outcomes]" caption="outcomes" attribute="1" defaultMemberUniqueName="[Table1].[outcomes].[All]" allUniqueName="[Table1].[outcomes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currency]" caption="currency" attribute="1" defaultMemberUniqueName="[Table1].[currency].[All]" allUniqueName="[Table1].[currency].[All]" dimensionUniqueName="[Table1]" displayFolder="" count="0" memberValueDatatype="130" unbalanced="0"/>
    <cacheHierarchy uniqueName="[Table1].[deadline]" caption="deadline" attribute="1" defaultMemberUniqueName="[Table1].[deadline].[All]" allUniqueName="[Table1].[deadline].[All]" dimensionUniqueName="[Table1]" displayFolder="" count="0" memberValueDatatype="20" unbalanced="0"/>
    <cacheHierarchy uniqueName="[Table1].[launched_at]" caption="launched_at" attribute="1" defaultMemberUniqueName="[Table1].[launched_at].[All]" allUniqueName="[Table1].[launched_at].[All]" dimensionUniqueName="[Table1]" displayFolder="" count="0" memberValueDatatype="20" unbalanced="0"/>
    <cacheHierarchy uniqueName="[Table1].[staff_pick]" caption="staff_pick" attribute="1" defaultMemberUniqueName="[Table1].[staff_pick].[All]" allUniqueName="[Table1].[staff_pick].[All]" dimensionUniqueName="[Table1]" displayFolder="" count="0" memberValueDatatype="11" unbalanced="0"/>
    <cacheHierarchy uniqueName="[Table1].[backers_count]" caption="backers_count" attribute="1" defaultMemberUniqueName="[Table1].[backers_count].[All]" allUniqueName="[Table1].[backers_count].[All]" dimensionUniqueName="[Table1]" displayFolder="" count="0" memberValueDatatype="20" unbalanced="0"/>
    <cacheHierarchy uniqueName="[Table1].[spotlight]" caption="spotlight" attribute="1" defaultMemberUniqueName="[Table1].[spotlight].[All]" allUniqueName="[Table1].[spotlight].[All]" dimensionUniqueName="[Table1]" displayFolder="" count="0" memberValueDatatype="11" unbalanced="0"/>
    <cacheHierarchy uniqueName="[Table1].[Category and Subcategory]" caption="Category and Subcategory" attribute="1" defaultMemberUniqueName="[Table1].[Category and Subcategory].[All]" allUniqueName="[Table1].[Category and Subcategory].[All]" dimensionUniqueName="[Table1]" displayFolder="" count="0" memberValueDatatype="130" unbalanced="0"/>
    <cacheHierarchy uniqueName="[Table1].[percentage]" caption="percentage" attribute="1" defaultMemberUniqueName="[Table1].[percentage].[All]" allUniqueName="[Table1].[percentage].[All]" dimensionUniqueName="[Table1]" displayFolder="" count="0" memberValueDatatype="20" unbalanced="0"/>
    <cacheHierarchy uniqueName="[Table1].[Average Donation]" caption="Average Donation" attribute="1" defaultMemberUniqueName="[Table1].[Average Donation].[All]" allUniqueName="[Table1].[Average Donation].[All]" dimensionUniqueName="[Table1]" displayFolder="" count="0" memberValueDatatype="130" unbalanced="0"/>
    <cacheHierarchy uniqueName="[Table1].[Parent]" caption="Parent" attribute="1" defaultMemberUniqueName="[Table1].[Parent].[All]" allUniqueName="[Table1].[Parent].[All]" dimensionUniqueName="[Table1]" displayFolder="" count="0" memberValueDatatype="130" unbalanced="0"/>
    <cacheHierarchy uniqueName="[Table1].[Subcategory]" caption="Subcategory" attribute="1" defaultMemberUniqueName="[Table1].[Subcategory].[All]" allUniqueName="[Table1].[Subcategory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Launched]" caption="Launched" attribute="1" time="1" defaultMemberUniqueName="[Table1].[Launched].[All]" allUniqueName="[Table1].[Launched].[All]" dimensionUniqueName="[Table1]" displayFolder="" count="0" memberValueDatatype="7" unbalanced="0"/>
    <cacheHierarchy uniqueName="[Table1].[Date ended]" caption="Date ended" attribute="1" time="1" defaultMemberUniqueName="[Table1].[Date ended].[All]" allUniqueName="[Table1].[Date ended].[All]" dimensionUniqueName="[Table1]" displayFolder="" count="0" memberValueDatatype="7" unbalanced="0"/>
    <cacheHierarchy uniqueName="[Table1].[Launched (Year)]" caption="Launched (Year)" attribute="1" defaultMemberUniqueName="[Table1].[Launched (Year)].[All]" allUniqueName="[Table1].[Launched (Year)].[All]" dimensionUniqueName="[Table1]" displayFolder="" count="0" memberValueDatatype="130" unbalanced="0"/>
    <cacheHierarchy uniqueName="[Table1].[Launched (Quarter)]" caption="Launched (Quarter)" attribute="1" defaultMemberUniqueName="[Table1].[Launched (Quarter)].[All]" allUniqueName="[Table1].[Launched (Quarter)].[All]" dimensionUniqueName="[Table1]" displayFolder="" count="0" memberValueDatatype="130" unbalanced="0"/>
    <cacheHierarchy uniqueName="[Table1].[Launched (Month)]" caption="Launched (Month)" attribute="1" defaultMemberUniqueName="[Table1].[Launched (Month)].[All]" allUniqueName="[Table1].[Launched (Month)].[All]" dimensionUniqueName="[Table1]" displayFolder="" count="2" memberValueDatatype="130" unbalanced="0">
      <fieldsUsage count="2">
        <fieldUsage x="-1"/>
        <fieldUsage x="3"/>
      </fieldsUsage>
    </cacheHierarchy>
    <cacheHierarchy uniqueName="[Table1].[Launched (Month Index)]" caption="Launched (Month Index)" attribute="1" defaultMemberUniqueName="[Table1].[Launched (Month Index)].[All]" allUniqueName="[Table1].[Launched (Month Index)].[All]" dimensionUniqueName="[Table1]" displayFolder="" count="0" memberValueDatatype="20" unbalanced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outcomes]" caption="Count of outcomes" measure="1" displayFolder="" measureGroup="Table1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Launched (Year)]" caption="Count of Launched (Year)" measure="1" displayFolder="" measureGroup="Table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Launched (Month)]" caption="Count of Launched (Month)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Launched (Quarter)]" caption="Count of Launched (Quarter)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Launched]" caption="Count of Launched" measure="1" displayFolder="" measureGroup="Table1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goal]" caption="Sum of goal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pledged]" caption="Sum of pledged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country]" caption="Count of country" measure="1" displayFolder="" measureGroup="Table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Subcategory]" caption="Count of Subcategory" measure="1" displayFolder="" measureGroup="Table1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backers_count]" caption="Sum of backers_count" measure="1" displayFolder="" measureGroup="Table1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Count of backers_count]" caption="Count of backers_count" measure="1" displayFolder="" measureGroup="Table1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goal]" caption="Average of goal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saveData="0" refreshedBy="Dave" refreshedDate="44612.286152083332" createdVersion="3" refreshedVersion="7" minRefreshableVersion="3" recordCount="0" tupleCache="1" supportSubquery="1" supportAdvancedDrill="1" xr:uid="{D9610A12-0964-4CCB-A148-784DC92E9CF0}">
  <cacheSource type="external" connectionId="1"/>
  <cacheFields count="3">
    <cacheField name="[Table1].[goal].[goal]" caption="goal" numFmtId="0" hierarchy="4" level="1">
      <sharedItems count="445">
        <s v="[Table1].[goal].&amp;[1.04219E5]" c="104219"/>
        <s v="[Table1].[goal].&amp;[8.88E3]" c="8880"/>
        <s v="[Table1].[goal].&amp;[2.]" c="2"/>
        <s v="[Table1].[goal].&amp;[1.98E4]" c="19800"/>
        <s v="[Table1].[goal].&amp;[5.875E3]" c="5875"/>
        <s v="[Table1].[goal].&amp;[1.96E3]" c="1960"/>
        <s v="[Table1].[goal].&amp;[1.1E2]" c="110"/>
        <s v="[Table1].[goal].&amp;[8.E5]" c="800000"/>
        <s v="[Table1].[goal].&amp;[2.75E4]" c="27500"/>
        <s v="[Table1].[goal].&amp;[2.885E3]" c="2885"/>
        <s v="[Table1].[goal].&amp;[4.35E4]" c="43500"/>
        <s v="[Table1].[goal].&amp;[9.85E3]" c="9850"/>
        <s v="[Table1].[goal].&amp;[3.35E3]" c="3350"/>
        <s v="[Table1].[goal].&amp;[7.73E2]" c="773"/>
        <s v="[Table1].[goal].&amp;[9.5E4]" c="95000"/>
        <s v="[Table1].[goal].&amp;[7.175E3]" c="7175"/>
        <s v="[Table1].[goal].&amp;[2.61962E5]" c="261962"/>
        <s v="[Table1].[goal].&amp;[1.88E4]" c="18800"/>
        <s v="[Table1].[goal].&amp;[5.55555E3]" c="5555.55"/>
        <s v="[Table1].[goal].&amp;[1.75E3]" c="1750"/>
        <s v="[Table1].[goal].&amp;[8.E1]" c="80"/>
        <s v="[Table1].[goal].&amp;[6.5108E4]" c="65108"/>
        <s v="[Table1].[goal].&amp;[4.95E3]" c="4950"/>
        <s v="[Table1].[goal].&amp;[3.3E4]" c="33000"/>
        <s v="[Table1].[goal].&amp;[5.8425E4]" c="58425"/>
        <s v="[Table1].[goal].&amp;[6.E3]" c="6000"/>
        <s v="[Table1].[goal].&amp;[7.E2]" c="700"/>
        <s v="[Table1].[goal].&amp;[9.9E4]" c="99000"/>
        <s v="[Table1].[goal].&amp;[4.E5]" c="400000"/>
        <s v="[Table1].[goal].&amp;[9.E3]" c="9000"/>
        <s v="[Table1].[goal].&amp;[1.395E3]" c="1395"/>
        <s v="[Table1].[goal].&amp;[4.8725E4]" c="48725"/>
        <s v="[Table1].[goal].&amp;[8.92E4]" c="89200"/>
        <s v="[Table1].[goal].&amp;[7.214E3]" c="7214"/>
        <s v="[Table1].[goal].&amp;[9.3E2]" c="930"/>
        <s v="[Table1].[goal].&amp;[1.998E4]" c="19980"/>
        <s v="[Table1].[goal].&amp;[4.7E4]" c="47000"/>
        <s v="[Table1].[goal].&amp;[5.494E3]" c="5494"/>
        <s v="[Table1].[goal].&amp;[5.5E2]" c="550"/>
        <s v="[Table1].[goal].&amp;[1.338E5]" c="133800"/>
        <s v="[Table1].[goal].&amp;[5.16E2]" c="516"/>
        <s v="[Table1].[goal].&amp;[1.005E4]" c="10050"/>
        <s v="[Table1].[goal].&amp;[1.6E3]" c="1600"/>
        <s v="[Table1].[goal].&amp;[1.3E5]" c="130000"/>
        <s v="[Table1].[goal].&amp;[5.12E2]" c="512"/>
        <s v="[Table1].[goal].&amp;[9.999E3]" c="9999"/>
        <s v="[Table1].[goal].&amp;[1.57079E3]" c="1570.79"/>
        <s v="[Table1].[goal].&amp;[7.1764E4]" c="71764"/>
        <s v="[Table1].[goal].&amp;[1.5E5]" c="150000"/>
        <s v="[Table1].[goal].&amp;[8.012E3]" c="8012"/>
        <s v="[Table1].[goal].&amp;[1.1E3]" c="1100"/>
        <s v="[Table1].[goal].&amp;[1.E6]" c="1000000"/>
        <s v="[Table1].[goal].&amp;[3.255E3]" c="3255"/>
        <s v="[Table1].[goal].&amp;[1.6E4]" c="16000"/>
        <s v="[Table1].[goal].&amp;[2.56E3]" c="2560"/>
        <s v="[Table1].[goal].&amp;[8.8E4]" c="88000"/>
        <s v="[Table1].[goal].&amp;[5.845E3]" c="5845"/>
        <s v="[Table1].[goal].&amp;[1.6E5]" c="160000"/>
        <s v="[Table1].[goal].&amp;[1.7E4]" c="17000"/>
        <s v="[Table1].[goal].&amp;[5.E3]" c="5000"/>
        <s v="[Table1].[goal].&amp;[1.57E3]" c="1570"/>
        <s v="[Table1].[goal].&amp;[1.3E1]" c="13"/>
        <s v="[Table1].[goal].&amp;[3.8E5]" c="380000"/>
        <s v="[Table1].[goal].&amp;[1.71E4]" c="17100"/>
        <s v="[Table1].[goal].&amp;[1.897E3]" c="1897"/>
        <s v="[Table1].[goal].&amp;[3.35E4]" c="33500"/>
        <s v="[Table1].[goal].&amp;[8.6E3]" c="8600"/>
        <s v="[Table1].[goal].&amp;[2.827E3]" c="2827"/>
        <s v="[Table1].[goal].&amp;[6.2E2]" c="620"/>
        <s v="[Table1].[goal].&amp;[7.4997E4]" c="74997"/>
        <s v="[Table1].[goal].&amp;[5.105E3]" c="5105"/>
        <s v="[Table1].[goal].&amp;[1.25E5]" c="125000"/>
        <s v="[Table1].[goal].&amp;[1.63E4]" c="16300"/>
        <s v="[Table1].[goal].&amp;[4.8E3]" c="4800"/>
        <s v="[Table1].[goal].&amp;[1.5E3]" c="1500"/>
        <s v="[Table1].[goal].&amp;[1.]" c="1"/>
        <s v="[Table1].[goal].&amp;[5.E6]" c="5000000"/>
        <s v="[Table1].[goal].&amp;[4.85E4]" c="48500"/>
        <s v="[Table1].[goal].&amp;[3.87E3]" c="3870"/>
        <s v="[Table1].[goal].&amp;[1.3803E4]" c="13803"/>
        <s v="[Table1].[goal].&amp;[3.75E4]" c="37500"/>
        <s v="[Table1].[goal].&amp;[4.6E3]" c="4600"/>
        <s v="[Table1].[goal].&amp;[3.5E2]" c="350"/>
        <s v="[Table1].[goal].&amp;[5.4E4]" c="54000"/>
        <s v="[Table1].[goal].&amp;[9.8E4]" c="98000"/>
        <s v="[Table1].[goal].&amp;[7.5E3]" c="7500"/>
        <s v="[Table1].[goal].&amp;[9.6E2]" c="960"/>
        <s v="[Table1].[goal].&amp;[2.39E4]" c="23900"/>
        <s v="[Table1].[goal].&amp;[4.8E4]" c="48000"/>
        <s v="[Table1].[goal].&amp;[5.5E3]" c="5500"/>
        <s v="[Table1].[goal].&amp;[6.5E2]" c="650"/>
        <s v="[Table1].[goal].&amp;[1.1999E4]" c="11999"/>
        <s v="[Table1].[goal].&amp;[3.236E4]" c="32360"/>
        <s v="[Table1].[goal].&amp;[4.444E3]" c="4444"/>
        <s v="[Table1].[goal].&amp;[3.15E2]" c="315"/>
        <s v="[Table1].[goal].&amp;[8.8888E4]" c="88888"/>
        <s v="[Table1].[goal].&amp;[1.98E5]" c="198000"/>
        <s v="[Table1].[goal].&amp;[8.3E3]" c="8300"/>
        <s v="[Table1].[goal].&amp;[1.2E3]" c="1200"/>
        <s v="[Table1].[goal].&amp;[8.635E4]" c="86350"/>
        <s v="[Table1].[goal].&amp;[1.79E5]" c="179000"/>
        <s v="[Table1].[goal].&amp;[8.2E3]" c="8200"/>
        <s v="[Table1].[goal].&amp;[1.15E3]" c="1150"/>
        <s v="[Table1].[goal].&amp;[3.7956E4]" c="37956"/>
        <s v="[Table1].[goal].&amp;[6.8E4]" c="68000"/>
        <s v="[Table1].[goal].&amp;[6.45E3]" c="6450"/>
        <s v="[Table1].[goal].&amp;[7.45E2]" c="745"/>
        <s v="[Table1].[goal].&amp;[3.2E5]" c="320000"/>
        <s v="[Table1].[goal].&amp;[1.01E3]" c="1010"/>
        <s v="[Table1].[goal].&amp;[1.2E4]" c="12000"/>
        <s v="[Table1].[goal].&amp;[2.E3]" c="2000"/>
        <s v="[Table1].[goal].&amp;[3.E7]" c="30000000"/>
        <s v="[Table1].[goal].&amp;[5.565E4]" c="55650"/>
        <s v="[Table1].[goal].&amp;[4.29E3]" c="4290"/>
        <s v="[Table1].[goal].&amp;[8.5E4]" c="85000"/>
        <s v="[Table1].[goal].&amp;[1.4E4]" c="14000"/>
        <s v="[Table1].[goal].&amp;[4.5E3]" c="4500"/>
        <s v="[Table1].[goal].&amp;[1.35E3]" c="1350"/>
        <s v="[Table1].[goal].&amp;[2.2E5]" c="220000"/>
        <s v="[Table1].[goal].&amp;[1.2999E4]" c="12999"/>
        <s v="[Table1].[goal].&amp;[6.78E2]" c="678"/>
        <s v="[Table1].[goal].&amp;[2.8E4]" c="28000"/>
        <s v="[Table1].[goal].&amp;[7.777E3]" c="7777"/>
        <s v="[Table1].[goal].&amp;[2.55E3]" c="2550"/>
        <s v="[Table1].[goal].&amp;[4.2E2]" c="420"/>
        <s v="[Table1].[goal].&amp;[8.E6]" c="8000000"/>
        <s v="[Table1].[goal].&amp;[4.9E4]" c="49000"/>
        <s v="[Table1].[goal].&amp;[4.059E3]" c="4059"/>
        <s v="[Table1].[goal].&amp;[7.5E4]" c="75000"/>
        <s v="[Table1].[goal].&amp;[1.2516E4]" c="12516"/>
        <s v="[Table1].[goal].&amp;[4.3E3]" c="4300"/>
        <s v="[Table1].[goal].&amp;[1.25E3]" c="1250"/>
        <s v="[Table1].[goal].&amp;[1.3E6]" c="1300000"/>
        <s v="[Table1].[goal].&amp;[3.7E4]" c="37000"/>
        <s v="[Table1].[goal].&amp;[3.265E3]" c="3265"/>
        <s v="[Table1].[goal].&amp;[8.888E3]" c="8888"/>
        <s v="[Table1].[goal].&amp;[2.7E4]" c="27000"/>
        <s v="[Table1].[goal].&amp;[3.871E3]" c="3871"/>
        <s v="[Table1].[goal].&amp;[1.25E2]" c="125"/>
        <s v="[Table1].[goal].&amp;[2.9E4]" c="29000"/>
        <s v="[Table1].[goal].&amp;[5.E4]" c="50000"/>
        <s v="[Table1].[goal].&amp;[5.862E3]" c="5862"/>
        <s v="[Table1].[goal].&amp;[6.75E2]" c="675"/>
        <s v="[Table1].[goal].&amp;[1.21E4]" c="12100"/>
        <s v="[Table1].[goal].&amp;[3.4E4]" c="34000"/>
        <s v="[Table1].[goal].&amp;[4.575E3]" c="4575"/>
        <s v="[Table1].[goal].&amp;[3.33E2]" c="333"/>
        <s v="[Table1].[goal].&amp;[6.048E3]" c="6048"/>
        <s v="[Table1].[goal].&amp;[2.5E4]" c="25000"/>
        <s v="[Table1].[goal].&amp;[3.6E3]" c="3600"/>
        <s v="[Table1].[goal].&amp;[5.E1]" c="50"/>
        <s v="[Table1].[goal].&amp;[4.285E4]" c="42850"/>
        <s v="[Table1].[goal].&amp;[7.15E4]" c="71500"/>
        <s v="[Table1].[goal].&amp;[6.999E3]" c="6999"/>
        <s v="[Table1].[goal].&amp;[8.5E2]" c="850"/>
        <s v="[Table1].[goal].&amp;[3.94E4]" c="39400"/>
        <s v="[Table1].[goal].&amp;[7.E4]" c="70000"/>
        <s v="[Table1].[goal].&amp;[6.5E3]" c="6500"/>
        <s v="[Table1].[goal].&amp;[8.E2]" c="800"/>
        <s v="[Table1].[goal].&amp;[1.65E4]" c="16500"/>
        <s v="[Table1].[goal].&amp;[4.E4]" c="40000"/>
        <s v="[Table1].[goal].&amp;[4.999E3]" c="4999"/>
        <s v="[Table1].[goal].&amp;[4.8E2]" c="480"/>
        <s v="[Table1].[goal].&amp;[1.1E5]" c="110000"/>
        <s v="[Table1].[goal].&amp;[6.E1]" c="60"/>
        <s v="[Table1].[goal].&amp;[9.5E3]" c="9500"/>
        <s v="[Table1].[goal].&amp;[1.45E3]" c="1450"/>
        <s v="[Table1].[goal].&amp;[2.5E6]" c="2500000"/>
        <s v="[Table1].[goal].&amp;[4.25E4]" c="42500"/>
        <s v="[Table1].[goal].&amp;[3.55E3]" c="3550"/>
        <s v="[Table1].[goal].&amp;[6.E4]" c="60000"/>
        <s v="[Table1].[goal].&amp;[1.1737E4]" c="11737"/>
        <s v="[Table1].[goal].&amp;[3.91E3]" c="3910"/>
        <s v="[Table1].[goal].&amp;[1.05E3]" c="1050"/>
        <s v="[Table1].[goal].&amp;[1.24E5]" c="124000"/>
        <s v="[Table1].[goal].&amp;[1.0557E4]" c="10557"/>
        <s v="[Table1].[goal].&amp;[2.8E2]" c="280"/>
        <s v="[Table1].[goal].&amp;[2.3E4]" c="23000"/>
        <s v="[Table1].[goal].&amp;[6.9E3]" c="6900"/>
        <s v="[Table1].[goal].&amp;[2.22E3]" c="2220"/>
        <s v="[Table1].[goal].&amp;[2.25E2]" c="225"/>
        <s v="[Table1].[goal].&amp;[1.35E6]" c="1350000"/>
        <s v="[Table1].[goal].&amp;[3.8888E4]" c="38888"/>
        <s v="[Table1].[goal].&amp;[3.333E3]" c="3333"/>
        <s v="[Table1].[goal].&amp;[5.2E4]" c="52000"/>
        <s v="[Table1].[goal].&amp;[1.1E4]" c="11000"/>
        <s v="[Table1].[goal].&amp;[3.75E3]" c="3750"/>
        <s v="[Table1].[goal].&amp;[9.78E2]" c="978"/>
        <s v="[Table1].[goal].&amp;[5.E5]" c="500000"/>
        <s v="[Table1].[goal].&amp;[2.25E4]" c="22500"/>
        <s v="[Table1].[goal].&amp;[2.725E3]" c="2725"/>
        <s v="[Table1].[goal].&amp;[1.E8]" c="100000000"/>
        <s v="[Table1].[goal].&amp;[4.336E3]" c="4336"/>
        <s v="[Table1].[goal].&amp;[2.E4]" c="20000"/>
        <s v="[Table1].[goal].&amp;[3.1E3]" c="3100"/>
        <s v="[Table1].[goal].&amp;[1.3111E4]" c="13111"/>
        <s v="[Table1].[goal].&amp;[3.64E4]" c="36400"/>
        <s v="[Table1].[goal].&amp;[4.589E3]" c="4589"/>
        <s v="[Table1].[goal].&amp;[3.47E2]" c="347"/>
        <s v="[Table1].[goal].&amp;[6.75E3]" c="6750"/>
        <s v="[Table1].[goal].&amp;[2.6E4]" c="26000"/>
        <s v="[Table1].[goal].&amp;[3.675E3]" c="3675"/>
        <s v="[Table1].[goal].&amp;[7.E1]" c="70"/>
        <s v="[Table1].[goal].&amp;[3.E6]" c="3000000"/>
        <s v="[Table1].[goal].&amp;[3.78E3]" c="3780"/>
        <s v="[Table1].[goal].&amp;[1.8E4]" c="18000"/>
        <s v="[Table1].[goal].&amp;[2.8E3]" c="2800"/>
        <s v="[Table1].[goal].&amp;[1.895E4]" c="18950"/>
        <s v="[Table1].[goal].&amp;[4.5E4]" c="45000"/>
        <s v="[Table1].[goal].&amp;[5.4E3]" c="5400"/>
        <s v="[Table1].[goal].&amp;[5.E2]" c="500"/>
        <s v="[Table1].[goal].&amp;[1.76E4]" c="17600"/>
        <s v="[Table1].[goal].&amp;[4.4E4]" c="44000"/>
        <s v="[Table1].[goal].&amp;[5.25E3]" c="5250"/>
        <s v="[Table1].[goal].&amp;[4.95E2]" c="495"/>
        <s v="[Table1].[goal].&amp;[9.6E3]" c="9600"/>
        <s v="[Table1].[goal].&amp;[3.E4]" c="30000"/>
        <s v="[Table1].[goal].&amp;[3.999E3]" c="3999"/>
        <s v="[Table1].[goal].&amp;[1.53E2]" c="153"/>
        <s v="[Table1].[goal].&amp;[5.7E4]" c="57000"/>
        <s v="[Table1].[goal].&amp;[1.16E5]" c="116000"/>
        <s v="[Table1].[goal].&amp;[7.9E3]" c="7900"/>
        <s v="[Table1].[goal].&amp;[1.07E3]" c="1070"/>
        <s v="[Table1].[goal].&amp;[8.947E5]" c="894700"/>
        <s v="[Table1].[goal].&amp;[3.25E4]" c="32500"/>
        <s v="[Table1].[goal].&amp;[2.995E3]" c="2995"/>
        <s v="[Table1].[goal].&amp;[4.425E4]" c="44250"/>
        <s v="[Table1].[goal].&amp;[1.E4]" c="10000"/>
        <s v="[Table1].[goal].&amp;[3.405E3]" c="3405"/>
        <s v="[Table1].[goal].&amp;[8.39E2]" c="839"/>
        <s v="[Table1].[goal].&amp;[9.7E4]" c="97000"/>
        <s v="[Table1].[goal].&amp;[7.534E3]" c="7534"/>
        <s v="[Table1].[goal].&amp;[3.E5]" c="300000"/>
        <s v="[Table1].[goal].&amp;[1.9E4]" c="19000"/>
        <s v="[Table1].[goal].&amp;[5.8E3]" c="5800"/>
        <s v="[Table1].[goal].&amp;[1.8E3]" c="1800"/>
        <s v="[Table1].[goal].&amp;[1.E2]" c="100"/>
        <s v="[Table1].[goal].&amp;[5.5E5]" c="550000"/>
        <s v="[Table1].[goal].&amp;[2.45E4]" c="24500"/>
        <s v="[Table1].[goal].&amp;[2.88E3]" c="2880"/>
        <s v="[Table1].[goal].&amp;[4.2E4]" c="42000"/>
        <s v="[Table1].[goal].&amp;[9.8E3]" c="9800"/>
        <s v="[Table1].[goal].&amp;[3.3E3]" c="3300"/>
        <s v="[Table1].[goal].&amp;[7.5E2]" c="750"/>
        <s v="[Table1].[goal].&amp;[3.5E5]" c="350000"/>
        <s v="[Table1].[goal].&amp;[1.492E4]" c="14920"/>
        <s v="[Table1].[goal].&amp;[1.11E3]" c="1110"/>
        <s v="[Table1].[goal].&amp;[9.E5]" c="900000"/>
        <s v="[Table1].[goal].&amp;[3.152E3]" c="3152"/>
        <s v="[Table1].[goal].&amp;[1.55E4]" c="15500"/>
        <s v="[Table1].[goal].&amp;[2.468E3]" c="2468"/>
        <s v="[Table1].[goal].&amp;[8.8E3]" c="8800"/>
        <s v="[Table1].[goal].&amp;[2.65E4]" c="26500"/>
        <s v="[Table1].[goal].&amp;[3.7E3]" c="3700"/>
        <s v="[Table1].[goal].&amp;[1.01E2]" c="101"/>
        <s v="[Table1].[goal].&amp;[6.E6]" c="6000000"/>
        <s v="[Table1].[goal].&amp;[3.9E3]" c="3900"/>
        <s v="[Table1].[goal].&amp;[1.85E4]" c="18500"/>
        <s v="[Table1].[goal].&amp;[2.9E3]" c="2900"/>
        <s v="[Table1].[goal].&amp;[4.749E5]" c="474900"/>
        <s v="[Table1].[goal].&amp;[2.413E3]" c="2413"/>
        <s v="[Table1].[goal].&amp;[1.3E4]" c="13000"/>
        <s v="[Table1].[goal].&amp;[2.35E3]" c="2350"/>
        <s v="[Table1].[goal].&amp;[1.12E4]" c="11200"/>
        <s v="[Table1].[goal].&amp;[3.2E4]" c="32000"/>
        <s v="[Table1].[goal].&amp;[4.2E3]" c="4200"/>
        <s v="[Table1].[goal].&amp;[2.5E2]" c="250"/>
        <s v="[Table1].[goal].&amp;[1.114E4]" c="11140"/>
        <s v="[Table1].[goal].&amp;[3.1E4]" c="31000"/>
        <s v="[Table1].[goal].&amp;[4.E3]" c="4000"/>
        <s v="[Table1].[goal].&amp;[2.E2]" c="200"/>
        <s v="[Table1].[goal].&amp;[5.05E3]" c="5050"/>
        <s v="[Table1].[goal].&amp;[2.2E4]" c="22000"/>
        <s v="[Table1].[goal].&amp;[3.25E3]" c="3250"/>
        <s v="[Table1].[goal].&amp;[1.E1]" c="10"/>
        <s v="[Table1].[goal].&amp;[3.55E4]" c="35500"/>
        <s v="[Table1].[goal].&amp;[6.5E4]" c="65000"/>
        <s v="[Table1].[goal].&amp;[6.35E3]" c="6350"/>
        <s v="[Table1].[goal].&amp;[7.4E2]" c="740"/>
        <s v="[Table1].[goal].&amp;[1.999E3]" c="1999"/>
        <s v="[Table1].[goal].&amp;[7.8E2]" c="780"/>
        <s v="[Table1].[goal].&amp;[2.987E3]" c="2987"/>
        <s v="[Table1].[goal].&amp;[1.5E6]" c="1500000"/>
        <s v="[Table1].[goal].&amp;[7.8E4]" c="78000"/>
        <s v="[Table1].[goal].&amp;[1.55E3]" c="1550"/>
        <s v="[Table1].[goal].&amp;[1.2E5]" c="120000"/>
        <s v="[Table1].[goal].&amp;[2.78E4]" c="27800"/>
        <s v="[Table1].[goal].&amp;[6.E2]" c="600"/>
        <s v="[Table1].[goal].&amp;[5.3E2]" c="530"/>
        <s v="[Table1].[goal].&amp;[1.E5]" c="100000"/>
        <s v="[Table1].[goal].&amp;[1.95E4]" c="19500"/>
        <s v="[Table1].[goal].&amp;[1.05E4]" c="10500"/>
        <s v="[Table1].[goal].&amp;[8.E4]" c="80000"/>
        <s v="[Table1].[goal].&amp;[5.999E3]" c="5999"/>
        <s v="[Table1].[goal].&amp;[2.25E3]" c="2250"/>
        <s v="[Table1].[goal].&amp;[2.24E4]" c="22400"/>
        <s v="[Table1].[goal].&amp;[3.72625E5]" c="372625"/>
        <s v="[Table1].[goal].&amp;[2.658E3]" c="2658"/>
        <s v="[Table1].[goal].&amp;[4.7E3]" c="4700"/>
        <s v="[Table1].[goal].&amp;[4.5E5]" c="450000"/>
        <s v="[Table1].[goal].&amp;[2.4E5]" c="240000"/>
        <s v="[Table1].[goal].&amp;[3.5E4]" c="35000"/>
        <s v="[Table1].[goal].&amp;[2.3E3]" c="2300"/>
        <s v="[Table1].[goal].&amp;[5.1E4]" c="51000"/>
        <s v="[Table1].[goal].&amp;[1.635E4]" c="16350"/>
        <s v="[Table1].[goal].&amp;[9.99E2]" c="999"/>
        <s v="[Table1].[goal].&amp;[1.27E4]" c="12700"/>
        <s v="[Table1].[goal].&amp;[8.5E3]" c="8500"/>
        <s v="[Table1].[goal].&amp;[2.2E2]" c="220"/>
        <s v="[Table1].[goal].&amp;[1.72889E5]" c="172889"/>
        <s v="[Table1].[goal].&amp;[9.072E3]" c="9072"/>
        <s v="[Table1].[goal].&amp;[2.5E7]" c="25000000"/>
        <s v="[Table1].[goal].&amp;[1.06E4]" c="10600"/>
        <s v="[Table1].[goal].&amp;[1.75E5]" c="175000"/>
        <s v="[Table1].[goal].&amp;[2.4E3]" c="2400"/>
        <s v="[Table1].[goal].&amp;[8.4E3]" c="8400"/>
        <s v="[Table1].[goal].&amp;[2.224E3]" c="2224"/>
        <s v="[Table1].[goal].&amp;[1.2444E4]" c="12444"/>
        <s v="[Table1].[goal].&amp;[3.274E3]" c="3274"/>
        <s v="[Table1].[goal].&amp;[1.551E3]" c="1551"/>
        <s v="[Table1].[goal].&amp;[1.444E4]" c="14440"/>
        <s v="[Table1].[goal].&amp;[3.2E3]" c="3200"/>
        <s v="[Table1].[goal].&amp;[1.33E5]" c="133000"/>
        <s v="[Table1].[goal].&amp;[2.8888E4]" c="28888"/>
        <s v="[Table1].[goal].&amp;[6.6E2]" c="660"/>
        <s v="[Table1].[goal].&amp;[3.9E4]" c="39000"/>
        <s v="[Table1].[goal].&amp;[1.28E4]" c="12800"/>
        <s v="[Table1].[goal].&amp;[5.]" c="5"/>
        <s v="[Table1].[goal].&amp;[1.0115E4]" c="10115"/>
        <s v="[Table1].[goal].&amp;[7.75E3]" c="7750"/>
        <s v="[Table1].[goal].&amp;[1.89E4]" c="18900"/>
        <s v="[Table1].[goal].&amp;[2.42E4]" c="24200"/>
        <s v="[Table1].[goal].&amp;[4.51E2]" c="451"/>
        <s v="[Table1].[goal].&amp;[5.2E3]" c="5200"/>
        <s v="[Table1].[goal].&amp;[1.126E4]" c="11260"/>
        <s v="[Table1].[goal].&amp;[1.85E3]" c="1850"/>
        <s v="[Table1].[goal].&amp;[1.118E4]" c="11180"/>
        <s v="[Table1].[goal].&amp;[2.6E3]" c="2600"/>
        <s v="[Table1].[goal].&amp;[5.5E4]" c="55000"/>
        <s v="[Table1].[goal].&amp;[1.687E4]" c="16870"/>
        <s v="[Table1].[goal].&amp;[2.2E3]" c="2200"/>
        <s v="[Table1].[goal].&amp;[1.2001E4]" c="12001"/>
        <s v="[Table1].[goal].&amp;[2.E1]" c="20"/>
        <s v="[Table1].[goal].&amp;[8.5E5]" c="850000"/>
        <s v="[Table1].[goal].&amp;[1.9E3]" c="1900"/>
        <s v="[Table1].[goal].&amp;[1.45E4]" c="14500"/>
        <s v="[Table1].[goal].&amp;[1.4E5]" c="140000"/>
        <s v="[Table1].[goal].&amp;[1.328E3]" c="1328"/>
        <s v="[Table1].[goal].&amp;[4.62E5]" c="462000"/>
        <s v="[Table1].[goal].&amp;[5.6E3]" c="5600"/>
        <s v="[Table1].[goal].&amp;[1.68E3]" c="1680"/>
        <s v="[Table1].[goal].&amp;[4.5E2]" c="450"/>
        <s v="[Table1].[goal].&amp;[3.E2]" c="300"/>
        <s v="[Table1].[goal].&amp;[4.9E3]" c="4900"/>
        <s v="[Table1].[goal].&amp;[6.66E2]" c="666"/>
        <s v="[Table1].[goal].&amp;[4.E2]" c="400"/>
        <s v="[Table1].[goal].&amp;[9.3E3]" c="9300"/>
        <s v="[Table1].[goal].&amp;[1.15E4]" c="11500"/>
        <s v="[Table1].[goal].&amp;[2.25E5]" c="225000"/>
        <s v="[Table1].[goal].&amp;[8.75E3]" c="8750"/>
        <s v="[Table1].[goal].&amp;[9.E4]" c="90000"/>
        <s v="[Table1].[goal].&amp;[9.E2]" c="900"/>
        <s v="[Table1].[goal].&amp;[3.759E3]" c="3759"/>
        <s v="[Table1].[goal].&amp;[3.495E3]" c="3495"/>
        <s v="[Table1].[goal].&amp;[1.99E2]" c="199"/>
        <s v="[Table1].[goal].&amp;[1.5E2]" c="150"/>
        <s v="[Table1].[goal].&amp;[4.4E3]" c="4400"/>
        <s v="[Table1].[goal].&amp;[2.7E2]" c="270"/>
        <s v="[Table1].[goal].&amp;[6.3E3]" c="6300"/>
        <s v="[Table1].[goal].&amp;[7.501E3]" c="7501"/>
        <s v="[Table1].[goal].&amp;[4.19E3]" c="4190"/>
        <s v="[Table1].[goal].&amp;[1.7E3]" c="1700"/>
        <s v="[Table1].[goal].&amp;[4.626E4]" c="46260"/>
        <s v="[Table1].[goal].&amp;[2.4E4]" c="24000"/>
        <s v="[Table1].[goal].&amp;[1.93E3]" c="1930"/>
        <s v="[Table1].[goal].&amp;[1.67E4]" c="16700"/>
        <s v="[Table1].[goal].&amp;[9.041E3]" c="9041"/>
        <s v="[Table1].[goal].&amp;[1.35E4]" c="13500"/>
        <s v="[Table1].[goal].&amp;[5.15E2]" c="515"/>
        <s v="[Table1].[goal].&amp;[8.2E4]" c="82000"/>
        <s v="[Table1].[goal].&amp;[1.3E3]" c="1300"/>
        <s v="[Table1].[goal].&amp;[2.2765E4]" c="22765"/>
        <s v="[Table1].[goal].&amp;[2.8E5]" c="280000"/>
        <s v="[Table1].[goal].&amp;[1.4E3]" c="1400"/>
        <s v="[Table1].[goal].&amp;[7.77E2]" c="777"/>
        <s v="[Table1].[goal].&amp;[9.4875E4]" c="94875"/>
        <s v="[Table1].[goal].&amp;[2.E5]" c="200000"/>
        <s v="[Table1].[goal].&amp;[1.25E4]" c="12500"/>
        <s v="[Table1].[goal].&amp;[3.4E3]" c="3400"/>
        <s v="[Table1].[goal].&amp;[9.665E3]" c="9665"/>
        <s v="[Table1].[goal].&amp;[3.8E4]" c="38000"/>
        <s v="[Table1].[goal].&amp;[8.925E3]" c="8925"/>
        <s v="[Table1].[goal].&amp;[4.1E3]" c="4100"/>
        <s v="[Table1].[goal].&amp;[6.7E3]" c="6700"/>
        <s v="[Table1].[goal].&amp;[1.09225E5]" c="109225"/>
        <s v="[Table1].[goal].&amp;[1.E3]" c="1000"/>
        <s v="[Table1].[goal].&amp;[1.5E4]" c="15000"/>
        <s v="[Table1].[goal].&amp;[2.825E3]" c="2825"/>
        <s v="[Table1].[goal].&amp;[1.0275E4]" c="10275"/>
        <s v="[Table1].[goal].&amp;[3.5E3]" c="3500"/>
        <s v="[Table1].[goal].&amp;[2.7E3]" c="2700"/>
        <s v="[Table1].[goal].&amp;[2.001E3]" c="2001"/>
        <s v="[Table1].[goal].&amp;[2.845E4]" c="28450"/>
        <s v="[Table1].[goal].&amp;[3.423E3]" c="3423"/>
        <s v="[Table1].[goal].&amp;[9.11E2]" c="911"/>
        <s v="[Table1].[goal].&amp;[5.75E2]" c="575"/>
        <s v="[Table1].[goal].&amp;[3.9E5]" c="390000"/>
        <s v="[Table1].[goal].&amp;[1.26E5]" c="126000"/>
        <s v="[Table1].[goal].&amp;[1.96447E3]" c="1964.47"/>
        <s v="[Table1].[goal].&amp;[2.5E5]" c="250000"/>
        <s v="[Table1].[goal].&amp;[1.7482E4]" c="17482"/>
        <s v="[Table1].[goal].&amp;[3.8E3]" c="3800"/>
        <s v="[Table1].[goal].&amp;[1.385E3]" c="1385"/>
        <s v="[Table1].[goal].&amp;[2.8E6]" c="2800000"/>
        <s v="[Table1].[goal].&amp;[2.1E3]" c="2100"/>
        <s v="[Table1].[goal].&amp;[3.75E5]" c="375000"/>
        <s v="[Table1].[goal].&amp;[1.75E4]" c="17500"/>
        <s v="[Table1].[goal].&amp;[2.5E1]" c="25"/>
        <s v="[Table1].[goal].&amp;[1.8E5]" c="180000"/>
        <s v="[Table1].[goal].&amp;[1.1525E5]" c="115250"/>
        <s v="[Table1].[goal].&amp;[2.888E3]" c="2888"/>
        <s v="[Table1].[goal].&amp;[2.75E3]" c="2750"/>
        <s v="[Table1].[goal].&amp;[8.E3]" c="8000"/>
        <s v="[Table1].[goal].&amp;[3.2768E4]" c="32768"/>
        <s v="[Table1].[goal].&amp;[9.35E4]" c="93500"/>
        <s v="[Table1].[goal].&amp;[3.E3]" c="3000"/>
        <s v="[Table1].[goal].&amp;[5.25E2]" c="525"/>
        <s v="[Table1].[goal].&amp;[4.E1]" c="40"/>
        <s v="[Table1].[goal].&amp;[1.333666E6]" c="1333666"/>
        <s v="[Table1].[goal].&amp;[4.48E3]" c="4480"/>
        <s v="[Table1].[goal].&amp;[1.E7]" c="10000000"/>
        <s v="[Table1].[goal].&amp;[2.5E3]" c="2500"/>
        <s v="[Table1].[goal].&amp;[5.6E4]" c="56000"/>
        <s v="[Table1].[goal].&amp;[5.1E5]" c="510000"/>
        <s v="[Table1].[goal].&amp;[1.65E3]" c="1650"/>
        <s v="[Table1].[goal].&amp;[2.E6]" c="2000000"/>
        <s v="[Table1].[goal].&amp;[1.22E4]" c="12200"/>
        <s v="[Table1].[goal].&amp;[3.95E3]" c="3950"/>
        <s v="[Table1].[goal].&amp;[1.28E2]" c="128"/>
        <s v="[Table1].[goal].&amp;[2.45E3]" c="2450"/>
        <s v="[Table1].[goal].&amp;[7.2E3]" c="7200"/>
        <s v="[Table1].[goal].&amp;[1.17E5]" c="117000"/>
        <s v="[Table1].[goal].&amp;[2.1E4]" c="21000"/>
        <s v="[Table1].[goal].&amp;[7.E3]" c="7000"/>
        <s v="[Table1].[goal].&amp;[2.82E3]" c="2820"/>
      </sharedItems>
    </cacheField>
    <cacheField name="[Table1].[outcomes].[outcomes]" caption="outcomes" numFmtId="0" hierarchy="6" level="1">
      <sharedItems count="4">
        <s v="[Table1].[outcomes].&amp;[live]" c="live"/>
        <s v="[Table1].[outcomes].&amp;[failed]" c="failed"/>
        <s v="[Table1].[outcomes].&amp;[canceled]" c="canceled"/>
        <s v="[Table1].[outcomes].&amp;[successful]" c="successful"/>
      </sharedItems>
    </cacheField>
    <cacheField name="[Measures].[MeasuresLevel]" caption="MeasuresLevel" numFmtId="0">
      <sharedItems count="2">
        <s v="[Measures].[Sum of pledged]" c="Sum of pledged"/>
        <s v="[Measures].[Sum of backers_count]" c="Sum of backers_count"/>
      </sharedItems>
    </cacheField>
  </cacheFields>
  <cacheHierarchies count="39">
    <cacheHierarchy uniqueName="[Measures]" caption="Measures" attribute="1" keyAttribute="1" defaultMemberUniqueName="[Measures].[__No measures defined]" dimensionUniqueName="[Measures]" displayFolder="" measures="1" count="1" memberValueDatatype="130" unbalanced="0">
      <fieldsUsage count="1">
        <fieldUsage x="2"/>
      </fieldsUsage>
    </cacheHierarchy>
    <cacheHierarchy uniqueName="[Table1].[id]" caption="id" attribute="1" defaultMemberUniqueName="[Table1].[id].[All]" allUniqueName="[Table1].[id].[All]" dimensionUniqueName="[Table1]" displayFolder="" count="2" memberValueDatatype="20" unbalanced="0"/>
    <cacheHierarchy uniqueName="[Table1].[name]" caption="name" attribute="1" defaultMemberUniqueName="[Table1].[name].[All]" allUniqueName="[Table1].[name].[All]" dimensionUniqueName="[Table1]" displayFolder="" count="2" memberValueDatatype="130" unbalanced="0"/>
    <cacheHierarchy uniqueName="[Table1].[blurb]" caption="blurb" attribute="1" defaultMemberUniqueName="[Table1].[blurb].[All]" allUniqueName="[Table1].[blurb].[All]" dimensionUniqueName="[Table1]" displayFolder="" count="2" memberValueDatatype="130" unbalanced="0"/>
    <cacheHierarchy uniqueName="[Table1].[goal]" caption="goal" attribute="1" defaultMemberUniqueName="[Table1].[goal].[All]" allUniqueName="[Table1].[goal].[All]" allCaption="All" dimensionUniqueName="[Table1]" displayFolder="" count="2" memberValueDatatype="5" unbalanced="0">
      <fieldsUsage count="2">
        <fieldUsage x="-1"/>
        <fieldUsage x="0"/>
      </fieldsUsage>
    </cacheHierarchy>
    <cacheHierarchy uniqueName="[Table1].[pledged]" caption="pledged" attribute="1" defaultMemberUniqueName="[Table1].[pledged].[All]" allUniqueName="[Table1].[pledged].[All]" dimensionUniqueName="[Table1]" displayFolder="" count="2" memberValueDatatype="5" unbalanced="0"/>
    <cacheHierarchy uniqueName="[Table1].[outcomes]" caption="outcomes" attribute="1" defaultMemberUniqueName="[Table1].[outcomes].[All]" allUniqueName="[Table1].[outcomes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country]" caption="country" attribute="1" defaultMemberUniqueName="[Table1].[country].[All]" allUniqueName="[Table1].[country].[All]" dimensionUniqueName="[Table1]" displayFolder="" count="2" memberValueDatatype="130" unbalanced="0"/>
    <cacheHierarchy uniqueName="[Table1].[currency]" caption="currency" attribute="1" defaultMemberUniqueName="[Table1].[currency].[All]" allUniqueName="[Table1].[currency].[All]" dimensionUniqueName="[Table1]" displayFolder="" count="2" memberValueDatatype="130" unbalanced="0"/>
    <cacheHierarchy uniqueName="[Table1].[deadline]" caption="deadline" attribute="1" defaultMemberUniqueName="[Table1].[deadline].[All]" allUniqueName="[Table1].[deadline].[All]" dimensionUniqueName="[Table1]" displayFolder="" count="2" memberValueDatatype="20" unbalanced="0"/>
    <cacheHierarchy uniqueName="[Table1].[launched_at]" caption="launched_at" attribute="1" defaultMemberUniqueName="[Table1].[launched_at].[All]" allUniqueName="[Table1].[launched_at].[All]" dimensionUniqueName="[Table1]" displayFolder="" count="2" memberValueDatatype="20" unbalanced="0"/>
    <cacheHierarchy uniqueName="[Table1].[staff_pick]" caption="staff_pick" attribute="1" defaultMemberUniqueName="[Table1].[staff_pick].[All]" allUniqueName="[Table1].[staff_pick].[All]" dimensionUniqueName="[Table1]" displayFolder="" count="2" memberValueDatatype="11" unbalanced="0"/>
    <cacheHierarchy uniqueName="[Table1].[backers_count]" caption="backers_count" attribute="1" defaultMemberUniqueName="[Table1].[backers_count].[All]" allUniqueName="[Table1].[backers_count].[All]" dimensionUniqueName="[Table1]" displayFolder="" count="2" memberValueDatatype="20" unbalanced="0"/>
    <cacheHierarchy uniqueName="[Table1].[spotlight]" caption="spotlight" attribute="1" defaultMemberUniqueName="[Table1].[spotlight].[All]" allUniqueName="[Table1].[spotlight].[All]" dimensionUniqueName="[Table1]" displayFolder="" count="2" memberValueDatatype="11" unbalanced="0"/>
    <cacheHierarchy uniqueName="[Table1].[Category and Subcategory]" caption="Category and Subcategory" attribute="1" defaultMemberUniqueName="[Table1].[Category and Subcategory].[All]" allUniqueName="[Table1].[Category and Subcategory].[All]" dimensionUniqueName="[Table1]" displayFolder="" count="2" memberValueDatatype="130" unbalanced="0"/>
    <cacheHierarchy uniqueName="[Table1].[percentage]" caption="percentage" attribute="1" defaultMemberUniqueName="[Table1].[percentage].[All]" allUniqueName="[Table1].[percentage].[All]" dimensionUniqueName="[Table1]" displayFolder="" count="2" memberValueDatatype="20" unbalanced="0"/>
    <cacheHierarchy uniqueName="[Table1].[Average Donation]" caption="Average Donation" attribute="1" defaultMemberUniqueName="[Table1].[Average Donation].[All]" allUniqueName="[Table1].[Average Donation].[All]" dimensionUniqueName="[Table1]" displayFolder="" count="2" memberValueDatatype="130" unbalanced="0"/>
    <cacheHierarchy uniqueName="[Table1].[Parent]" caption="Parent" attribute="1" defaultMemberUniqueName="[Table1].[Parent].[All]" allUniqueName="[Table1].[Parent].[All]" dimensionUniqueName="[Table1]" displayFolder="" count="2" memberValueDatatype="130" unbalanced="0"/>
    <cacheHierarchy uniqueName="[Table1].[Subcategory]" caption="Subcategory" attribute="1" defaultMemberUniqueName="[Table1].[Subcategory].[All]" allUniqueName="[Table1].[Subcategory].[All]" dimensionUniqueName="[Table1]" displayFolder="" count="2" memberValueDatatype="130" unbalanced="0"/>
    <cacheHierarchy uniqueName="[Table1].[Launched]" caption="Launched" attribute="1" time="1" defaultMemberUniqueName="[Table1].[Launched].[All]" allUniqueName="[Table1].[Launched].[All]" dimensionUniqueName="[Table1]" displayFolder="" count="2" memberValueDatatype="7" unbalanced="0"/>
    <cacheHierarchy uniqueName="[Table1].[Date ended]" caption="Date ended" attribute="1" time="1" defaultMemberUniqueName="[Table1].[Date ended].[All]" allUniqueName="[Table1].[Date ended].[All]" dimensionUniqueName="[Table1]" displayFolder="" count="2" memberValueDatatype="7" unbalanced="0"/>
    <cacheHierarchy uniqueName="[Table1].[Launched (Year)]" caption="Launched (Year)" attribute="1" defaultMemberUniqueName="[Table1].[Launched (Year)].[All]" allUniqueName="[Table1].[Launched (Year)].[All]" dimensionUniqueName="[Table1]" displayFolder="" count="2" memberValueDatatype="130" unbalanced="0"/>
    <cacheHierarchy uniqueName="[Table1].[Launched (Quarter)]" caption="Launched (Quarter)" attribute="1" defaultMemberUniqueName="[Table1].[Launched (Quarter)].[All]" allUniqueName="[Table1].[Launched (Quarter)].[All]" dimensionUniqueName="[Table1]" displayFolder="" count="2" memberValueDatatype="130" unbalanced="0"/>
    <cacheHierarchy uniqueName="[Table1].[Launched (Month)]" caption="Launched (Month)" attribute="1" defaultMemberUniqueName="[Table1].[Launched (Month)].[All]" allUniqueName="[Table1].[Launched (Month)].[All]" dimensionUniqueName="[Table1]" displayFolder="" count="2" memberValueDatatype="130" unbalanced="0"/>
    <cacheHierarchy uniqueName="[Table1].[Launched (Month Index)]" caption="Launched (Month Index)" attribute="1" defaultMemberUniqueName="[Table1].[Launched (Month Index)].[All]" allUniqueName="[Table1].[Launched (Month Index)].[All]" dimensionUniqueName="[Table1]" displayFolder="" count="2" memberValueDatatype="20" unbalanced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outcomes]" caption="Count of outcomes" measure="1" displayFolder="" measureGroup="Table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Launched (Year)]" caption="Count of Launched (Year)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Launched (Month)]" caption="Count of Launched (Month)" measure="1" displayFolder="" measureGroup="Table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Launched (Quarter)]" caption="Count of Launched (Quarter)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Launched]" caption="Count of Launched" measure="1" displayFolder="" measureGroup="Table1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goal]" caption="Sum of goal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pledged]" caption="Sum of pledged" measure="1" displayFolder="" measureGroup="Table1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country]" caption="Count of country" measure="1" displayFolder="" measureGroup="Table1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Subcategory]" caption="Count of Subcategory" measure="1" displayFolder="" measureGroup="Table1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backers_count]" caption="Sum of backers_count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backers_count]" caption="Count of backers_count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Average of goal]" caption="Average of goal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tupleCache>
    <entries count="4460">
      <n v="0">
        <tpls c="3">
          <tpl fld="2" item="1"/>
          <tpl fld="0" item="111"/>
          <tpl fld="1" item="2"/>
        </tpls>
      </n>
      <m>
        <tpls c="3">
          <tpl fld="2" item="1"/>
          <tpl fld="0" item="112"/>
          <tpl fld="1" item="2"/>
        </tpls>
      </m>
      <n v="25655">
        <tpls c="3">
          <tpl fld="2" item="0"/>
          <tpl fld="0" item="112"/>
          <tpl fld="1" item="1"/>
        </tpls>
      </n>
      <n v="33628">
        <tpls c="3">
          <tpl fld="2" item="0"/>
          <tpl fld="0" item="114"/>
          <tpl fld="1" item="1"/>
        </tpls>
      </n>
      <m>
        <tpls c="3">
          <tpl fld="2" item="1"/>
          <tpl fld="0" item="58"/>
          <tpl fld="1" item="2"/>
        </tpls>
      </m>
      <m>
        <tpls c="3">
          <tpl fld="2" item="0"/>
          <tpl fld="0" item="179"/>
          <tpl fld="1" item="1"/>
        </tpls>
      </m>
      <m>
        <tpls c="3">
          <tpl fld="2" item="1"/>
          <tpl fld="0" item="187"/>
          <tpl fld="1" item="2"/>
        </tpls>
      </m>
      <m>
        <tpls c="3">
          <tpl fld="2" item="0"/>
          <tpl fld="0" item="172"/>
          <tpl fld="1" item="1"/>
        </tpls>
      </m>
      <m>
        <tpls c="3">
          <tpl fld="2" item="1"/>
          <tpl fld="0" item="7"/>
          <tpl fld="1" item="3"/>
        </tpls>
      </m>
      <m>
        <tpls c="3">
          <tpl fld="2" item="1"/>
          <tpl fld="0" item="82"/>
          <tpl fld="1" item="2"/>
        </tpls>
      </m>
      <n v="1">
        <tpls c="3">
          <tpl fld="2" item="1"/>
          <tpl fld="0" item="61"/>
          <tpl fld="1" item="3"/>
        </tpls>
      </n>
      <n v="16">
        <tpls c="3">
          <tpl fld="2" item="1"/>
          <tpl fld="0" item="202"/>
          <tpl fld="1" item="3"/>
        </tpls>
      </n>
      <n v="27">
        <tpls c="3">
          <tpl fld="2" item="1"/>
          <tpl fld="0" item="187"/>
          <tpl fld="1" item="3"/>
        </tpls>
      </n>
      <n v="139">
        <tpls c="3">
          <tpl fld="2" item="1"/>
          <tpl fld="0" item="154"/>
          <tpl fld="1" item="3"/>
        </tpls>
      </n>
      <m>
        <tpls c="3">
          <tpl fld="2" item="0"/>
          <tpl fld="0" item="123"/>
          <tpl fld="1" item="1"/>
        </tpls>
      </m>
      <n v="36">
        <tpls c="3">
          <tpl fld="2" item="1"/>
          <tpl fld="0" item="20"/>
          <tpl fld="1" item="3"/>
        </tpls>
      </n>
      <m>
        <tpls c="3">
          <tpl fld="2" item="0"/>
          <tpl fld="0" item="167"/>
          <tpl fld="1" item="1"/>
        </tpls>
      </m>
      <m>
        <tpls c="3">
          <tpl fld="2" item="1"/>
          <tpl fld="0" item="55"/>
          <tpl fld="1" item="3"/>
        </tpls>
      </m>
      <n v="1">
        <tpls c="3">
          <tpl fld="2" item="1"/>
          <tpl fld="0" item="168"/>
          <tpl fld="1" item="1"/>
        </tpls>
      </n>
      <m>
        <tpls c="3">
          <tpl fld="2" item="1"/>
          <tpl fld="0" item="56"/>
          <tpl fld="1" item="2"/>
        </tpls>
      </m>
      <m>
        <tpls c="3">
          <tpl fld="2" item="1"/>
          <tpl fld="0" item="113"/>
          <tpl fld="1" item="3"/>
        </tpls>
      </m>
      <n v="116">
        <tpls c="3">
          <tpl fld="2" item="0"/>
          <tpl fld="0" item="169"/>
          <tpl fld="1" item="1"/>
        </tpls>
      </n>
      <m>
        <tpls c="3">
          <tpl fld="2" item="1"/>
          <tpl fld="0" item="2"/>
          <tpl fld="1" item="2"/>
        </tpls>
      </m>
      <n v="4562">
        <tpls c="3">
          <tpl fld="2" item="1"/>
          <tpl fld="0" item="57"/>
          <tpl fld="1" item="3"/>
        </tpls>
      </n>
      <n v="389">
        <tpls c="3">
          <tpl fld="2" item="1"/>
          <tpl fld="0" item="170"/>
          <tpl fld="1" item="1"/>
        </tpls>
      </n>
      <n v="125">
        <tpls c="3">
          <tpl fld="2" item="1"/>
          <tpl fld="0" item="171"/>
          <tpl fld="1" item="3"/>
        </tpls>
      </n>
      <m>
        <tpls c="3">
          <tpl fld="2" item="0"/>
          <tpl fld="0" item="171"/>
          <tpl fld="1" item="1"/>
        </tpls>
      </m>
      <m>
        <tpls c="3">
          <tpl fld="2" item="1"/>
          <tpl fld="0" item="4"/>
          <tpl fld="1" item="1"/>
        </tpls>
      </m>
      <m>
        <tpls c="3">
          <tpl fld="2" item="1"/>
          <tpl fld="0" item="223"/>
          <tpl fld="1" item="3"/>
        </tpls>
      </m>
      <n v="66317">
        <tpls c="3">
          <tpl fld="2" item="0"/>
          <tpl fld="0" item="59"/>
          <tpl fld="1" item="1"/>
        </tpls>
      </n>
      <m>
        <tpls c="3">
          <tpl fld="2" item="0"/>
          <tpl fld="0" item="234"/>
          <tpl fld="1" item="1"/>
        </tpls>
      </m>
      <m>
        <tpls c="3">
          <tpl fld="2" item="1"/>
          <tpl fld="0" item="237"/>
          <tpl fld="1" item="3"/>
        </tpls>
      </m>
      <m>
        <tpls c="3">
          <tpl fld="2" item="1"/>
          <tpl fld="0" item="243"/>
          <tpl fld="1" item="2"/>
        </tpls>
      </m>
      <m>
        <tpls c="3">
          <tpl fld="2" item="0"/>
          <tpl fld="0" item="229"/>
          <tpl fld="1" item="1"/>
        </tpls>
      </m>
      <n v="3">
        <tpls c="3">
          <tpl fld="2" item="0"/>
          <tpl fld="0" item="6"/>
          <tpl fld="1" item="1"/>
        </tpls>
      </n>
      <n v="0">
        <tpls c="3">
          <tpl fld="2" item="1"/>
          <tpl fld="0" item="26"/>
          <tpl fld="1" item="0"/>
        </tpls>
      </n>
      <m>
        <tpls c="3">
          <tpl fld="2" item="1"/>
          <tpl fld="0" item="13"/>
          <tpl fld="1" item="0"/>
        </tpls>
      </m>
      <m>
        <tpls c="3">
          <tpl fld="2" item="1"/>
          <tpl fld="0" item="202"/>
          <tpl fld="1" item="2"/>
        </tpls>
      </m>
      <m>
        <tpls c="3">
          <tpl fld="2" item="1"/>
          <tpl fld="0" item="75"/>
          <tpl fld="1" item="0"/>
        </tpls>
      </m>
      <m>
        <tpls c="3">
          <tpl fld="2" item="1"/>
          <tpl fld="0" item="86"/>
          <tpl fld="1" item="2"/>
        </tpls>
      </m>
      <m>
        <tpls c="3">
          <tpl fld="2" item="0"/>
          <tpl fld="0" item="150"/>
          <tpl fld="1" item="1"/>
        </tpls>
      </m>
      <m>
        <tpls c="3">
          <tpl fld="2" item="1"/>
          <tpl fld="0" item="111"/>
          <tpl fld="1" item="3"/>
        </tpls>
      </m>
      <n v="1">
        <tpls c="3">
          <tpl fld="2" item="1"/>
          <tpl fld="0" item="167"/>
          <tpl fld="1" item="2"/>
        </tpls>
      </n>
      <m>
        <tpls c="3">
          <tpl fld="2" item="1"/>
          <tpl fld="0" item="167"/>
          <tpl fld="1" item="0"/>
        </tpls>
      </m>
      <m>
        <tpls c="3">
          <tpl fld="2" item="1"/>
          <tpl fld="0" item="223"/>
          <tpl fld="1" item="1"/>
        </tpls>
      </m>
      <n v="2607">
        <tpls c="3">
          <tpl fld="2" item="0"/>
          <tpl fld="0" item="210"/>
          <tpl fld="1" item="1"/>
        </tpls>
      </n>
      <m>
        <tpls c="3">
          <tpl fld="2" item="1"/>
          <tpl fld="0" item="274"/>
          <tpl fld="1" item="1"/>
        </tpls>
      </m>
      <m>
        <tpls c="3">
          <tpl fld="2" item="1"/>
          <tpl fld="0" item="223"/>
          <tpl fld="1" item="0"/>
        </tpls>
      </m>
      <m>
        <tpls c="3">
          <tpl fld="2" item="1"/>
          <tpl fld="0" item="0"/>
          <tpl fld="1" item="0"/>
        </tpls>
      </m>
      <m>
        <tpls c="3">
          <tpl fld="2" item="1"/>
          <tpl fld="0" item="112"/>
          <tpl fld="1" item="3"/>
        </tpls>
      </m>
      <m>
        <tpls c="3">
          <tpl fld="2" item="1"/>
          <tpl fld="0" item="1"/>
          <tpl fld="1" item="0"/>
        </tpls>
      </m>
      <n v="1">
        <tpls c="3">
          <tpl fld="2" item="1"/>
          <tpl fld="0" item="113"/>
          <tpl fld="1" item="1"/>
        </tpls>
      </n>
      <m>
        <tpls c="3">
          <tpl fld="2" item="0"/>
          <tpl fld="0" item="226"/>
          <tpl fld="1" item="1"/>
        </tpls>
      </m>
      <m>
        <tpls c="3">
          <tpl fld="2" item="1"/>
          <tpl fld="0" item="3"/>
          <tpl fld="1" item="0"/>
        </tpls>
      </m>
      <n v="1103">
        <tpls c="3">
          <tpl fld="2" item="1"/>
          <tpl fld="0" item="59"/>
          <tpl fld="1" item="1"/>
        </tpls>
      </n>
      <m>
        <tpls c="3">
          <tpl fld="2" item="1"/>
          <tpl fld="0" item="116"/>
          <tpl fld="1" item="0"/>
        </tpls>
      </m>
      <n v="73">
        <tpls c="3">
          <tpl fld="2" item="1"/>
          <tpl fld="0" item="172"/>
          <tpl fld="1" item="3"/>
        </tpls>
      </n>
      <m>
        <tpls c="3">
          <tpl fld="2" item="1"/>
          <tpl fld="0" item="281"/>
          <tpl fld="1" item="2"/>
        </tpls>
      </m>
      <n v="0">
        <tpls c="3">
          <tpl fld="2" item="1"/>
          <tpl fld="0" item="282"/>
          <tpl fld="1" item="2"/>
        </tpls>
      </n>
      <m>
        <tpls c="3">
          <tpl fld="2" item="0"/>
          <tpl fld="0" item="62"/>
          <tpl fld="1" item="1"/>
        </tpls>
      </m>
      <m>
        <tpls c="3">
          <tpl fld="2" item="1"/>
          <tpl fld="0" item="118"/>
          <tpl fld="1" item="0"/>
        </tpls>
      </m>
      <n v="0">
        <tpls c="3">
          <tpl fld="2" item="1"/>
          <tpl fld="0" item="174"/>
          <tpl fld="1" item="2"/>
        </tpls>
      </n>
      <m>
        <tpls c="3">
          <tpl fld="2" item="1"/>
          <tpl fld="0" item="230"/>
          <tpl fld="1" item="3"/>
        </tpls>
      </m>
      <m>
        <tpls c="3">
          <tpl fld="2" item="1"/>
          <tpl fld="0" item="63"/>
          <tpl fld="1" item="0"/>
        </tpls>
      </m>
      <n v="5">
        <tpls c="3">
          <tpl fld="2" item="0"/>
          <tpl fld="0" item="119"/>
          <tpl fld="1" item="1"/>
        </tpls>
      </n>
      <m>
        <tpls c="3">
          <tpl fld="2" item="1"/>
          <tpl fld="0" item="175"/>
          <tpl fld="1" item="2"/>
        </tpls>
      </m>
      <m>
        <tpls c="3">
          <tpl fld="2" item="1"/>
          <tpl fld="0" item="120"/>
          <tpl fld="1" item="3"/>
        </tpls>
      </m>
      <m>
        <tpls c="3">
          <tpl fld="2" item="1"/>
          <tpl fld="0" item="176"/>
          <tpl fld="1" item="0"/>
        </tpls>
      </m>
      <m>
        <tpls c="3">
          <tpl fld="2" item="1"/>
          <tpl fld="0" item="232"/>
          <tpl fld="1" item="2"/>
        </tpls>
      </m>
      <m>
        <tpls c="3">
          <tpl fld="2" item="1"/>
          <tpl fld="0" item="283"/>
          <tpl fld="1" item="0"/>
        </tpls>
      </m>
      <m>
        <tpls c="3">
          <tpl fld="2" item="1"/>
          <tpl fld="0" item="10"/>
          <tpl fld="1" item="2"/>
        </tpls>
      </m>
      <n v="285">
        <tpls c="3">
          <tpl fld="2" item="1"/>
          <tpl fld="0" item="65"/>
          <tpl fld="1" item="3"/>
        </tpls>
      </n>
      <n v="423">
        <tpls c="3">
          <tpl fld="2" item="1"/>
          <tpl fld="0" item="121"/>
          <tpl fld="1" item="1"/>
        </tpls>
      </n>
      <m>
        <tpls c="3">
          <tpl fld="2" item="1"/>
          <tpl fld="0" item="121"/>
          <tpl fld="1" item="2"/>
        </tpls>
      </m>
      <n v="823">
        <tpls c="3">
          <tpl fld="2" item="1"/>
          <tpl fld="0" item="177"/>
          <tpl fld="1" item="3"/>
        </tpls>
      </n>
      <n v="7">
        <tpls c="3">
          <tpl fld="2" item="1"/>
          <tpl fld="0" item="233"/>
          <tpl fld="1" item="0"/>
        </tpls>
      </n>
      <m>
        <tpls c="3">
          <tpl fld="2" item="1"/>
          <tpl fld="0" item="11"/>
          <tpl fld="1" item="0"/>
        </tpls>
      </m>
      <m>
        <tpls c="3">
          <tpl fld="2" item="0"/>
          <tpl fld="0" item="66"/>
          <tpl fld="1" item="1"/>
        </tpls>
      </m>
      <n v="17">
        <tpls c="3">
          <tpl fld="2" item="1"/>
          <tpl fld="0" item="122"/>
          <tpl fld="1" item="1"/>
        </tpls>
      </n>
      <m>
        <tpls c="3">
          <tpl fld="2" item="1"/>
          <tpl fld="0" item="67"/>
          <tpl fld="1" item="2"/>
        </tpls>
      </m>
      <m>
        <tpls c="3">
          <tpl fld="2" item="0"/>
          <tpl fld="0" item="180"/>
          <tpl fld="1" item="1"/>
        </tpls>
      </m>
      <n v="4">
        <tpls c="3">
          <tpl fld="2" item="1"/>
          <tpl fld="0" item="181"/>
          <tpl fld="1" item="2"/>
        </tpls>
      </n>
      <m>
        <tpls c="3">
          <tpl fld="2" item="1"/>
          <tpl fld="0" item="285"/>
          <tpl fld="1" item="2"/>
        </tpls>
      </m>
      <m>
        <tpls c="3">
          <tpl fld="2" item="1"/>
          <tpl fld="0" item="14"/>
          <tpl fld="1" item="0"/>
        </tpls>
      </m>
      <m>
        <tpls c="3">
          <tpl fld="2" item="1"/>
          <tpl fld="0" item="302"/>
          <tpl fld="1" item="0"/>
        </tpls>
      </m>
      <m>
        <tpls c="3">
          <tpl fld="2" item="0"/>
          <tpl fld="0" item="61"/>
          <tpl fld="1" item="1"/>
        </tpls>
      </m>
      <n v="657">
        <tpls c="3">
          <tpl fld="2" item="0"/>
          <tpl fld="0" item="235"/>
          <tpl fld="1" item="1"/>
        </tpls>
      </n>
      <m>
        <tpls c="3">
          <tpl fld="2" item="0"/>
          <tpl fld="0" item="198"/>
          <tpl fld="1" item="1"/>
        </tpls>
      </m>
      <n v="2201">
        <tpls c="3">
          <tpl fld="2" item="1"/>
          <tpl fld="0" item="75"/>
          <tpl fld="1" item="3"/>
        </tpls>
      </n>
      <n v="926">
        <tpls c="2">
          <tpl fld="2" item="0"/>
          <tpl fld="0" item="229"/>
        </tpls>
      </n>
      <m>
        <tpls c="3">
          <tpl fld="2" item="1"/>
          <tpl fld="0" item="319"/>
          <tpl fld="1" item="1"/>
        </tpls>
      </m>
      <n v="927">
        <tpls c="3">
          <tpl fld="2" item="1"/>
          <tpl fld="0" item="243"/>
          <tpl fld="1" item="3"/>
        </tpls>
      </n>
      <m>
        <tpls c="3">
          <tpl fld="2" item="1"/>
          <tpl fld="0" item="167"/>
          <tpl fld="1" item="3"/>
        </tpls>
      </m>
      <n v="90">
        <tpls c="2">
          <tpl fld="2" item="0"/>
          <tpl fld="0" item="299"/>
        </tpls>
      </n>
      <m>
        <tpls c="3">
          <tpl fld="2" item="1"/>
          <tpl fld="0" item="168"/>
          <tpl fld="1" item="2"/>
        </tpls>
      </m>
      <n v="21158">
        <tpls c="2">
          <tpl fld="2" item="0"/>
          <tpl fld="0" item="224"/>
        </tpls>
      </n>
      <n v="31">
        <tpls c="3">
          <tpl fld="2" item="1"/>
          <tpl fld="0" item="56"/>
          <tpl fld="1" item="1"/>
        </tpls>
      </n>
      <m>
        <tpls c="3">
          <tpl fld="2" item="0"/>
          <tpl fld="0" item="225"/>
          <tpl fld="1" item="1"/>
        </tpls>
      </m>
      <m>
        <tpls c="3">
          <tpl fld="2" item="1"/>
          <tpl fld="0" item="280"/>
          <tpl fld="1" item="3"/>
        </tpls>
      </m>
      <n v="49201">
        <tpls c="3">
          <tpl fld="2" item="0"/>
          <tpl fld="0" item="170"/>
          <tpl fld="1" item="1"/>
        </tpls>
      </n>
      <n v="54422.5">
        <tpls c="3">
          <tpl fld="2" item="0"/>
          <tpl fld="0" item="227"/>
          <tpl fld="1" item="1"/>
        </tpls>
      </n>
      <m>
        <tpls c="3">
          <tpl fld="2" item="0"/>
          <tpl fld="0" item="4"/>
          <tpl fld="1" item="1"/>
        </tpls>
      </m>
      <n v="1666">
        <tpls c="3">
          <tpl fld="2" item="1"/>
          <tpl fld="0" item="116"/>
          <tpl fld="1" item="3"/>
        </tpls>
      </n>
      <m>
        <tpls c="3">
          <tpl fld="2" item="1"/>
          <tpl fld="0" item="281"/>
          <tpl fld="1" item="1"/>
        </tpls>
      </m>
      <n v="274">
        <tpls c="3">
          <tpl fld="2" item="1"/>
          <tpl fld="0" item="302"/>
          <tpl fld="1" item="3"/>
        </tpls>
      </n>
      <m>
        <tpls c="3">
          <tpl fld="2" item="1"/>
          <tpl fld="0" item="282"/>
          <tpl fld="1" item="0"/>
        </tpls>
      </m>
      <n v="4">
        <tpls c="3">
          <tpl fld="2" item="1"/>
          <tpl fld="0" item="7"/>
          <tpl fld="1" item="2"/>
        </tpls>
      </n>
      <m>
        <tpls c="3">
          <tpl fld="2" item="1"/>
          <tpl fld="0" item="62"/>
          <tpl fld="1" item="3"/>
        </tpls>
      </m>
      <n v="130">
        <tpls c="3">
          <tpl fld="2" item="1"/>
          <tpl fld="0" item="118"/>
          <tpl fld="1" item="1"/>
        </tpls>
      </n>
      <m>
        <tpls c="3">
          <tpl fld="2" item="0"/>
          <tpl fld="0" item="174"/>
          <tpl fld="1" item="1"/>
        </tpls>
      </m>
      <m>
        <tpls c="3">
          <tpl fld="2" item="1"/>
          <tpl fld="0" item="230"/>
          <tpl fld="1" item="2"/>
        </tpls>
      </m>
      <m>
        <tpls c="3">
          <tpl fld="2" item="1"/>
          <tpl fld="0" item="303"/>
          <tpl fld="1" item="0"/>
        </tpls>
      </m>
      <m>
        <tpls c="3">
          <tpl fld="2" item="1"/>
          <tpl fld="0" item="8"/>
          <tpl fld="1" item="3"/>
        </tpls>
      </m>
      <m>
        <tpls c="3">
          <tpl fld="2" item="1"/>
          <tpl fld="0" item="175"/>
          <tpl fld="1" item="1"/>
        </tpls>
      </m>
      <n v="6">
        <tpls c="3">
          <tpl fld="2" item="1"/>
          <tpl fld="0" item="231"/>
          <tpl fld="1" item="2"/>
        </tpls>
      </n>
      <m>
        <tpls c="3">
          <tpl fld="2" item="1"/>
          <tpl fld="0" item="9"/>
          <tpl fld="1" item="2"/>
        </tpls>
      </m>
      <m>
        <tpls c="3">
          <tpl fld="2" item="1"/>
          <tpl fld="0" item="64"/>
          <tpl fld="1" item="1"/>
        </tpls>
      </m>
      <n v="0">
        <tpls c="3">
          <tpl fld="2" item="1"/>
          <tpl fld="0" item="120"/>
          <tpl fld="1" item="1"/>
        </tpls>
      </n>
      <n v="1697">
        <tpls c="3">
          <tpl fld="2" item="1"/>
          <tpl fld="0" item="232"/>
          <tpl fld="1" item="1"/>
        </tpls>
      </n>
      <m>
        <tpls c="3">
          <tpl fld="2" item="1"/>
          <tpl fld="0" item="10"/>
          <tpl fld="1" item="1"/>
        </tpls>
      </m>
      <n v="34198">
        <tpls c="2">
          <tpl fld="2" item="0"/>
          <tpl fld="0" item="65"/>
        </tpls>
      </n>
      <n v="59452">
        <tpls c="2">
          <tpl fld="2" item="0"/>
          <tpl fld="0" item="121"/>
        </tpls>
      </n>
      <n v="73">
        <tpls c="3">
          <tpl fld="2" item="1"/>
          <tpl fld="0" item="177"/>
          <tpl fld="1" item="1"/>
        </tpls>
      </n>
      <m>
        <tpls c="3">
          <tpl fld="2" item="1"/>
          <tpl fld="0" item="177"/>
          <tpl fld="1" item="2"/>
        </tpls>
      </m>
      <n v="883">
        <tpls c="3">
          <tpl fld="2" item="1"/>
          <tpl fld="0" item="233"/>
          <tpl fld="1" item="3"/>
        </tpls>
      </n>
      <m>
        <tpls c="3">
          <tpl fld="2" item="1"/>
          <tpl fld="0" item="304"/>
          <tpl fld="1" item="0"/>
        </tpls>
      </m>
      <n v="165">
        <tpls c="3">
          <tpl fld="2" item="1"/>
          <tpl fld="0" item="11"/>
          <tpl fld="1" item="3"/>
        </tpls>
      </n>
      <n v="11090">
        <tpls c="2">
          <tpl fld="2" item="0"/>
          <tpl fld="0" item="66"/>
        </tpls>
      </n>
      <n v="115">
        <tpls c="3">
          <tpl fld="2" item="1"/>
          <tpl fld="0" item="122"/>
          <tpl fld="1" item="3"/>
        </tpls>
      </n>
      <m>
        <tpls c="3">
          <tpl fld="2" item="1"/>
          <tpl fld="0" item="178"/>
          <tpl fld="1" item="1"/>
        </tpls>
      </m>
      <n v="13659">
        <tpls c="2">
          <tpl fld="2" item="0"/>
          <tpl fld="0" item="234"/>
        </tpls>
      </n>
      <n v="12088">
        <tpls c="2">
          <tpl fld="2" item="0"/>
          <tpl fld="0" item="12"/>
        </tpls>
      </n>
      <n v="2630">
        <tpls c="2">
          <tpl fld="2" item="0"/>
          <tpl fld="0" item="123"/>
        </tpls>
      </n>
      <m>
        <tpls c="3">
          <tpl fld="2" item="1"/>
          <tpl fld="0" item="235"/>
          <tpl fld="1" item="0"/>
        </tpls>
      </m>
      <m>
        <tpls c="3">
          <tpl fld="2" item="1"/>
          <tpl fld="0" item="284"/>
          <tpl fld="1" item="1"/>
        </tpls>
      </m>
      <m>
        <tpls c="3">
          <tpl fld="2" item="1"/>
          <tpl fld="0" item="305"/>
          <tpl fld="1" item="1"/>
        </tpls>
      </m>
      <m>
        <tpls c="3">
          <tpl fld="2" item="0"/>
          <tpl fld="0" item="68"/>
          <tpl fld="1" item="1"/>
        </tpls>
      </m>
      <n v="3265">
        <tpls c="2">
          <tpl fld="2" item="0"/>
          <tpl fld="0" item="236"/>
        </tpls>
      </n>
      <m>
        <tpls c="3">
          <tpl fld="2" item="1"/>
          <tpl fld="0" item="125"/>
          <tpl fld="1" item="3"/>
        </tpls>
      </m>
      <n v="2">
        <tpls c="3">
          <tpl fld="2" item="1"/>
          <tpl fld="0" item="125"/>
          <tpl fld="1" item="1"/>
        </tpls>
      </n>
      <m>
        <tpls c="3">
          <tpl fld="2" item="1"/>
          <tpl fld="0" item="237"/>
          <tpl fld="1" item="2"/>
        </tpls>
      </m>
      <m>
        <tpls c="3">
          <tpl fld="2" item="0"/>
          <tpl fld="0" item="75"/>
          <tpl fld="1" item="2"/>
        </tpls>
      </m>
      <m>
        <tpls c="3">
          <tpl fld="2" item="1"/>
          <tpl fld="0" item="343"/>
          <tpl fld="1" item="3"/>
        </tpls>
      </m>
      <n v="5822">
        <tpls c="2">
          <tpl fld="2" item="0"/>
          <tpl fld="0" item="344"/>
        </tpls>
      </n>
      <m>
        <tpls c="3">
          <tpl fld="2" item="0"/>
          <tpl fld="0" item="37"/>
          <tpl fld="1" item="2"/>
        </tpls>
      </m>
      <n v="2358385.88">
        <tpls c="2">
          <tpl fld="2" item="0"/>
          <tpl fld="0" item="59"/>
        </tpls>
      </n>
      <n v="6">
        <tpls c="3">
          <tpl fld="2" item="1"/>
          <tpl fld="0" item="223"/>
          <tpl fld="1" item="2"/>
        </tpls>
      </n>
      <n v="50">
        <tpls c="2">
          <tpl fld="2" item="0"/>
          <tpl fld="0" item="300"/>
        </tpls>
      </n>
      <n v="31272.92">
        <tpls c="2">
          <tpl fld="2" item="0"/>
          <tpl fld="0" item="55"/>
        </tpls>
      </n>
      <n v="1">
        <tpls c="2">
          <tpl fld="2" item="1"/>
          <tpl fld="0" item="168"/>
        </tpls>
      </n>
      <n v="7">
        <tpls c="3">
          <tpl fld="2" item="1"/>
          <tpl fld="0" item="330"/>
          <tpl fld="1" item="2"/>
        </tpls>
      </n>
      <n v="2476">
        <tpls c="3">
          <tpl fld="2" item="0"/>
          <tpl fld="0" item="56"/>
          <tpl fld="1" item="1"/>
        </tpls>
      </n>
      <n v="1519">
        <tpls c="3">
          <tpl fld="2" item="1"/>
          <tpl fld="0" item="114"/>
          <tpl fld="1" item="3"/>
        </tpls>
      </n>
      <m>
        <tpls c="3">
          <tpl fld="2" item="0"/>
          <tpl fld="0" item="226"/>
          <tpl fld="1" item="2"/>
        </tpls>
      </m>
      <n v="30177">
        <tpls c="2">
          <tpl fld="2" item="0"/>
          <tpl fld="0" item="323"/>
        </tpls>
      </n>
      <m>
        <tpls c="3">
          <tpl fld="2" item="0"/>
          <tpl fld="0" item="3"/>
          <tpl fld="1" item="1"/>
        </tpls>
      </m>
      <n v="16039">
        <tpls c="3">
          <tpl fld="2" item="1"/>
          <tpl fld="0" item="59"/>
          <tpl fld="1" item="3"/>
        </tpls>
      </n>
      <m>
        <tpls c="3">
          <tpl fld="2" item="1"/>
          <tpl fld="0" item="172"/>
          <tpl fld="1" item="1"/>
        </tpls>
      </m>
      <m>
        <tpls c="3">
          <tpl fld="2" item="1"/>
          <tpl fld="0" item="5"/>
          <tpl fld="1" item="0"/>
        </tpls>
      </m>
      <n v="0">
        <tpls c="2">
          <tpl fld="2" item="0"/>
          <tpl fld="0" item="282"/>
        </tpls>
      </n>
      <n v="26">
        <tpls c="2">
          <tpl fld="2" item="0"/>
          <tpl fld="0" item="7"/>
        </tpls>
      </n>
      <n v="30">
        <tpls c="2">
          <tpl fld="2" item="0"/>
          <tpl fld="0" item="62"/>
        </tpls>
      </n>
      <m>
        <tpls c="3">
          <tpl fld="2" item="1"/>
          <tpl fld="0" item="174"/>
          <tpl fld="1" item="0"/>
        </tpls>
      </m>
      <n v="24651">
        <tpls c="3">
          <tpl fld="2" item="0"/>
          <tpl fld="0" item="230"/>
          <tpl fld="1" item="1"/>
        </tpls>
      </n>
      <n v="70">
        <tpls c="2">
          <tpl fld="2" item="1"/>
          <tpl fld="0" item="303"/>
        </tpls>
      </n>
      <n v="5">
        <tpls c="2">
          <tpl fld="2" item="1"/>
          <tpl fld="0" item="325"/>
        </tpls>
      </n>
      <m>
        <tpls c="3">
          <tpl fld="2" item="1"/>
          <tpl fld="0" item="8"/>
          <tpl fld="1" item="0"/>
        </tpls>
      </m>
      <n v="59">
        <tpls c="2">
          <tpl fld="2" item="1"/>
          <tpl fld="0" item="63"/>
        </tpls>
      </n>
      <m>
        <tpls c="3">
          <tpl fld="2" item="1"/>
          <tpl fld="0" item="119"/>
          <tpl fld="1" item="2"/>
        </tpls>
      </m>
      <n v="6">
        <tpls c="2">
          <tpl fld="2" item="1"/>
          <tpl fld="0" item="231"/>
        </tpls>
      </n>
      <n v="0">
        <tpls c="2">
          <tpl fld="2" item="1"/>
          <tpl fld="0" item="333"/>
        </tpls>
      </n>
      <n v="2485">
        <tpls c="2">
          <tpl fld="2" item="0"/>
          <tpl fld="0" item="9"/>
        </tpls>
      </n>
      <n v="205">
        <tpls c="2">
          <tpl fld="2" item="0"/>
          <tpl fld="0" item="64"/>
        </tpls>
      </n>
      <m>
        <tpls c="3">
          <tpl fld="2" item="1"/>
          <tpl fld="0" item="176"/>
          <tpl fld="1" item="3"/>
        </tpls>
      </m>
      <n v="301719.59000000003">
        <tpls c="2">
          <tpl fld="2" item="0"/>
          <tpl fld="0" item="283"/>
        </tpls>
      </n>
      <n v="280575.52">
        <tpls c="2">
          <tpl fld="2" item="0"/>
          <tpl fld="0" item="338"/>
        </tpls>
      </n>
      <n v="452">
        <tpls c="3">
          <tpl fld="2" item="1"/>
          <tpl fld="0" item="10"/>
          <tpl fld="1" item="3"/>
        </tpls>
      </n>
      <m>
        <tpls c="3">
          <tpl fld="2" item="0"/>
          <tpl fld="0" item="65"/>
          <tpl fld="1" item="2"/>
        </tpls>
      </m>
      <n v="167">
        <tpls c="2">
          <tpl fld="2" item="1"/>
          <tpl fld="0" item="334"/>
        </tpls>
      </n>
      <n v="165">
        <tpls c="2">
          <tpl fld="2" item="1"/>
          <tpl fld="0" item="11"/>
        </tpls>
      </n>
      <n v="86">
        <tpls c="2">
          <tpl fld="2" item="1"/>
          <tpl fld="0" item="66"/>
        </tpls>
      </n>
      <m>
        <tpls c="3">
          <tpl fld="2" item="1"/>
          <tpl fld="0" item="178"/>
          <tpl fld="1" item="0"/>
        </tpls>
      </m>
      <n v="108">
        <tpls c="3">
          <tpl fld="2" item="1"/>
          <tpl fld="0" item="234"/>
          <tpl fld="1" item="3"/>
        </tpls>
      </n>
      <m>
        <tpls c="3">
          <tpl fld="2" item="1"/>
          <tpl fld="0" item="12"/>
          <tpl fld="1" item="0"/>
        </tpls>
      </m>
      <n v="35">
        <tpls c="3">
          <tpl fld="2" item="1"/>
          <tpl fld="0" item="67"/>
          <tpl fld="1" item="3"/>
        </tpls>
      </n>
      <m>
        <tpls c="3">
          <tpl fld="2" item="1"/>
          <tpl fld="0" item="123"/>
          <tpl fld="1" item="1"/>
        </tpls>
      </m>
      <m>
        <tpls c="3">
          <tpl fld="2" item="0"/>
          <tpl fld="0" item="235"/>
          <tpl fld="1" item="2"/>
        </tpls>
      </m>
      <n v="120">
        <tpls c="3">
          <tpl fld="2" item="0"/>
          <tpl fld="0" item="124"/>
          <tpl fld="1" item="2"/>
        </tpls>
      </n>
      <n v="10">
        <tpls c="2">
          <tpl fld="2" item="0"/>
          <tpl fld="0" item="327"/>
        </tpls>
      </n>
      <n v="2">
        <tpls c="2">
          <tpl fld="2" item="1"/>
          <tpl fld="0" item="125"/>
        </tpls>
      </n>
      <n v="81">
        <tpls c="2">
          <tpl fld="2" item="0"/>
          <tpl fld="0" item="181"/>
        </tpls>
      </n>
      <n v="50">
        <tpls c="2">
          <tpl fld="2" item="0"/>
          <tpl fld="0" item="237"/>
        </tpls>
      </n>
      <n v="640">
        <tpls c="3">
          <tpl fld="2" item="0"/>
          <tpl fld="0" item="285"/>
          <tpl fld="1" item="1"/>
        </tpls>
      </n>
      <n v="138">
        <tpls c="3">
          <tpl fld="2" item="1"/>
          <tpl fld="0" item="14"/>
          <tpl fld="1" item="1"/>
        </tpls>
      </n>
      <m>
        <tpls c="3">
          <tpl fld="2" item="0"/>
          <tpl fld="0" item="69"/>
          <tpl fld="1" item="2"/>
        </tpls>
      </m>
      <m>
        <tpls c="3">
          <tpl fld="2" item="1"/>
          <tpl fld="0" item="182"/>
          <tpl fld="1" item="3"/>
        </tpls>
      </m>
      <m>
        <tpls c="3">
          <tpl fld="2" item="1"/>
          <tpl fld="0" item="238"/>
          <tpl fld="1" item="3"/>
        </tpls>
      </m>
      <n v="14426">
        <tpls c="2">
          <tpl fld="2" item="0"/>
          <tpl fld="0" item="238"/>
        </tpls>
      </n>
      <n v="36">
        <tpls c="2">
          <tpl fld="2" item="1"/>
          <tpl fld="0" item="339"/>
        </tpls>
      </n>
      <m>
        <tpls c="3">
          <tpl fld="2" item="1"/>
          <tpl fld="0" item="306"/>
          <tpl fld="1" item="2"/>
        </tpls>
      </m>
      <n v="0">
        <tpls c="2">
          <tpl fld="2" item="1"/>
          <tpl fld="0" item="15"/>
        </tpls>
      </n>
      <n v="0">
        <tpls c="3">
          <tpl fld="2" item="1"/>
          <tpl fld="0" item="15"/>
          <tpl fld="1" item="1"/>
        </tpls>
      </n>
      <m>
        <tpls c="3">
          <tpl fld="2" item="0"/>
          <tpl fld="0" item="70"/>
          <tpl fld="1" item="2"/>
        </tpls>
      </m>
      <m>
        <tpls c="3">
          <tpl fld="2" item="1"/>
          <tpl fld="0" item="127"/>
          <tpl fld="1" item="2"/>
        </tpls>
      </m>
      <n v="2">
        <tpls c="2">
          <tpl fld="2" item="1"/>
          <tpl fld="0" item="183"/>
        </tpls>
      </n>
      <m>
        <tpls c="3">
          <tpl fld="2" item="1"/>
          <tpl fld="0" item="239"/>
          <tpl fld="1" item="0"/>
        </tpls>
      </m>
      <n v="1">
        <tpls c="3">
          <tpl fld="2" item="1"/>
          <tpl fld="0" item="239"/>
          <tpl fld="1" item="1"/>
        </tpls>
      </n>
      <n v="145">
        <tpls c="2">
          <tpl fld="2" item="0"/>
          <tpl fld="0" item="335"/>
        </tpls>
      </n>
      <m>
        <tpls c="3">
          <tpl fld="2" item="1"/>
          <tpl fld="0" item="16"/>
          <tpl fld="1" item="2"/>
        </tpls>
      </m>
      <n v="5812">
        <tpls c="3">
          <tpl fld="2" item="1"/>
          <tpl fld="0" item="16"/>
          <tpl fld="1" item="3"/>
        </tpls>
      </n>
      <n v="0">
        <tpls c="3">
          <tpl fld="2" item="1"/>
          <tpl fld="0" item="71"/>
          <tpl fld="1" item="0"/>
        </tpls>
      </n>
      <n v="103713">
        <tpls c="3">
          <tpl fld="2" item="0"/>
          <tpl fld="0" item="128"/>
          <tpl fld="1" item="1"/>
        </tpls>
      </n>
      <n v="885">
        <tpls c="2">
          <tpl fld="2" item="1"/>
          <tpl fld="0" item="184"/>
        </tpls>
      </n>
      <m>
        <tpls c="3">
          <tpl fld="2" item="1"/>
          <tpl fld="0" item="240"/>
          <tpl fld="1" item="2"/>
        </tpls>
      </m>
      <n v="434">
        <tpls c="3">
          <tpl fld="2" item="1"/>
          <tpl fld="0" item="240"/>
          <tpl fld="1" item="3"/>
        </tpls>
      </n>
      <n v="499">
        <tpls c="2">
          <tpl fld="2" item="1"/>
          <tpl fld="0" item="286"/>
        </tpls>
      </n>
      <m>
        <tpls c="3">
          <tpl fld="2" item="1"/>
          <tpl fld="0" item="72"/>
          <tpl fld="1" item="0"/>
        </tpls>
      </m>
      <n v="16700">
        <tpls c="2">
          <tpl fld="2" item="0"/>
          <tpl fld="0" item="72"/>
        </tpls>
      </n>
      <n v="189">
        <tpls c="2">
          <tpl fld="2" item="1"/>
          <tpl fld="0" item="129"/>
        </tpls>
      </n>
      <n v="60">
        <tpls c="2">
          <tpl fld="2" item="0"/>
          <tpl fld="0" item="354"/>
        </tpls>
      </n>
      <m>
        <tpls c="3">
          <tpl fld="2" item="0"/>
          <tpl fld="0" item="86"/>
          <tpl fld="1" item="2"/>
        </tpls>
      </m>
      <m>
        <tpls c="3">
          <tpl fld="2" item="0"/>
          <tpl fld="0" item="344"/>
          <tpl fld="1" item="0"/>
        </tpls>
      </m>
      <n v="6">
        <tpls c="2">
          <tpl fld="2" item="1"/>
          <tpl fld="0" item="223"/>
        </tpls>
      </n>
      <n v="276">
        <tpls c="2">
          <tpl fld="2" item="1"/>
          <tpl fld="0" item="322"/>
        </tpls>
      </n>
      <n v="312">
        <tpls c="3">
          <tpl fld="2" item="1"/>
          <tpl fld="0" item="55"/>
          <tpl fld="1" item="1"/>
        </tpls>
      </n>
      <n v="10">
        <tpls c="3">
          <tpl fld="2" item="0"/>
          <tpl fld="0" item="168"/>
          <tpl fld="1" item="1"/>
        </tpls>
      </n>
      <m>
        <tpls c="3">
          <tpl fld="2" item="1"/>
          <tpl fld="0" item="330"/>
          <tpl fld="1" item="1"/>
        </tpls>
      </m>
      <m>
        <tpls c="3">
          <tpl fld="2" item="1"/>
          <tpl fld="0" item="1"/>
          <tpl fld="1" item="3"/>
        </tpls>
      </m>
      <n v="1">
        <tpls c="2">
          <tpl fld="2" item="1"/>
          <tpl fld="0" item="113"/>
        </tpls>
      </n>
      <n v="2">
        <tpls c="2">
          <tpl fld="2" item="1"/>
          <tpl fld="0" item="225"/>
        </tpls>
      </n>
      <n v="1">
        <tpls c="2">
          <tpl fld="2" item="1"/>
          <tpl fld="0" item="280"/>
        </tpls>
      </n>
      <n v="0">
        <tpls c="2">
          <tpl fld="2" item="1"/>
          <tpl fld="0" item="2"/>
        </tpls>
      </n>
      <n v="1">
        <tpls c="3">
          <tpl fld="2" item="1"/>
          <tpl fld="0" item="114"/>
          <tpl fld="1" item="2"/>
        </tpls>
      </n>
      <n v="47978">
        <tpls c="2">
          <tpl fld="2" item="0"/>
          <tpl fld="0" item="226"/>
        </tpls>
      </n>
      <m>
        <tpls c="3">
          <tpl fld="2" item="0"/>
          <tpl fld="0" item="331"/>
          <tpl fld="1" item="0"/>
        </tpls>
      </m>
      <n v="643">
        <tpls c="3">
          <tpl fld="2" item="1"/>
          <tpl fld="0" item="58"/>
          <tpl fld="1" item="3"/>
        </tpls>
      </n>
      <m>
        <tpls c="3">
          <tpl fld="2" item="1"/>
          <tpl fld="0" item="171"/>
          <tpl fld="1" item="2"/>
        </tpls>
      </m>
      <n v="338">
        <tpls c="3">
          <tpl fld="2" item="0"/>
          <tpl fld="0" item="116"/>
          <tpl fld="1" item="2"/>
        </tpls>
      </n>
      <m>
        <tpls c="3">
          <tpl fld="2" item="1"/>
          <tpl fld="0" item="172"/>
          <tpl fld="1" item="0"/>
        </tpls>
      </m>
      <n v="97">
        <tpls c="2">
          <tpl fld="2" item="1"/>
          <tpl fld="0" item="281"/>
        </tpls>
      </n>
      <m>
        <tpls c="3">
          <tpl fld="2" item="0"/>
          <tpl fld="0" item="281"/>
          <tpl fld="1" item="1"/>
        </tpls>
      </m>
      <n v="0">
        <tpls c="2">
          <tpl fld="2" item="1"/>
          <tpl fld="0" item="367"/>
        </tpls>
      </n>
      <n v="1">
        <tpls c="3">
          <tpl fld="2" item="1"/>
          <tpl fld="0" item="19"/>
          <tpl fld="1" item="2"/>
        </tpls>
      </n>
      <m>
        <tpls c="3">
          <tpl fld="2" item="0"/>
          <tpl fld="0" item="302"/>
          <tpl fld="1" item="1"/>
        </tpls>
      </m>
      <m>
        <tpls c="3">
          <tpl fld="2" item="0"/>
          <tpl fld="0" item="30"/>
          <tpl fld="1" item="0"/>
        </tpls>
      </m>
      <n v="410">
        <tpls c="3">
          <tpl fld="2" item="0"/>
          <tpl fld="0" item="371"/>
          <tpl fld="1" item="1"/>
        </tpls>
      </n>
      <m>
        <tpls c="3">
          <tpl fld="2" item="0"/>
          <tpl fld="0" item="37"/>
          <tpl fld="1" item="1"/>
        </tpls>
      </m>
      <n v="28">
        <tpls c="3">
          <tpl fld="2" item="1"/>
          <tpl fld="0" item="142"/>
          <tpl fld="1" item="3"/>
        </tpls>
      </n>
      <m>
        <tpls c="3">
          <tpl fld="2" item="1"/>
          <tpl fld="0" item="42"/>
          <tpl fld="1" item="0"/>
        </tpls>
      </m>
      <m>
        <tpls c="3">
          <tpl fld="2" item="0"/>
          <tpl fld="0" item="223"/>
          <tpl fld="1" item="1"/>
        </tpls>
      </m>
      <m>
        <tpls c="3">
          <tpl fld="2" item="0"/>
          <tpl fld="0" item="322"/>
          <tpl fld="1" item="0"/>
        </tpls>
      </m>
      <n v="31272.92">
        <tpls c="3">
          <tpl fld="2" item="0"/>
          <tpl fld="0" item="55"/>
          <tpl fld="1" item="1"/>
        </tpls>
      </n>
      <m>
        <tpls c="3">
          <tpl fld="2" item="0"/>
          <tpl fld="0" item="168"/>
          <tpl fld="1" item="0"/>
        </tpls>
      </m>
      <m>
        <tpls c="3">
          <tpl fld="2" item="0"/>
          <tpl fld="0" item="1"/>
          <tpl fld="1" item="3"/>
        </tpls>
      </m>
      <m>
        <tpls c="3">
          <tpl fld="2" item="1"/>
          <tpl fld="0" item="113"/>
          <tpl fld="1" item="2"/>
        </tpls>
      </m>
      <m>
        <tpls c="3">
          <tpl fld="2" item="1"/>
          <tpl fld="0" item="225"/>
          <tpl fld="1" item="0"/>
        </tpls>
      </m>
      <n v="5">
        <tpls c="3">
          <tpl fld="2" item="0"/>
          <tpl fld="0" item="280"/>
          <tpl fld="1" item="2"/>
        </tpls>
      </n>
      <m>
        <tpls c="3">
          <tpl fld="2" item="0"/>
          <tpl fld="0" item="2"/>
          <tpl fld="1" item="2"/>
        </tpls>
      </m>
      <m>
        <tpls c="3">
          <tpl fld="2" item="0"/>
          <tpl fld="0" item="170"/>
          <tpl fld="1" item="0"/>
        </tpls>
      </m>
      <n v="9789">
        <tpls c="3">
          <tpl fld="2" item="0"/>
          <tpl fld="0" item="301"/>
          <tpl fld="1" item="2"/>
        </tpls>
      </n>
      <n v="25375">
        <tpls c="3">
          <tpl fld="2" item="0"/>
          <tpl fld="0" item="331"/>
          <tpl fld="1" item="3"/>
        </tpls>
      </n>
      <n v="32172.66">
        <tpls c="3">
          <tpl fld="2" item="0"/>
          <tpl fld="0" item="381"/>
          <tpl fld="1" item="3"/>
        </tpls>
      </n>
      <n v="105">
        <tpls c="3">
          <tpl fld="2" item="0"/>
          <tpl fld="0" item="74"/>
          <tpl fld="1" item="2"/>
        </tpls>
      </n>
      <n v="0">
        <tpls c="3">
          <tpl fld="2" item="1"/>
          <tpl fld="0" item="355"/>
          <tpl fld="1" item="2"/>
        </tpls>
      </n>
      <m>
        <tpls c="3">
          <tpl fld="2" item="0"/>
          <tpl fld="0" item="29"/>
          <tpl fld="1" item="0"/>
        </tpls>
      </m>
      <n v="9">
        <tpls c="3">
          <tpl fld="2" item="1"/>
          <tpl fld="0" item="26"/>
          <tpl fld="1" item="1"/>
        </tpls>
      </n>
      <n v="620">
        <tpls c="3">
          <tpl fld="2" item="1"/>
          <tpl fld="0" item="287"/>
          <tpl fld="1" item="3"/>
        </tpls>
      </n>
      <m>
        <tpls c="3">
          <tpl fld="2" item="0"/>
          <tpl fld="0" item="388"/>
          <tpl fld="1" item="1"/>
        </tpls>
      </m>
      <n v="521">
        <tpls c="3">
          <tpl fld="2" item="1"/>
          <tpl fld="0" item="352"/>
          <tpl fld="1" item="3"/>
        </tpls>
      </n>
      <m>
        <tpls c="3">
          <tpl fld="2" item="1"/>
          <tpl fld="0" item="142"/>
          <tpl fld="1" item="0"/>
        </tpls>
      </m>
      <n v="0">
        <tpls c="3">
          <tpl fld="2" item="0"/>
          <tpl fld="0" item="111"/>
          <tpl fld="1" item="2"/>
        </tpls>
      </n>
      <m>
        <tpls c="3">
          <tpl fld="2" item="1"/>
          <tpl fld="0" item="299"/>
          <tpl fld="1" item="1"/>
        </tpls>
      </m>
      <m>
        <tpls c="3">
          <tpl fld="2" item="0"/>
          <tpl fld="0" item="0"/>
          <tpl fld="1" item="3"/>
        </tpls>
      </m>
      <n v="188">
        <tpls c="2">
          <tpl fld="2" item="1"/>
          <tpl fld="0" item="112"/>
        </tpls>
      </n>
      <n v="124">
        <tpls c="3">
          <tpl fld="2" item="1"/>
          <tpl fld="0" item="224"/>
          <tpl fld="1" item="1"/>
        </tpls>
      </n>
      <m>
        <tpls c="3">
          <tpl fld="2" item="1"/>
          <tpl fld="0" item="377"/>
          <tpl fld="1" item="0"/>
        </tpls>
      </m>
      <n v="0">
        <tpls c="3">
          <tpl fld="2" item="0"/>
          <tpl fld="0" item="1"/>
          <tpl fld="1" item="1"/>
        </tpls>
      </n>
      <m>
        <tpls c="3">
          <tpl fld="2" item="1"/>
          <tpl fld="0" item="169"/>
          <tpl fld="1" item="3"/>
        </tpls>
      </m>
      <m>
        <tpls c="3">
          <tpl fld="2" item="1"/>
          <tpl fld="0" item="279"/>
          <tpl fld="1" item="2"/>
        </tpls>
      </m>
      <n v="0">
        <tpls c="2">
          <tpl fld="2" item="0"/>
          <tpl fld="0" item="378"/>
        </tpls>
      </n>
      <m>
        <tpls c="3">
          <tpl fld="2" item="1"/>
          <tpl fld="0" item="57"/>
          <tpl fld="1" item="2"/>
        </tpls>
      </m>
      <n v="1453">
        <tpls c="3">
          <tpl fld="2" item="1"/>
          <tpl fld="0" item="170"/>
          <tpl fld="1" item="3"/>
        </tpls>
      </n>
      <n v="11752">
        <tpls c="3">
          <tpl fld="2" item="1"/>
          <tpl fld="0" item="301"/>
          <tpl fld="1" item="3"/>
        </tpls>
      </n>
      <n v="191">
        <tpls c="3">
          <tpl fld="2" item="1"/>
          <tpl fld="0" item="3"/>
          <tpl fld="1" item="3"/>
        </tpls>
      </n>
      <n v="17478">
        <tpls c="3">
          <tpl fld="2" item="0"/>
          <tpl fld="0" item="58"/>
          <tpl fld="1" item="1"/>
        </tpls>
      </n>
      <n v="14582">
        <tpls c="3">
          <tpl fld="2" item="0"/>
          <tpl fld="0" item="227"/>
          <tpl fld="1" item="0"/>
        </tpls>
      </n>
      <n v="26">
        <tpls c="3">
          <tpl fld="2" item="1"/>
          <tpl fld="0" item="4"/>
          <tpl fld="1" item="3"/>
        </tpls>
      </n>
      <n v="10">
        <tpls c="3">
          <tpl fld="2" item="1"/>
          <tpl fld="0" item="116"/>
          <tpl fld="1" item="1"/>
        </tpls>
      </n>
      <m>
        <tpls c="3">
          <tpl fld="2" item="1"/>
          <tpl fld="0" item="228"/>
          <tpl fld="1" item="1"/>
        </tpls>
      </m>
      <n v="97">
        <tpls c="3">
          <tpl fld="2" item="1"/>
          <tpl fld="0" item="281"/>
          <tpl fld="1" item="3"/>
        </tpls>
      </n>
      <m>
        <tpls c="3">
          <tpl fld="2" item="1"/>
          <tpl fld="0" item="302"/>
          <tpl fld="1" item="1"/>
        </tpls>
      </m>
      <m>
        <tpls c="3">
          <tpl fld="2" item="0"/>
          <tpl fld="0" item="282"/>
          <tpl fld="1" item="0"/>
        </tpls>
      </m>
      <m>
        <tpls c="3">
          <tpl fld="2" item="0"/>
          <tpl fld="0" item="7"/>
          <tpl fld="1" item="0"/>
        </tpls>
      </m>
      <m>
        <tpls c="3">
          <tpl fld="2" item="0"/>
          <tpl fld="0" item="62"/>
          <tpl fld="1" item="3"/>
        </tpls>
      </m>
      <m>
        <tpls c="3">
          <tpl fld="2" item="0"/>
          <tpl fld="0" item="118"/>
          <tpl fld="1" item="3"/>
        </tpls>
      </m>
      <m>
        <tpls c="3">
          <tpl fld="2" item="0"/>
          <tpl fld="0" item="174"/>
          <tpl fld="1" item="3"/>
        </tpls>
      </m>
      <n v="34">
        <tpls c="2">
          <tpl fld="2" item="1"/>
          <tpl fld="0" item="230"/>
        </tpls>
      </n>
      <n v="11">
        <tpls c="2">
          <tpl fld="2" item="1"/>
          <tpl fld="0" item="379"/>
        </tpls>
      </n>
      <m>
        <tpls c="3">
          <tpl fld="2" item="0"/>
          <tpl fld="0" item="303"/>
          <tpl fld="1" item="3"/>
        </tpls>
      </m>
      <n v="181">
        <tpls c="2">
          <tpl fld="2" item="0"/>
          <tpl fld="0" item="325"/>
        </tpls>
      </n>
      <n v="1389">
        <tpls c="2">
          <tpl fld="2" item="0"/>
          <tpl fld="0" item="8"/>
        </tpls>
      </n>
      <n v="8725">
        <tpls c="2">
          <tpl fld="2" item="0"/>
          <tpl fld="0" item="63"/>
        </tpls>
      </n>
      <m>
        <tpls c="3">
          <tpl fld="2" item="0"/>
          <tpl fld="0" item="175"/>
          <tpl fld="1" item="1"/>
        </tpls>
      </m>
      <m>
        <tpls c="3">
          <tpl fld="2" item="0"/>
          <tpl fld="0" item="231"/>
          <tpl fld="1" item="1"/>
        </tpls>
      </m>
      <n v="0">
        <tpls c="3">
          <tpl fld="2" item="0"/>
          <tpl fld="0" item="333"/>
          <tpl fld="1" item="1"/>
        </tpls>
      </n>
      <m>
        <tpls c="3">
          <tpl fld="2" item="1"/>
          <tpl fld="0" item="9"/>
          <tpl fld="1" item="3"/>
        </tpls>
      </m>
      <m>
        <tpls c="3">
          <tpl fld="2" item="0"/>
          <tpl fld="0" item="64"/>
          <tpl fld="1" item="0"/>
        </tpls>
      </m>
      <m>
        <tpls c="3">
          <tpl fld="2" item="0"/>
          <tpl fld="0" item="120"/>
          <tpl fld="1" item="0"/>
        </tpls>
      </m>
      <n v="0">
        <tpls c="3">
          <tpl fld="2" item="0"/>
          <tpl fld="0" item="176"/>
          <tpl fld="1" item="1"/>
        </tpls>
      </n>
      <n v="188919.11">
        <tpls c="3">
          <tpl fld="2" item="0"/>
          <tpl fld="0" item="232"/>
          <tpl fld="1" item="1"/>
        </tpls>
      </n>
      <m>
        <tpls c="3">
          <tpl fld="2" item="0"/>
          <tpl fld="0" item="283"/>
          <tpl fld="1" item="1"/>
        </tpls>
      </m>
      <m>
        <tpls c="3">
          <tpl fld="2" item="0"/>
          <tpl fld="0" item="338"/>
          <tpl fld="1" item="0"/>
        </tpls>
      </m>
      <m>
        <tpls c="3">
          <tpl fld="2" item="0"/>
          <tpl fld="0" item="10"/>
          <tpl fld="1" item="0"/>
        </tpls>
      </m>
      <m>
        <tpls c="3">
          <tpl fld="2" item="1"/>
          <tpl fld="0" item="65"/>
          <tpl fld="1" item="0"/>
        </tpls>
      </m>
      <m>
        <tpls c="3">
          <tpl fld="2" item="0"/>
          <tpl fld="0" item="177"/>
          <tpl fld="1" item="2"/>
        </tpls>
      </m>
      <m>
        <tpls c="3">
          <tpl fld="2" item="0"/>
          <tpl fld="0" item="233"/>
          <tpl fld="1" item="2"/>
        </tpls>
      </m>
      <m>
        <tpls c="3">
          <tpl fld="2" item="0"/>
          <tpl fld="0" item="304"/>
          <tpl fld="1" item="2"/>
        </tpls>
      </m>
      <m>
        <tpls c="3">
          <tpl fld="2" item="0"/>
          <tpl fld="0" item="326"/>
          <tpl fld="1" item="1"/>
        </tpls>
      </m>
      <m>
        <tpls c="3">
          <tpl fld="2" item="0"/>
          <tpl fld="0" item="334"/>
          <tpl fld="1" item="1"/>
        </tpls>
      </m>
      <m>
        <tpls c="3">
          <tpl fld="2" item="0"/>
          <tpl fld="0" item="11"/>
          <tpl fld="1" item="1"/>
        </tpls>
      </m>
      <m>
        <tpls c="3">
          <tpl fld="2" item="0"/>
          <tpl fld="0" item="66"/>
          <tpl fld="1" item="0"/>
        </tpls>
      </m>
      <n v="132">
        <tpls c="2">
          <tpl fld="2" item="1"/>
          <tpl fld="0" item="122"/>
        </tpls>
      </n>
      <n v="65">
        <tpls c="2">
          <tpl fld="2" item="1"/>
          <tpl fld="0" item="178"/>
        </tpls>
      </n>
      <m>
        <tpls c="3">
          <tpl fld="2" item="1"/>
          <tpl fld="0" item="234"/>
          <tpl fld="1" item="1"/>
        </tpls>
      </m>
      <m>
        <tpls c="3">
          <tpl fld="2" item="1"/>
          <tpl fld="0" item="366"/>
          <tpl fld="1" item="0"/>
        </tpls>
      </m>
      <m>
        <tpls c="3">
          <tpl fld="2" item="1"/>
          <tpl fld="0" item="12"/>
          <tpl fld="1" item="1"/>
        </tpls>
      </m>
      <m>
        <tpls c="3">
          <tpl fld="2" item="1"/>
          <tpl fld="0" item="123"/>
          <tpl fld="1" item="0"/>
        </tpls>
      </m>
      <m>
        <tpls c="3">
          <tpl fld="2" item="0"/>
          <tpl fld="0" item="179"/>
          <tpl fld="1" item="2"/>
        </tpls>
      </m>
      <m>
        <tpls c="3">
          <tpl fld="2" item="0"/>
          <tpl fld="0" item="284"/>
          <tpl fld="1" item="1"/>
        </tpls>
      </m>
      <n v="773">
        <tpls c="2">
          <tpl fld="2" item="0"/>
          <tpl fld="0" item="13"/>
        </tpls>
      </n>
      <n v="234">
        <tpls c="2">
          <tpl fld="2" item="0"/>
          <tpl fld="0" item="180"/>
        </tpls>
      </n>
      <m>
        <tpls c="3">
          <tpl fld="2" item="1"/>
          <tpl fld="0" item="125"/>
          <tpl fld="1" item="0"/>
        </tpls>
      </m>
      <m>
        <tpls c="3">
          <tpl fld="2" item="1"/>
          <tpl fld="0" item="181"/>
          <tpl fld="1" item="0"/>
        </tpls>
      </m>
      <m>
        <tpls c="3">
          <tpl fld="2" item="1"/>
          <tpl fld="0" item="237"/>
          <tpl fld="1" item="0"/>
        </tpls>
      </m>
      <m>
        <tpls c="3">
          <tpl fld="2" item="0"/>
          <tpl fld="0" item="285"/>
          <tpl fld="1" item="3"/>
        </tpls>
      </m>
      <m>
        <tpls c="3">
          <tpl fld="2" item="1"/>
          <tpl fld="0" item="14"/>
          <tpl fld="1" item="2"/>
        </tpls>
      </m>
      <m>
        <tpls c="3">
          <tpl fld="2" item="1"/>
          <tpl fld="0" item="69"/>
          <tpl fld="1" item="0"/>
        </tpls>
      </m>
      <m>
        <tpls c="3">
          <tpl fld="2" item="1"/>
          <tpl fld="0" item="126"/>
          <tpl fld="1" item="3"/>
        </tpls>
      </m>
      <n v="20905">
        <tpls c="2">
          <tpl fld="2" item="0"/>
          <tpl fld="0" item="126"/>
        </tpls>
      </n>
      <n v="60">
        <tpls c="2">
          <tpl fld="2" item="1"/>
          <tpl fld="0" item="182"/>
        </tpls>
      </n>
      <m>
        <tpls c="3">
          <tpl fld="2" item="0"/>
          <tpl fld="0" item="238"/>
          <tpl fld="1" item="0"/>
        </tpls>
      </m>
      <m>
        <tpls c="3">
          <tpl fld="2" item="1"/>
          <tpl fld="0" item="339"/>
          <tpl fld="1" item="0"/>
        </tpls>
      </m>
      <m>
        <tpls c="3">
          <tpl fld="2" item="1"/>
          <tpl fld="0" item="306"/>
          <tpl fld="1" item="0"/>
        </tpls>
      </m>
      <n v="3">
        <tpls c="3">
          <tpl fld="2" item="1"/>
          <tpl fld="0" item="306"/>
          <tpl fld="1" item="1"/>
        </tpls>
      </n>
      <n v="0">
        <tpls c="3">
          <tpl fld="2" item="0"/>
          <tpl fld="0" item="328"/>
          <tpl fld="1" item="2"/>
        </tpls>
      </n>
      <m>
        <tpls c="3">
          <tpl fld="2" item="1"/>
          <tpl fld="0" item="15"/>
          <tpl fld="1" item="2"/>
        </tpls>
      </m>
      <n v="4">
        <tpls c="2">
          <tpl fld="2" item="1"/>
          <tpl fld="0" item="70"/>
        </tpls>
      </n>
      <m>
        <tpls c="3">
          <tpl fld="2" item="1"/>
          <tpl fld="0" item="127"/>
          <tpl fld="1" item="0"/>
        </tpls>
      </m>
      <n v="6">
        <tpls c="3">
          <tpl fld="2" item="1"/>
          <tpl fld="0" item="127"/>
          <tpl fld="1" item="1"/>
        </tpls>
      </n>
      <n v="28">
        <tpls c="3">
          <tpl fld="2" item="0"/>
          <tpl fld="0" item="183"/>
          <tpl fld="1" item="2"/>
        </tpls>
      </n>
      <m>
        <tpls c="3">
          <tpl fld="2" item="1"/>
          <tpl fld="0" item="239"/>
          <tpl fld="1" item="2"/>
        </tpls>
      </m>
      <m>
        <tpls c="3">
          <tpl fld="2" item="0"/>
          <tpl fld="0" item="335"/>
          <tpl fld="1" item="0"/>
        </tpls>
      </m>
      <n v="2">
        <tpls c="2">
          <tpl fld="2" item="1"/>
          <tpl fld="0" item="354"/>
        </tpls>
      </n>
      <n v="2">
        <tpls c="3">
          <tpl fld="2" item="1"/>
          <tpl fld="0" item="354"/>
          <tpl fld="1" item="1"/>
        </tpls>
      </n>
      <m>
        <tpls c="3">
          <tpl fld="2" item="1"/>
          <tpl fld="0" item="367"/>
          <tpl fld="1" item="0"/>
        </tpls>
      </m>
      <n v="500784.27">
        <tpls c="2">
          <tpl fld="2" item="0"/>
          <tpl fld="0" item="16"/>
        </tpls>
      </n>
      <n v="44">
        <tpls c="3">
          <tpl fld="2" item="0"/>
          <tpl fld="0" item="71"/>
          <tpl fld="1" item="1"/>
        </tpls>
      </n>
      <n v="581448.92000000004">
        <tpls c="2">
          <tpl fld="2" item="0"/>
          <tpl fld="0" item="128"/>
        </tpls>
      </n>
      <n v="5179">
        <tpls c="3">
          <tpl fld="2" item="1"/>
          <tpl fld="0" item="128"/>
          <tpl fld="1" item="3"/>
        </tpls>
      </n>
      <m>
        <tpls c="3">
          <tpl fld="2" item="1"/>
          <tpl fld="0" item="184"/>
          <tpl fld="1" item="0"/>
        </tpls>
      </m>
      <n v="217325.02">
        <tpls c="2">
          <tpl fld="2" item="0"/>
          <tpl fld="0" item="240"/>
        </tpls>
      </n>
      <m>
        <tpls c="3">
          <tpl fld="2" item="0"/>
          <tpl fld="0" item="286"/>
          <tpl fld="1" item="0"/>
        </tpls>
      </m>
      <m>
        <tpls c="3">
          <tpl fld="2" item="1"/>
          <tpl fld="0" item="381"/>
          <tpl fld="1" item="0"/>
        </tpls>
      </m>
      <n v="32172.66">
        <tpls c="2">
          <tpl fld="2" item="0"/>
          <tpl fld="0" item="381"/>
        </tpls>
      </n>
      <n v="206">
        <tpls c="2">
          <tpl fld="2" item="1"/>
          <tpl fld="0" item="17"/>
        </tpls>
      </n>
      <n v="16700">
        <tpls c="3">
          <tpl fld="2" item="0"/>
          <tpl fld="0" item="72"/>
          <tpl fld="1" item="3"/>
        </tpls>
      </n>
      <m>
        <tpls c="3">
          <tpl fld="2" item="0"/>
          <tpl fld="0" item="129"/>
          <tpl fld="1" item="0"/>
        </tpls>
      </m>
      <m>
        <tpls c="3">
          <tpl fld="2" item="1"/>
          <tpl fld="0" item="185"/>
          <tpl fld="1" item="0"/>
        </tpls>
      </m>
      <n v="341890">
        <tpls c="2">
          <tpl fld="2" item="0"/>
          <tpl fld="0" item="185"/>
        </tpls>
      </n>
      <m>
        <tpls c="3">
          <tpl fld="2" item="0"/>
          <tpl fld="0" item="228"/>
          <tpl fld="1" item="1"/>
        </tpls>
      </m>
      <m>
        <tpls c="3">
          <tpl fld="2" item="0"/>
          <tpl fld="0" item="243"/>
          <tpl fld="1" item="2"/>
        </tpls>
      </m>
      <m>
        <tpls c="3">
          <tpl fld="2" item="1"/>
          <tpl fld="0" item="20"/>
          <tpl fld="1" item="2"/>
        </tpls>
      </m>
      <m>
        <tpls c="3">
          <tpl fld="2" item="0"/>
          <tpl fld="0" item="18"/>
          <tpl fld="1" item="0"/>
        </tpls>
      </m>
      <m>
        <tpls c="3">
          <tpl fld="2" item="1"/>
          <tpl fld="0" item="324"/>
          <tpl fld="1" item="2"/>
        </tpls>
      </m>
      <n v="760">
        <tpls c="3">
          <tpl fld="2" item="0"/>
          <tpl fld="0" item="399"/>
          <tpl fld="1" item="0"/>
        </tpls>
      </n>
      <n v="6336.5">
        <tpls c="2">
          <tpl fld="2" item="0"/>
          <tpl fld="0" item="82"/>
        </tpls>
      </n>
      <m>
        <tpls c="3">
          <tpl fld="2" item="1"/>
          <tpl fld="0" item="180"/>
          <tpl fld="1" item="0"/>
        </tpls>
      </m>
      <n v="220">
        <tpls c="3">
          <tpl fld="2" item="1"/>
          <tpl fld="0" item="82"/>
          <tpl fld="1" item="3"/>
        </tpls>
      </n>
      <n v="1">
        <tpls c="2">
          <tpl fld="2" item="1"/>
          <tpl fld="0" item="167"/>
        </tpls>
      </n>
      <m>
        <tpls c="3">
          <tpl fld="2" item="0"/>
          <tpl fld="0" item="299"/>
          <tpl fld="1" item="1"/>
        </tpls>
      </m>
      <n v="179">
        <tpls c="3">
          <tpl fld="2" item="1"/>
          <tpl fld="0" item="0"/>
          <tpl fld="1" item="1"/>
        </tpls>
      </n>
      <m>
        <tpls c="3">
          <tpl fld="2" item="0"/>
          <tpl fld="0" item="112"/>
          <tpl fld="1" item="2"/>
        </tpls>
      </m>
      <n v="21158">
        <tpls c="3">
          <tpl fld="2" item="0"/>
          <tpl fld="0" item="224"/>
          <tpl fld="1" item="1"/>
        </tpls>
      </n>
      <m>
        <tpls c="3">
          <tpl fld="2" item="1"/>
          <tpl fld="0" item="336"/>
          <tpl fld="1" item="3"/>
        </tpls>
      </m>
      <m>
        <tpls c="3">
          <tpl fld="2" item="0"/>
          <tpl fld="0" item="1"/>
          <tpl fld="1" item="0"/>
        </tpls>
      </m>
      <n v="4">
        <tpls c="2">
          <tpl fld="2" item="1"/>
          <tpl fld="0" item="169"/>
        </tpls>
      </n>
      <m>
        <tpls c="3">
          <tpl fld="2" item="0"/>
          <tpl fld="0" item="279"/>
          <tpl fld="1" item="3"/>
        </tpls>
      </m>
      <m>
        <tpls c="3">
          <tpl fld="2" item="1"/>
          <tpl fld="0" item="378"/>
          <tpl fld="1" item="1"/>
        </tpls>
      </m>
      <n v="4564">
        <tpls c="2">
          <tpl fld="2" item="1"/>
          <tpl fld="0" item="57"/>
        </tpls>
      </n>
      <n v="331176.21000000002">
        <tpls c="2">
          <tpl fld="2" item="0"/>
          <tpl fld="0" item="170"/>
        </tpls>
      </n>
      <n v="70">
        <tpls c="3">
          <tpl fld="2" item="1"/>
          <tpl fld="0" item="301"/>
          <tpl fld="1" item="2"/>
        </tpls>
      </n>
      <m>
        <tpls c="3">
          <tpl fld="2" item="0"/>
          <tpl fld="0" item="3"/>
          <tpl fld="1" item="0"/>
        </tpls>
      </m>
      <n v="0">
        <tpls c="3">
          <tpl fld="2" item="1"/>
          <tpl fld="0" item="115"/>
          <tpl fld="1" item="2"/>
        </tpls>
      </n>
      <n v="163">
        <tpls c="3">
          <tpl fld="2" item="1"/>
          <tpl fld="0" item="227"/>
          <tpl fld="1" item="2"/>
        </tpls>
      </n>
      <n v="868">
        <tpls c="3">
          <tpl fld="2" item="1"/>
          <tpl fld="0" item="59"/>
          <tpl fld="1" item="2"/>
        </tpls>
      </n>
      <m>
        <tpls c="3">
          <tpl fld="2" item="0"/>
          <tpl fld="0" item="116"/>
          <tpl fld="1" item="0"/>
        </tpls>
      </m>
      <m>
        <tpls c="3">
          <tpl fld="2" item="1"/>
          <tpl fld="0" item="228"/>
          <tpl fld="1" item="0"/>
        </tpls>
      </m>
      <m>
        <tpls c="3">
          <tpl fld="2" item="0"/>
          <tpl fld="0" item="337"/>
          <tpl fld="1" item="2"/>
        </tpls>
      </m>
      <m>
        <tpls c="3">
          <tpl fld="2" item="0"/>
          <tpl fld="0" item="60"/>
          <tpl fld="1" item="1"/>
        </tpls>
      </m>
      <m>
        <tpls c="3">
          <tpl fld="2" item="0"/>
          <tpl fld="0" item="302"/>
          <tpl fld="1" item="2"/>
        </tpls>
      </m>
      <m>
        <tpls c="3">
          <tpl fld="2" item="0"/>
          <tpl fld="0" item="111"/>
          <tpl fld="1" item="3"/>
        </tpls>
      </m>
      <m>
        <tpls c="3">
          <tpl fld="2" item="0"/>
          <tpl fld="0" item="0"/>
          <tpl fld="1" item="0"/>
        </tpls>
      </m>
      <m>
        <tpls c="3">
          <tpl fld="2" item="0"/>
          <tpl fld="0" item="336"/>
          <tpl fld="1" item="3"/>
        </tpls>
      </m>
      <m>
        <tpls c="3">
          <tpl fld="2" item="0"/>
          <tpl fld="0" item="225"/>
          <tpl fld="1" item="0"/>
        </tpls>
      </m>
      <m>
        <tpls c="3">
          <tpl fld="2" item="1"/>
          <tpl fld="0" item="114"/>
          <tpl fld="1" item="0"/>
        </tpls>
      </m>
      <n v="22197">
        <tpls c="3">
          <tpl fld="2" item="0"/>
          <tpl fld="0" item="3"/>
          <tpl fld="1" item="3"/>
        </tpls>
      </n>
      <n v="104">
        <tpls c="3">
          <tpl fld="2" item="1"/>
          <tpl fld="0" item="227"/>
          <tpl fld="1" item="0"/>
        </tpls>
      </n>
      <n v="18026">
        <tpls c="2">
          <tpl fld="2" item="1"/>
          <tpl fld="0" item="59"/>
        </tpls>
      </n>
      <m>
        <tpls c="3">
          <tpl fld="2" item="0"/>
          <tpl fld="0" item="228"/>
          <tpl fld="1" item="0"/>
        </tpls>
      </m>
      <n v="274">
        <tpls c="2">
          <tpl fld="2" item="1"/>
          <tpl fld="0" item="302"/>
        </tpls>
      </n>
      <m>
        <tpls c="3">
          <tpl fld="2" item="1"/>
          <tpl fld="0" item="7"/>
          <tpl fld="1" item="0"/>
        </tpls>
      </m>
      <m>
        <tpls c="3">
          <tpl fld="2" item="0"/>
          <tpl fld="0" item="62"/>
          <tpl fld="1" item="0"/>
        </tpls>
      </m>
      <n v="130">
        <tpls c="2">
          <tpl fld="2" item="1"/>
          <tpl fld="0" item="118"/>
        </tpls>
      </n>
      <n v="34">
        <tpls c="3">
          <tpl fld="2" item="1"/>
          <tpl fld="0" item="230"/>
          <tpl fld="1" item="1"/>
        </tpls>
      </n>
      <m>
        <tpls c="3">
          <tpl fld="2" item="1"/>
          <tpl fld="0" item="379"/>
          <tpl fld="1" item="2"/>
        </tpls>
      </m>
      <n v="181">
        <tpls c="3">
          <tpl fld="2" item="0"/>
          <tpl fld="0" item="325"/>
          <tpl fld="1" item="1"/>
        </tpls>
      </n>
      <n v="12">
        <tpls c="2">
          <tpl fld="2" item="1"/>
          <tpl fld="0" item="8"/>
        </tpls>
      </n>
      <m>
        <tpls c="3">
          <tpl fld="2" item="0"/>
          <tpl fld="0" item="63"/>
          <tpl fld="1" item="2"/>
        </tpls>
      </m>
      <m>
        <tpls c="3">
          <tpl fld="2" item="1"/>
          <tpl fld="0" item="175"/>
          <tpl fld="1" item="3"/>
        </tpls>
      </m>
      <n v="210">
        <tpls c="3">
          <tpl fld="2" item="0"/>
          <tpl fld="0" item="231"/>
          <tpl fld="1" item="2"/>
        </tpls>
      </n>
      <n v="11">
        <tpls c="3">
          <tpl fld="2" item="0"/>
          <tpl fld="0" item="392"/>
          <tpl fld="1" item="1"/>
        </tpls>
      </n>
      <m>
        <tpls c="3">
          <tpl fld="2" item="0"/>
          <tpl fld="0" item="403"/>
          <tpl fld="1" item="3"/>
        </tpls>
      </m>
      <m>
        <tpls c="3">
          <tpl fld="2" item="0"/>
          <tpl fld="0" item="64"/>
          <tpl fld="1" item="1"/>
        </tpls>
      </m>
      <m>
        <tpls c="3">
          <tpl fld="2" item="1"/>
          <tpl fld="0" item="120"/>
          <tpl fld="1" item="0"/>
        </tpls>
      </m>
      <n v="0">
        <tpls c="2">
          <tpl fld="2" item="0"/>
          <tpl fld="0" item="176"/>
        </tpls>
      </n>
      <m>
        <tpls c="3">
          <tpl fld="2" item="0"/>
          <tpl fld="0" item="324"/>
          <tpl fld="1" item="1"/>
        </tpls>
      </m>
      <m>
        <tpls c="3">
          <tpl fld="2" item="1"/>
          <tpl fld="0" item="61"/>
          <tpl fld="1" item="2"/>
        </tpls>
      </m>
      <m>
        <tpls c="3">
          <tpl fld="2" item="0"/>
          <tpl fld="0" item="167"/>
          <tpl fld="1" item="3"/>
        </tpls>
      </m>
      <m>
        <tpls c="3">
          <tpl fld="2" item="0"/>
          <tpl fld="0" item="112"/>
          <tpl fld="1" item="3"/>
        </tpls>
      </m>
      <m>
        <tpls c="3">
          <tpl fld="2" item="1"/>
          <tpl fld="0" item="336"/>
          <tpl fld="1" item="2"/>
        </tpls>
      </m>
      <m>
        <tpls c="3">
          <tpl fld="2" item="0"/>
          <tpl fld="0" item="279"/>
          <tpl fld="1" item="2"/>
        </tpls>
      </m>
      <m>
        <tpls c="3">
          <tpl fld="2" item="1"/>
          <tpl fld="0" item="170"/>
          <tpl fld="1" item="0"/>
        </tpls>
      </m>
      <m>
        <tpls c="3">
          <tpl fld="2" item="1"/>
          <tpl fld="0" item="3"/>
          <tpl fld="1" item="1"/>
        </tpls>
      </m>
      <m>
        <tpls c="3">
          <tpl fld="2" item="1"/>
          <tpl fld="0" item="391"/>
          <tpl fld="1" item="2"/>
        </tpls>
      </m>
      <n v="16">
        <tpls c="3">
          <tpl fld="2" item="1"/>
          <tpl fld="0" item="59"/>
          <tpl fld="1" item="0"/>
        </tpls>
      </n>
      <n v="29">
        <tpls c="3">
          <tpl fld="2" item="1"/>
          <tpl fld="0" item="228"/>
          <tpl fld="1" item="3"/>
        </tpls>
      </n>
      <m>
        <tpls c="3">
          <tpl fld="2" item="0"/>
          <tpl fld="0" item="302"/>
          <tpl fld="1" item="0"/>
        </tpls>
      </m>
      <m>
        <tpls c="3">
          <tpl fld="2" item="1"/>
          <tpl fld="0" item="7"/>
          <tpl fld="1" item="1"/>
        </tpls>
      </m>
      <n v="2">
        <tpls c="3">
          <tpl fld="2" item="1"/>
          <tpl fld="0" item="62"/>
          <tpl fld="1" item="2"/>
        </tpls>
      </n>
      <n v="5241.59">
        <tpls c="2">
          <tpl fld="2" item="0"/>
          <tpl fld="0" item="118"/>
        </tpls>
      </n>
      <m>
        <tpls c="3">
          <tpl fld="2" item="0"/>
          <tpl fld="0" item="230"/>
          <tpl fld="1" item="0"/>
        </tpls>
      </m>
      <m>
        <tpls c="3">
          <tpl fld="2" item="0"/>
          <tpl fld="0" item="379"/>
          <tpl fld="1" item="2"/>
        </tpls>
      </m>
      <m>
        <tpls c="3">
          <tpl fld="2" item="1"/>
          <tpl fld="0" item="325"/>
          <tpl fld="1" item="0"/>
        </tpls>
      </m>
      <m>
        <tpls c="3">
          <tpl fld="2" item="0"/>
          <tpl fld="0" item="8"/>
          <tpl fld="1" item="3"/>
        </tpls>
      </m>
      <m>
        <tpls c="3">
          <tpl fld="2" item="1"/>
          <tpl fld="0" item="119"/>
          <tpl fld="1" item="0"/>
        </tpls>
      </m>
      <n v="4130">
        <tpls c="3">
          <tpl fld="2" item="0"/>
          <tpl fld="0" item="175"/>
          <tpl fld="1" item="0"/>
        </tpls>
      </n>
      <n v="210">
        <tpls c="2">
          <tpl fld="2" item="0"/>
          <tpl fld="0" item="231"/>
        </tpls>
      </n>
      <n v="645">
        <tpls c="3">
          <tpl fld="2" item="0"/>
          <tpl fld="0" item="392"/>
          <tpl fld="1" item="0"/>
        </tpls>
      </n>
      <n v="4">
        <tpls c="2">
          <tpl fld="2" item="1"/>
          <tpl fld="0" item="403"/>
        </tpls>
      </n>
      <m>
        <tpls c="3">
          <tpl fld="2" item="1"/>
          <tpl fld="0" item="64"/>
          <tpl fld="1" item="0"/>
        </tpls>
      </m>
      <m>
        <tpls c="3">
          <tpl fld="2" item="1"/>
          <tpl fld="0" item="120"/>
          <tpl fld="1" item="2"/>
        </tpls>
      </m>
      <n v="660486.11">
        <tpls c="2">
          <tpl fld="2" item="0"/>
          <tpl fld="0" item="232"/>
        </tpls>
      </n>
      <n v="2436">
        <tpls c="2">
          <tpl fld="2" item="1"/>
          <tpl fld="0" item="407"/>
        </tpls>
      </n>
      <m>
        <tpls c="3">
          <tpl fld="2" item="0"/>
          <tpl fld="0" item="283"/>
          <tpl fld="1" item="0"/>
        </tpls>
      </m>
      <m>
        <tpls c="3">
          <tpl fld="2" item="0"/>
          <tpl fld="0" item="10"/>
          <tpl fld="1" item="2"/>
        </tpls>
      </m>
      <n v="285">
        <tpls c="2">
          <tpl fld="2" item="1"/>
          <tpl fld="0" item="65"/>
        </tpls>
      </n>
      <n v="115343.6">
        <tpls c="2">
          <tpl fld="2" item="0"/>
          <tpl fld="0" item="177"/>
        </tpls>
      </n>
      <n v="1145">
        <tpls c="3">
          <tpl fld="2" item="0"/>
          <tpl fld="0" item="233"/>
          <tpl fld="1" item="0"/>
        </tpls>
      </n>
      <n v="253">
        <tpls c="2">
          <tpl fld="2" item="1"/>
          <tpl fld="0" item="304"/>
        </tpls>
      </n>
      <m>
        <tpls c="3">
          <tpl fld="2" item="1"/>
          <tpl fld="0" item="334"/>
          <tpl fld="1" item="0"/>
        </tpls>
      </m>
      <m>
        <tpls c="3">
          <tpl fld="2" item="1"/>
          <tpl fld="0" item="11"/>
          <tpl fld="1" item="2"/>
        </tpls>
      </m>
      <n v="11364">
        <tpls c="3">
          <tpl fld="2" item="0"/>
          <tpl fld="0" item="122"/>
          <tpl fld="1" item="3"/>
        </tpls>
      </n>
      <n v="7019">
        <tpls c="2">
          <tpl fld="2" item="0"/>
          <tpl fld="0" item="178"/>
        </tpls>
      </n>
      <m>
        <tpls c="3">
          <tpl fld="2" item="1"/>
          <tpl fld="0" item="353"/>
          <tpl fld="1" item="0"/>
        </tpls>
      </m>
      <m>
        <tpls c="3">
          <tpl fld="2" item="0"/>
          <tpl fld="0" item="67"/>
          <tpl fld="1" item="1"/>
        </tpls>
      </m>
      <m>
        <tpls c="3">
          <tpl fld="2" item="0"/>
          <tpl fld="0" item="123"/>
          <tpl fld="1" item="2"/>
        </tpls>
      </m>
      <n v="14">
        <tpls c="3">
          <tpl fld="2" item="1"/>
          <tpl fld="0" item="235"/>
          <tpl fld="1" item="1"/>
        </tpls>
      </n>
      <m>
        <tpls c="3">
          <tpl fld="2" item="1"/>
          <tpl fld="0" item="13"/>
          <tpl fld="1" item="1"/>
        </tpls>
      </m>
      <m>
        <tpls c="3">
          <tpl fld="2" item="0"/>
          <tpl fld="0" item="327"/>
          <tpl fld="1" item="2"/>
        </tpls>
      </m>
      <n v="1100">
        <tpls c="3">
          <tpl fld="2" item="0"/>
          <tpl fld="0" item="125"/>
          <tpl fld="1" item="1"/>
        </tpls>
      </n>
      <m>
        <tpls c="3">
          <tpl fld="2" item="0"/>
          <tpl fld="0" item="237"/>
          <tpl fld="1" item="3"/>
        </tpls>
      </m>
      <m>
        <tpls c="3">
          <tpl fld="2" item="1"/>
          <tpl fld="0" item="285"/>
          <tpl fld="1" item="3"/>
        </tpls>
      </m>
      <n v="138">
        <tpls c="2">
          <tpl fld="2" item="1"/>
          <tpl fld="0" item="14"/>
        </tpls>
      </n>
      <n v="3">
        <tpls c="2">
          <tpl fld="2" item="1"/>
          <tpl fld="0" item="69"/>
        </tpls>
      </n>
      <n v="206">
        <tpls c="2">
          <tpl fld="2" item="1"/>
          <tpl fld="0" item="126"/>
        </tpls>
      </n>
      <m>
        <tpls c="3">
          <tpl fld="2" item="0"/>
          <tpl fld="0" item="182"/>
          <tpl fld="1" item="2"/>
        </tpls>
      </m>
      <m>
        <tpls c="3">
          <tpl fld="2" item="0"/>
          <tpl fld="0" item="238"/>
          <tpl fld="1" item="2"/>
        </tpls>
      </m>
      <n v="2501">
        <tpls c="2">
          <tpl fld="2" item="0"/>
          <tpl fld="0" item="339"/>
        </tpls>
      </n>
      <n v="55">
        <tpls c="3">
          <tpl fld="2" item="0"/>
          <tpl fld="0" item="306"/>
          <tpl fld="1" item="1"/>
        </tpls>
      </n>
      <m>
        <tpls c="3">
          <tpl fld="2" item="0"/>
          <tpl fld="0" item="328"/>
          <tpl fld="1" item="1"/>
        </tpls>
      </m>
      <n v="216">
        <tpls c="3">
          <tpl fld="2" item="0"/>
          <tpl fld="0" item="70"/>
          <tpl fld="1" item="0"/>
        </tpls>
      </n>
      <m>
        <tpls c="3">
          <tpl fld="2" item="0"/>
          <tpl fld="0" item="127"/>
          <tpl fld="1" item="0"/>
        </tpls>
      </m>
      <m>
        <tpls c="3">
          <tpl fld="2" item="0"/>
          <tpl fld="0" item="183"/>
          <tpl fld="1" item="0"/>
        </tpls>
      </m>
      <n v="1">
        <tpls c="2">
          <tpl fld="2" item="1"/>
          <tpl fld="0" item="239"/>
        </tpls>
      </n>
      <m>
        <tpls c="3">
          <tpl fld="2" item="1"/>
          <tpl fld="0" item="335"/>
          <tpl fld="1" item="0"/>
        </tpls>
      </m>
      <m>
        <tpls c="3">
          <tpl fld="2" item="1"/>
          <tpl fld="0" item="354"/>
          <tpl fld="1" item="3"/>
        </tpls>
      </m>
      <m>
        <tpls c="3">
          <tpl fld="2" item="1"/>
          <tpl fld="0" item="367"/>
          <tpl fld="1" item="2"/>
        </tpls>
      </m>
      <m>
        <tpls c="3">
          <tpl fld="2" item="1"/>
          <tpl fld="0" item="16"/>
          <tpl fld="1" item="1"/>
        </tpls>
      </m>
      <n v="8">
        <tpls c="3">
          <tpl fld="2" item="1"/>
          <tpl fld="0" item="71"/>
          <tpl fld="1" item="1"/>
        </tpls>
      </n>
      <m>
        <tpls c="3">
          <tpl fld="2" item="1"/>
          <tpl fld="0" item="128"/>
          <tpl fld="1" item="0"/>
        </tpls>
      </m>
      <m>
        <tpls c="3">
          <tpl fld="2" item="0"/>
          <tpl fld="0" item="184"/>
          <tpl fld="1" item="0"/>
        </tpls>
      </m>
      <m>
        <tpls c="3">
          <tpl fld="2" item="0"/>
          <tpl fld="0" item="240"/>
          <tpl fld="1" item="0"/>
        </tpls>
      </m>
      <m>
        <tpls c="3">
          <tpl fld="2" item="0"/>
          <tpl fld="0" item="381"/>
          <tpl fld="1" item="1"/>
        </tpls>
      </m>
      <m>
        <tpls c="3">
          <tpl fld="2" item="0"/>
          <tpl fld="0" item="17"/>
          <tpl fld="1" item="1"/>
        </tpls>
      </m>
      <m>
        <tpls c="3">
          <tpl fld="2" item="0"/>
          <tpl fld="0" item="72"/>
          <tpl fld="1" item="0"/>
        </tpls>
      </m>
      <n v="189">
        <tpls c="3">
          <tpl fld="2" item="1"/>
          <tpl fld="0" item="129"/>
          <tpl fld="1" item="3"/>
        </tpls>
      </n>
      <n v="4167">
        <tpls c="3">
          <tpl fld="2" item="1"/>
          <tpl fld="0" item="185"/>
          <tpl fld="1" item="3"/>
        </tpls>
      </n>
      <n v="480">
        <tpls c="3">
          <tpl fld="2" item="1"/>
          <tpl fld="0" item="241"/>
          <tpl fld="1" item="3"/>
        </tpls>
      </n>
      <m>
        <tpls c="3">
          <tpl fld="2" item="1"/>
          <tpl fld="0" item="307"/>
          <tpl fld="1" item="0"/>
        </tpls>
      </m>
      <n v="3">
        <tpls c="3">
          <tpl fld="2" item="1"/>
          <tpl fld="0" item="307"/>
          <tpl fld="1" item="1"/>
        </tpls>
      </n>
      <m>
        <tpls c="3">
          <tpl fld="2" item="0"/>
          <tpl fld="0" item="329"/>
          <tpl fld="1" item="1"/>
        </tpls>
      </m>
      <n v="13473">
        <tpls c="2">
          <tpl fld="2" item="0"/>
          <tpl fld="0" item="393"/>
        </tpls>
      </n>
      <m>
        <tpls c="3">
          <tpl fld="2" item="0"/>
          <tpl fld="0" item="18"/>
          <tpl fld="1" item="2"/>
        </tpls>
      </m>
      <m>
        <tpls c="3">
          <tpl fld="2" item="1"/>
          <tpl fld="0" item="73"/>
          <tpl fld="1" item="2"/>
        </tpls>
      </m>
      <n v="11134.55">
        <tpls c="2">
          <tpl fld="2" item="0"/>
          <tpl fld="0" item="130"/>
        </tpls>
      </n>
      <m>
        <tpls c="3">
          <tpl fld="2" item="0"/>
          <tpl fld="0" item="186"/>
          <tpl fld="1" item="0"/>
        </tpls>
      </m>
      <m>
        <tpls c="3">
          <tpl fld="2" item="1"/>
          <tpl fld="0" item="242"/>
          <tpl fld="1" item="2"/>
        </tpls>
      </m>
      <m>
        <tpls c="3">
          <tpl fld="2" item="0"/>
          <tpl fld="0" item="340"/>
          <tpl fld="1" item="0"/>
        </tpls>
      </m>
      <m>
        <tpls c="3">
          <tpl fld="2" item="0"/>
          <tpl fld="0" item="19"/>
          <tpl fld="1" item="0"/>
        </tpls>
      </m>
      <n v="4749">
        <tpls c="3">
          <tpl fld="2" item="0"/>
          <tpl fld="0" item="74"/>
          <tpl fld="1" item="1"/>
        </tpls>
      </n>
      <m>
        <tpls c="3">
          <tpl fld="2" item="0"/>
          <tpl fld="0" item="187"/>
          <tpl fld="1" item="1"/>
        </tpls>
      </m>
      <m>
        <tpls c="3">
          <tpl fld="2" item="0"/>
          <tpl fld="0" item="287"/>
          <tpl fld="1" item="0"/>
        </tpls>
      </m>
      <m>
        <tpls c="3">
          <tpl fld="2" item="0"/>
          <tpl fld="0" item="20"/>
          <tpl fld="1" item="1"/>
        </tpls>
      </m>
      <n v="2">
        <tpls c="3">
          <tpl fld="2" item="1"/>
          <tpl fld="0" item="124"/>
          <tpl fld="1" item="2"/>
        </tpls>
      </n>
      <n v="0">
        <tpls c="2">
          <tpl fld="2" item="1"/>
          <tpl fld="0" item="76"/>
        </tpls>
      </n>
      <n v="10">
        <tpls c="3">
          <tpl fld="2" item="1"/>
          <tpl fld="0" item="132"/>
          <tpl fld="1" item="1"/>
        </tpls>
      </n>
      <m>
        <tpls c="3">
          <tpl fld="2" item="1"/>
          <tpl fld="0" item="132"/>
          <tpl fld="1" item="3"/>
        </tpls>
      </m>
      <m>
        <tpls c="3">
          <tpl fld="2" item="1"/>
          <tpl fld="0" item="188"/>
          <tpl fld="1" item="0"/>
        </tpls>
      </m>
      <n v="41950">
        <tpls c="2">
          <tpl fld="2" item="0"/>
          <tpl fld="0" item="244"/>
        </tpls>
      </n>
      <m>
        <tpls c="3">
          <tpl fld="2" item="0"/>
          <tpl fld="0" item="309"/>
          <tpl fld="1" item="2"/>
        </tpls>
      </m>
      <n v="22">
        <tpls c="2">
          <tpl fld="2" item="1"/>
          <tpl fld="0" item="21"/>
        </tpls>
      </n>
      <m>
        <tpls c="3">
          <tpl fld="2" item="0"/>
          <tpl fld="0" item="77"/>
          <tpl fld="1" item="2"/>
        </tpls>
      </m>
      <n v="463">
        <tpls c="3">
          <tpl fld="2" item="0"/>
          <tpl fld="0" item="133"/>
          <tpl fld="1" item="2"/>
        </tpls>
      </n>
      <m>
        <tpls c="3">
          <tpl fld="2" item="0"/>
          <tpl fld="0" item="133"/>
          <tpl fld="1" item="0"/>
        </tpls>
      </m>
      <m>
        <tpls c="3">
          <tpl fld="2" item="1"/>
          <tpl fld="0" item="189"/>
          <tpl fld="1" item="2"/>
        </tpls>
      </m>
      <n v="1">
        <tpls c="2">
          <tpl fld="2" item="1"/>
          <tpl fld="0" item="245"/>
        </tpls>
      </n>
      <m>
        <tpls c="3">
          <tpl fld="2" item="1"/>
          <tpl fld="0" item="341"/>
          <tpl fld="1" item="2"/>
        </tpls>
      </m>
      <n v="0">
        <tpls c="2">
          <tpl fld="2" item="1"/>
          <tpl fld="0" item="356"/>
        </tpls>
      </n>
      <m>
        <tpls c="3">
          <tpl fld="2" item="1"/>
          <tpl fld="0" item="356"/>
          <tpl fld="1" item="3"/>
        </tpls>
      </m>
      <n v="446">
        <tpls c="3">
          <tpl fld="2" item="0"/>
          <tpl fld="0" item="368"/>
          <tpl fld="1" item="1"/>
        </tpls>
      </n>
      <n v="0">
        <tpls c="3">
          <tpl fld="2" item="1"/>
          <tpl fld="0" item="22"/>
          <tpl fld="1" item="1"/>
        </tpls>
      </n>
      <m>
        <tpls c="3">
          <tpl fld="2" item="1"/>
          <tpl fld="0" item="78"/>
          <tpl fld="1" item="2"/>
        </tpls>
      </m>
      <n v="1395">
        <tpls c="2">
          <tpl fld="2" item="0"/>
          <tpl fld="0" item="134"/>
        </tpls>
      </n>
      <m>
        <tpls c="3">
          <tpl fld="2" item="1"/>
          <tpl fld="0" item="134"/>
          <tpl fld="1" item="3"/>
        </tpls>
      </m>
      <n v="180">
        <tpls c="3">
          <tpl fld="2" item="0"/>
          <tpl fld="0" item="190"/>
          <tpl fld="1" item="1"/>
        </tpls>
      </n>
      <n v="0">
        <tpls c="3">
          <tpl fld="2" item="1"/>
          <tpl fld="0" item="246"/>
          <tpl fld="1" item="1"/>
        </tpls>
      </n>
      <n v="1">
        <tpls c="3">
          <tpl fld="2" item="0"/>
          <tpl fld="0" item="288"/>
          <tpl fld="1" item="1"/>
        </tpls>
      </n>
      <m>
        <tpls c="3">
          <tpl fld="2" item="0"/>
          <tpl fld="0" item="20"/>
          <tpl fld="1" item="2"/>
        </tpls>
      </m>
      <n v="810">
        <tpls c="3">
          <tpl fld="2" item="0"/>
          <tpl fld="0" item="366"/>
          <tpl fld="1" item="1"/>
        </tpls>
      </n>
      <n v="193">
        <tpls c="3">
          <tpl fld="2" item="1"/>
          <tpl fld="0" item="412"/>
          <tpl fld="1" item="3"/>
        </tpls>
      </n>
      <n v="21">
        <tpls c="2">
          <tpl fld="2" item="1"/>
          <tpl fld="0" item="229"/>
        </tpls>
      </n>
      <m>
        <tpls c="3">
          <tpl fld="2" item="0"/>
          <tpl fld="0" item="167"/>
          <tpl fld="1" item="0"/>
        </tpls>
      </m>
      <m>
        <tpls c="3">
          <tpl fld="2" item="1"/>
          <tpl fld="0" item="168"/>
          <tpl fld="1" item="0"/>
        </tpls>
      </m>
      <n v="0">
        <tpls c="2">
          <tpl fld="2" item="0"/>
          <tpl fld="0" item="1"/>
        </tpls>
      </n>
      <m>
        <tpls c="3">
          <tpl fld="2" item="1"/>
          <tpl fld="0" item="279"/>
          <tpl fld="1" item="0"/>
        </tpls>
      </m>
      <m>
        <tpls c="3">
          <tpl fld="2" item="1"/>
          <tpl fld="0" item="226"/>
          <tpl fld="1" item="1"/>
        </tpls>
      </m>
      <n v="80499.11">
        <tpls c="2">
          <tpl fld="2" item="0"/>
          <tpl fld="0" item="58"/>
        </tpls>
      </n>
      <m>
        <tpls c="3">
          <tpl fld="2" item="1"/>
          <tpl fld="0" item="391"/>
          <tpl fld="1" item="1"/>
        </tpls>
      </m>
      <n v="9">
        <tpls c="3">
          <tpl fld="2" item="1"/>
          <tpl fld="0" item="116"/>
          <tpl fld="1" item="2"/>
        </tpls>
      </n>
      <m>
        <tpls c="3">
          <tpl fld="2" item="1"/>
          <tpl fld="0" item="281"/>
          <tpl fld="1" item="0"/>
        </tpls>
      </m>
      <m>
        <tpls c="3">
          <tpl fld="2" item="1"/>
          <tpl fld="0" item="5"/>
          <tpl fld="1" item="2"/>
        </tpls>
      </m>
      <m>
        <tpls c="3">
          <tpl fld="2" item="0"/>
          <tpl fld="0" item="7"/>
          <tpl fld="1" item="1"/>
        </tpls>
      </m>
      <n v="2">
        <tpls c="2">
          <tpl fld="2" item="1"/>
          <tpl fld="0" item="62"/>
        </tpls>
      </n>
      <m>
        <tpls c="3">
          <tpl fld="2" item="1"/>
          <tpl fld="0" item="174"/>
          <tpl fld="1" item="1"/>
        </tpls>
      </m>
      <m>
        <tpls c="3">
          <tpl fld="2" item="0"/>
          <tpl fld="0" item="230"/>
          <tpl fld="1" item="3"/>
        </tpls>
      </m>
      <n v="8190">
        <tpls c="2">
          <tpl fld="2" item="0"/>
          <tpl fld="0" item="379"/>
        </tpls>
      </n>
      <n v="5">
        <tpls c="3">
          <tpl fld="2" item="1"/>
          <tpl fld="0" item="325"/>
          <tpl fld="1" item="1"/>
        </tpls>
      </n>
      <m>
        <tpls c="3">
          <tpl fld="2" item="0"/>
          <tpl fld="0" item="8"/>
          <tpl fld="1" item="2"/>
        </tpls>
      </m>
      <n v="1">
        <tpls c="2">
          <tpl fld="2" item="1"/>
          <tpl fld="0" item="119"/>
        </tpls>
      </n>
      <n v="64">
        <tpls c="2">
          <tpl fld="2" item="1"/>
          <tpl fld="0" item="175"/>
        </tpls>
      </n>
      <n v="0">
        <tpls c="3">
          <tpl fld="2" item="1"/>
          <tpl fld="0" item="333"/>
          <tpl fld="1" item="1"/>
        </tpls>
      </n>
      <m>
        <tpls c="3">
          <tpl fld="2" item="0"/>
          <tpl fld="0" item="392"/>
          <tpl fld="1" item="3"/>
        </tpls>
      </m>
      <n v="10">
        <tpls c="3">
          <tpl fld="2" item="1"/>
          <tpl fld="0" item="9"/>
          <tpl fld="1" item="1"/>
        </tpls>
      </n>
      <m>
        <tpls c="3">
          <tpl fld="2" item="1"/>
          <tpl fld="0" item="64"/>
          <tpl fld="1" item="3"/>
        </tpls>
      </m>
      <n v="0">
        <tpls c="2">
          <tpl fld="2" item="1"/>
          <tpl fld="0" item="120"/>
        </tpls>
      </n>
      <m>
        <tpls c="3">
          <tpl fld="2" item="0"/>
          <tpl fld="0" item="232"/>
          <tpl fld="1" item="2"/>
        </tpls>
      </m>
      <m>
        <tpls c="3">
          <tpl fld="2" item="1"/>
          <tpl fld="0" item="407"/>
          <tpl fld="1" item="1"/>
        </tpls>
      </m>
      <n v="1962">
        <tpls c="3">
          <tpl fld="2" item="1"/>
          <tpl fld="0" item="338"/>
          <tpl fld="1" item="3"/>
        </tpls>
      </n>
      <n v="452">
        <tpls c="2">
          <tpl fld="2" item="1"/>
          <tpl fld="0" item="10"/>
        </tpls>
      </n>
      <m>
        <tpls c="3">
          <tpl fld="2" item="0"/>
          <tpl fld="0" item="65"/>
          <tpl fld="1" item="1"/>
        </tpls>
      </m>
      <n v="12179">
        <tpls c="3">
          <tpl fld="2" item="0"/>
          <tpl fld="0" item="177"/>
          <tpl fld="1" item="1"/>
        </tpls>
      </n>
      <m>
        <tpls c="3">
          <tpl fld="2" item="1"/>
          <tpl fld="0" item="233"/>
          <tpl fld="1" item="2"/>
        </tpls>
      </m>
      <m>
        <tpls c="3">
          <tpl fld="2" item="0"/>
          <tpl fld="0" item="326"/>
          <tpl fld="1" item="2"/>
        </tpls>
      </m>
      <m>
        <tpls c="3">
          <tpl fld="2" item="0"/>
          <tpl fld="0" item="334"/>
          <tpl fld="1" item="0"/>
        </tpls>
      </m>
      <m>
        <tpls c="3">
          <tpl fld="2" item="1"/>
          <tpl fld="0" item="66"/>
          <tpl fld="1" item="1"/>
        </tpls>
      </m>
      <m>
        <tpls c="3">
          <tpl fld="2" item="1"/>
          <tpl fld="0" item="122"/>
          <tpl fld="1" item="2"/>
        </tpls>
      </m>
      <m>
        <tpls c="3">
          <tpl fld="2" item="0"/>
          <tpl fld="0" item="178"/>
          <tpl fld="1" item="1"/>
        </tpls>
      </m>
      <n v="445">
        <tpls c="2">
          <tpl fld="2" item="1"/>
          <tpl fld="0" item="353"/>
        </tpls>
      </n>
      <m>
        <tpls c="3">
          <tpl fld="2" item="1"/>
          <tpl fld="0" item="411"/>
          <tpl fld="1" item="2"/>
        </tpls>
      </m>
      <m>
        <tpls c="3">
          <tpl fld="2" item="0"/>
          <tpl fld="0" item="67"/>
          <tpl fld="1" item="0"/>
        </tpls>
      </m>
      <m>
        <tpls c="3">
          <tpl fld="2" item="1"/>
          <tpl fld="0" item="179"/>
          <tpl fld="1" item="0"/>
        </tpls>
      </m>
      <n v="3186">
        <tpls c="2">
          <tpl fld="2" item="0"/>
          <tpl fld="0" item="284"/>
        </tpls>
      </n>
      <m>
        <tpls c="3">
          <tpl fld="2" item="0"/>
          <tpl fld="0" item="13"/>
          <tpl fld="1" item="1"/>
        </tpls>
      </m>
      <m>
        <tpls c="3">
          <tpl fld="2" item="0"/>
          <tpl fld="0" item="327"/>
          <tpl fld="1" item="1"/>
        </tpls>
      </m>
      <m>
        <tpls c="3">
          <tpl fld="2" item="1"/>
          <tpl fld="0" item="181"/>
          <tpl fld="1" item="3"/>
        </tpls>
      </m>
      <n v="1">
        <tpls c="2">
          <tpl fld="2" item="1"/>
          <tpl fld="0" item="237"/>
        </tpls>
      </n>
      <m>
        <tpls c="3">
          <tpl fld="2" item="1"/>
          <tpl fld="0" item="285"/>
          <tpl fld="1" item="0"/>
        </tpls>
      </m>
      <m>
        <tpls c="3">
          <tpl fld="2" item="0"/>
          <tpl fld="0" item="14"/>
          <tpl fld="1" item="2"/>
        </tpls>
      </m>
      <n v="215">
        <tpls c="2">
          <tpl fld="2" item="0"/>
          <tpl fld="0" item="69"/>
        </tpls>
      </n>
      <n v="1333">
        <tpls c="3">
          <tpl fld="2" item="0"/>
          <tpl fld="0" item="126"/>
          <tpl fld="1" item="2"/>
        </tpls>
      </n>
      <n v="2495">
        <tpls c="2">
          <tpl fld="2" item="0"/>
          <tpl fld="0" item="182"/>
        </tpls>
      </n>
      <n v="14426">
        <tpls c="3">
          <tpl fld="2" item="0"/>
          <tpl fld="0" item="238"/>
          <tpl fld="1" item="1"/>
        </tpls>
      </n>
      <n v="2501">
        <tpls c="3">
          <tpl fld="2" item="0"/>
          <tpl fld="0" item="339"/>
          <tpl fld="1" item="1"/>
        </tpls>
      </n>
      <n v="0">
        <tpls c="2">
          <tpl fld="2" item="1"/>
          <tpl fld="0" item="328"/>
        </tpls>
      </n>
      <m>
        <tpls c="3">
          <tpl fld="2" item="0"/>
          <tpl fld="0" item="15"/>
          <tpl fld="1" item="0"/>
        </tpls>
      </m>
      <n v="4">
        <tpls c="3">
          <tpl fld="2" item="1"/>
          <tpl fld="0" item="70"/>
          <tpl fld="1" item="0"/>
        </tpls>
      </n>
      <n v="6">
        <tpls c="2">
          <tpl fld="2" item="1"/>
          <tpl fld="0" item="127"/>
        </tpls>
      </n>
      <m>
        <tpls c="3">
          <tpl fld="2" item="1"/>
          <tpl fld="0" item="183"/>
          <tpl fld="1" item="3"/>
        </tpls>
      </m>
      <m>
        <tpls c="3">
          <tpl fld="2" item="1"/>
          <tpl fld="0" item="239"/>
          <tpl fld="1" item="3"/>
        </tpls>
      </m>
      <m>
        <tpls c="3">
          <tpl fld="2" item="1"/>
          <tpl fld="0" item="335"/>
          <tpl fld="1" item="3"/>
        </tpls>
      </m>
      <m>
        <tpls c="3">
          <tpl fld="2" item="1"/>
          <tpl fld="0" item="354"/>
          <tpl fld="1" item="2"/>
        </tpls>
      </m>
      <n v="0">
        <tpls c="3">
          <tpl fld="2" item="1"/>
          <tpl fld="0" item="367"/>
          <tpl fld="1" item="1"/>
        </tpls>
      </n>
      <m>
        <tpls c="3">
          <tpl fld="2" item="1"/>
          <tpl fld="0" item="16"/>
          <tpl fld="1" item="0"/>
        </tpls>
      </m>
      <n v="0">
        <tpls c="3">
          <tpl fld="2" item="0"/>
          <tpl fld="0" item="71"/>
          <tpl fld="1" item="0"/>
        </tpls>
      </n>
      <m>
        <tpls c="3">
          <tpl fld="2" item="0"/>
          <tpl fld="0" item="128"/>
          <tpl fld="1" item="0"/>
        </tpls>
      </m>
      <n v="885">
        <tpls c="3">
          <tpl fld="2" item="1"/>
          <tpl fld="0" item="184"/>
          <tpl fld="1" item="3"/>
        </tpls>
      </n>
      <n v="217240.02">
        <tpls c="3">
          <tpl fld="2" item="0"/>
          <tpl fld="0" item="240"/>
          <tpl fld="1" item="3"/>
        </tpls>
      </n>
      <m>
        <tpls c="3">
          <tpl fld="2" item="0"/>
          <tpl fld="0" item="286"/>
          <tpl fld="1" item="1"/>
        </tpls>
      </m>
      <m>
        <tpls c="3">
          <tpl fld="2" item="0"/>
          <tpl fld="0" item="381"/>
          <tpl fld="1" item="0"/>
        </tpls>
      </m>
      <n v="206">
        <tpls c="3">
          <tpl fld="2" item="1"/>
          <tpl fld="0" item="17"/>
          <tpl fld="1" item="3"/>
        </tpls>
      </n>
      <n v="101">
        <tpls c="3">
          <tpl fld="2" item="1"/>
          <tpl fld="0" item="72"/>
          <tpl fld="1" item="3"/>
        </tpls>
      </n>
      <n v="13864.17">
        <tpls c="3">
          <tpl fld="2" item="0"/>
          <tpl fld="0" item="129"/>
          <tpl fld="1" item="3"/>
        </tpls>
      </n>
      <m>
        <tpls c="3">
          <tpl fld="2" item="1"/>
          <tpl fld="0" item="185"/>
          <tpl fld="1" item="2"/>
        </tpls>
      </m>
      <n v="39550.5">
        <tpls c="3">
          <tpl fld="2" item="0"/>
          <tpl fld="0" item="241"/>
          <tpl fld="1" item="3"/>
        </tpls>
      </n>
      <m>
        <tpls c="3">
          <tpl fld="2" item="0"/>
          <tpl fld="0" item="307"/>
          <tpl fld="1" item="0"/>
        </tpls>
      </m>
      <n v="7860">
        <tpls c="3">
          <tpl fld="2" item="0"/>
          <tpl fld="0" item="329"/>
          <tpl fld="1" item="3"/>
        </tpls>
      </n>
      <m>
        <tpls c="3">
          <tpl fld="2" item="1"/>
          <tpl fld="0" item="329"/>
          <tpl fld="1" item="0"/>
        </tpls>
      </m>
      <n v="3">
        <tpls c="3">
          <tpl fld="2" item="1"/>
          <tpl fld="0" item="393"/>
          <tpl fld="1" item="1"/>
        </tpls>
      </n>
      <n v="6041.55">
        <tpls c="2">
          <tpl fld="2" item="0"/>
          <tpl fld="0" item="18"/>
        </tpls>
      </n>
      <n v="127">
        <tpls c="2">
          <tpl fld="2" item="1"/>
          <tpl fld="0" item="73"/>
        </tpls>
      </n>
      <n v="135">
        <tpls c="3">
          <tpl fld="2" item="1"/>
          <tpl fld="0" item="130"/>
          <tpl fld="1" item="3"/>
        </tpls>
      </n>
      <n v="212">
        <tpls c="3">
          <tpl fld="2" item="1"/>
          <tpl fld="0" item="186"/>
          <tpl fld="1" item="3"/>
        </tpls>
      </n>
      <n v="446">
        <tpls c="2">
          <tpl fld="2" item="1"/>
          <tpl fld="0" item="242"/>
        </tpls>
      </n>
      <n v="21991.01">
        <tpls c="3">
          <tpl fld="2" item="0"/>
          <tpl fld="0" item="340"/>
          <tpl fld="1" item="3"/>
        </tpls>
      </n>
      <n v="7808">
        <tpls c="3">
          <tpl fld="2" item="0"/>
          <tpl fld="0" item="19"/>
          <tpl fld="1" item="3"/>
        </tpls>
      </n>
      <n v="1">
        <tpls c="3">
          <tpl fld="2" item="1"/>
          <tpl fld="0" item="74"/>
          <tpl fld="1" item="0"/>
        </tpls>
      </n>
      <m>
        <tpls c="3">
          <tpl fld="2" item="1"/>
          <tpl fld="0" item="187"/>
          <tpl fld="1" item="0"/>
        </tpls>
      </m>
      <n v="25">
        <tpls c="3">
          <tpl fld="2" item="1"/>
          <tpl fld="0" item="355"/>
          <tpl fld="1" item="1"/>
        </tpls>
      </n>
      <m>
        <tpls c="3">
          <tpl fld="2" item="0"/>
          <tpl fld="0" item="20"/>
          <tpl fld="1" item="0"/>
        </tpls>
      </m>
      <n v="0">
        <tpls c="3">
          <tpl fld="2" item="1"/>
          <tpl fld="0" item="68"/>
          <tpl fld="1" item="2"/>
        </tpls>
      </n>
      <m>
        <tpls c="3">
          <tpl fld="2" item="0"/>
          <tpl fld="0" item="76"/>
          <tpl fld="1" item="2"/>
        </tpls>
      </m>
      <m>
        <tpls c="3">
          <tpl fld="2" item="1"/>
          <tpl fld="0" item="132"/>
          <tpl fld="1" item="2"/>
        </tpls>
      </m>
      <m>
        <tpls c="3">
          <tpl fld="2" item="0"/>
          <tpl fld="0" item="132"/>
          <tpl fld="1" item="3"/>
        </tpls>
      </m>
      <m>
        <tpls c="3">
          <tpl fld="2" item="0"/>
          <tpl fld="0" item="188"/>
          <tpl fld="1" item="0"/>
        </tpls>
      </m>
      <n v="41950">
        <tpls c="3">
          <tpl fld="2" item="0"/>
          <tpl fld="0" item="244"/>
          <tpl fld="1" item="1"/>
        </tpls>
      </n>
      <m>
        <tpls c="3">
          <tpl fld="2" item="1"/>
          <tpl fld="0" item="309"/>
          <tpl fld="1" item="2"/>
        </tpls>
      </m>
      <n v="2994">
        <tpls c="3">
          <tpl fld="2" item="0"/>
          <tpl fld="0" item="21"/>
          <tpl fld="1" item="1"/>
        </tpls>
      </n>
      <n v="4">
        <tpls c="3">
          <tpl fld="2" item="1"/>
          <tpl fld="0" item="77"/>
          <tpl fld="1" item="1"/>
        </tpls>
      </n>
      <m>
        <tpls c="3">
          <tpl fld="2" item="1"/>
          <tpl fld="0" item="133"/>
          <tpl fld="1" item="1"/>
        </tpls>
      </m>
      <m>
        <tpls c="3">
          <tpl fld="2" item="0"/>
          <tpl fld="0" item="133"/>
          <tpl fld="1" item="3"/>
        </tpls>
      </m>
      <m>
        <tpls c="3">
          <tpl fld="2" item="1"/>
          <tpl fld="0" item="189"/>
          <tpl fld="1" item="0"/>
        </tpls>
      </m>
      <m>
        <tpls c="3">
          <tpl fld="2" item="1"/>
          <tpl fld="0" item="245"/>
          <tpl fld="1" item="2"/>
        </tpls>
      </m>
      <m>
        <tpls c="3">
          <tpl fld="2" item="0"/>
          <tpl fld="0" item="341"/>
          <tpl fld="1" item="2"/>
        </tpls>
      </m>
      <n v="0">
        <tpls c="2">
          <tpl fld="2" item="0"/>
          <tpl fld="0" item="356"/>
        </tpls>
      </n>
      <m>
        <tpls c="3">
          <tpl fld="2" item="0"/>
          <tpl fld="0" item="356"/>
          <tpl fld="1" item="3"/>
        </tpls>
      </m>
      <m>
        <tpls c="3">
          <tpl fld="2" item="0"/>
          <tpl fld="0" item="368"/>
          <tpl fld="1" item="0"/>
        </tpls>
      </m>
      <m>
        <tpls c="3">
          <tpl fld="2" item="1"/>
          <tpl fld="0" item="22"/>
          <tpl fld="1" item="0"/>
        </tpls>
      </m>
      <m>
        <tpls c="3">
          <tpl fld="2" item="0"/>
          <tpl fld="0" item="78"/>
          <tpl fld="1" item="2"/>
        </tpls>
      </m>
      <n v="41">
        <tpls c="2">
          <tpl fld="2" item="1"/>
          <tpl fld="0" item="134"/>
        </tpls>
      </n>
      <m>
        <tpls c="3">
          <tpl fld="2" item="0"/>
          <tpl fld="0" item="134"/>
          <tpl fld="1" item="3"/>
        </tpls>
      </m>
      <m>
        <tpls c="3">
          <tpl fld="2" item="0"/>
          <tpl fld="0" item="190"/>
          <tpl fld="1" item="0"/>
        </tpls>
      </m>
      <m>
        <tpls c="3">
          <tpl fld="2" item="1"/>
          <tpl fld="0" item="246"/>
          <tpl fld="1" item="0"/>
        </tpls>
      </m>
      <n v="1">
        <tpls c="3">
          <tpl fld="2" item="1"/>
          <tpl fld="0" item="288"/>
          <tpl fld="1" item="1"/>
        </tpls>
      </n>
      <m>
        <tpls c="3">
          <tpl fld="2" item="0"/>
          <tpl fld="0" item="5"/>
          <tpl fld="1" item="2"/>
        </tpls>
      </m>
      <m>
        <tpls c="3">
          <tpl fld="2" item="0"/>
          <tpl fld="0" item="250"/>
          <tpl fld="1" item="2"/>
        </tpls>
      </m>
      <m>
        <tpls c="3">
          <tpl fld="2" item="0"/>
          <tpl fld="0" item="201"/>
          <tpl fld="1" item="0"/>
        </tpls>
      </m>
      <m>
        <tpls c="3">
          <tpl fld="2" item="1"/>
          <tpl fld="0" item="146"/>
          <tpl fld="1" item="0"/>
        </tpls>
      </m>
      <m>
        <tpls c="3">
          <tpl fld="2" item="0"/>
          <tpl fld="0" item="223"/>
          <tpl fld="1" item="0"/>
        </tpls>
      </m>
      <m>
        <tpls c="3">
          <tpl fld="2" item="0"/>
          <tpl fld="0" item="168"/>
          <tpl fld="1" item="3"/>
        </tpls>
      </m>
      <m>
        <tpls c="3">
          <tpl fld="2" item="0"/>
          <tpl fld="0" item="56"/>
          <tpl fld="1" item="2"/>
        </tpls>
      </m>
      <n v="0">
        <tpls c="2">
          <tpl fld="2" item="1"/>
          <tpl fld="0" item="378"/>
        </tpls>
      </n>
      <m>
        <tpls c="3">
          <tpl fld="2" item="0"/>
          <tpl fld="0" item="226"/>
          <tpl fld="1" item="0"/>
        </tpls>
      </m>
      <n v="192">
        <tpls c="3">
          <tpl fld="2" item="1"/>
          <tpl fld="0" item="58"/>
          <tpl fld="1" item="1"/>
        </tpls>
      </n>
      <m>
        <tpls c="3">
          <tpl fld="2" item="1"/>
          <tpl fld="0" item="391"/>
          <tpl fld="1" item="0"/>
        </tpls>
      </m>
      <n v="1685">
        <tpls c="2">
          <tpl fld="2" item="1"/>
          <tpl fld="0" item="116"/>
        </tpls>
      </n>
      <m>
        <tpls c="3">
          <tpl fld="2" item="0"/>
          <tpl fld="0" item="281"/>
          <tpl fld="1" item="0"/>
        </tpls>
      </m>
      <n v="21">
        <tpls c="2">
          <tpl fld="2" item="1"/>
          <tpl fld="0" item="5"/>
        </tpls>
      </n>
      <n v="0">
        <tpls c="3">
          <tpl fld="2" item="1"/>
          <tpl fld="0" item="282"/>
          <tpl fld="1" item="1"/>
        </tpls>
      </n>
      <m>
        <tpls c="3">
          <tpl fld="2" item="0"/>
          <tpl fld="0" item="7"/>
          <tpl fld="1" item="3"/>
        </tpls>
      </m>
      <n v="30">
        <tpls c="3">
          <tpl fld="2" item="0"/>
          <tpl fld="0" item="62"/>
          <tpl fld="1" item="2"/>
        </tpls>
      </n>
      <m>
        <tpls c="3">
          <tpl fld="2" item="0"/>
          <tpl fld="0" item="174"/>
          <tpl fld="1" item="0"/>
        </tpls>
      </m>
      <m>
        <tpls c="3">
          <tpl fld="2" item="0"/>
          <tpl fld="0" item="230"/>
          <tpl fld="1" item="2"/>
        </tpls>
      </m>
      <m>
        <tpls c="3">
          <tpl fld="2" item="0"/>
          <tpl fld="0" item="303"/>
          <tpl fld="1" item="1"/>
        </tpls>
      </m>
      <m>
        <tpls c="3">
          <tpl fld="2" item="0"/>
          <tpl fld="0" item="325"/>
          <tpl fld="1" item="0"/>
        </tpls>
      </m>
      <m>
        <tpls c="3">
          <tpl fld="2" item="1"/>
          <tpl fld="0" item="63"/>
          <tpl fld="1" item="2"/>
        </tpls>
      </m>
      <m>
        <tpls c="3">
          <tpl fld="2" item="1"/>
          <tpl fld="0" item="119"/>
          <tpl fld="1" item="3"/>
        </tpls>
      </m>
      <n v="4130">
        <tpls c="2">
          <tpl fld="2" item="0"/>
          <tpl fld="0" item="175"/>
        </tpls>
      </n>
      <m>
        <tpls c="3">
          <tpl fld="2" item="1"/>
          <tpl fld="0" item="333"/>
          <tpl fld="1" item="3"/>
        </tpls>
      </m>
      <m>
        <tpls c="3">
          <tpl fld="2" item="1"/>
          <tpl fld="0" item="392"/>
          <tpl fld="1" item="2"/>
        </tpls>
      </m>
      <n v="2485">
        <tpls c="3">
          <tpl fld="2" item="0"/>
          <tpl fld="0" item="9"/>
          <tpl fld="1" item="1"/>
        </tpls>
      </n>
      <n v="4">
        <tpls c="3">
          <tpl fld="2" item="1"/>
          <tpl fld="0" item="64"/>
          <tpl fld="1" item="2"/>
        </tpls>
      </n>
      <n v="0">
        <tpls c="2">
          <tpl fld="2" item="0"/>
          <tpl fld="0" item="120"/>
        </tpls>
      </n>
      <n v="555">
        <tpls c="3">
          <tpl fld="2" item="1"/>
          <tpl fld="0" item="232"/>
          <tpl fld="1" item="3"/>
        </tpls>
      </n>
      <m>
        <tpls c="3">
          <tpl fld="2" item="1"/>
          <tpl fld="0" item="407"/>
          <tpl fld="1" item="0"/>
        </tpls>
      </m>
      <n v="265372.52">
        <tpls c="3">
          <tpl fld="2" item="0"/>
          <tpl fld="0" item="338"/>
          <tpl fld="1" item="3"/>
        </tpls>
      </n>
      <m>
        <tpls c="3">
          <tpl fld="2" item="0"/>
          <tpl fld="0" item="10"/>
          <tpl fld="1" item="1"/>
        </tpls>
      </m>
      <m>
        <tpls c="3">
          <tpl fld="2" item="0"/>
          <tpl fld="0" item="121"/>
          <tpl fld="1" item="2"/>
        </tpls>
      </m>
      <m>
        <tpls c="3">
          <tpl fld="2" item="1"/>
          <tpl fld="0" item="177"/>
          <tpl fld="1" item="0"/>
        </tpls>
      </m>
      <n v="976">
        <tpls c="2">
          <tpl fld="2" item="1"/>
          <tpl fld="0" item="233"/>
        </tpls>
      </n>
      <m>
        <tpls c="3">
          <tpl fld="2" item="1"/>
          <tpl fld="0" item="326"/>
          <tpl fld="1" item="0"/>
        </tpls>
      </m>
      <n v="12007.18">
        <tpls c="3">
          <tpl fld="2" item="0"/>
          <tpl fld="0" item="334"/>
          <tpl fld="1" item="3"/>
        </tpls>
      </n>
      <m>
        <tpls c="3">
          <tpl fld="2" item="0"/>
          <tpl fld="0" item="66"/>
          <tpl fld="1" item="2"/>
        </tpls>
      </m>
      <m>
        <tpls c="3">
          <tpl fld="2" item="0"/>
          <tpl fld="0" item="122"/>
          <tpl fld="1" item="2"/>
        </tpls>
      </m>
      <m>
        <tpls c="3">
          <tpl fld="2" item="1"/>
          <tpl fld="0" item="234"/>
          <tpl fld="1" item="0"/>
        </tpls>
      </m>
      <n v="52259.01">
        <tpls c="2">
          <tpl fld="2" item="0"/>
          <tpl fld="0" item="353"/>
        </tpls>
      </n>
      <n v="7822.55">
        <tpls c="2">
          <tpl fld="2" item="0"/>
          <tpl fld="0" item="411"/>
        </tpls>
      </n>
      <m>
        <tpls c="3">
          <tpl fld="2" item="1"/>
          <tpl fld="0" item="67"/>
          <tpl fld="1" item="0"/>
        </tpls>
      </m>
      <m>
        <tpls c="3">
          <tpl fld="2" item="1"/>
          <tpl fld="0" item="179"/>
          <tpl fld="1" item="2"/>
        </tpls>
      </m>
      <m>
        <tpls c="3">
          <tpl fld="2" item="0"/>
          <tpl fld="0" item="380"/>
          <tpl fld="1" item="2"/>
        </tpls>
      </m>
      <n v="714">
        <tpls c="2">
          <tpl fld="2" item="0"/>
          <tpl fld="0" item="68"/>
        </tpls>
      </n>
      <m>
        <tpls c="3">
          <tpl fld="2" item="0"/>
          <tpl fld="0" item="281"/>
          <tpl fld="1" item="2"/>
        </tpls>
      </m>
      <m>
        <tpls c="3">
          <tpl fld="2" item="0"/>
          <tpl fld="0" item="181"/>
          <tpl fld="1" item="0"/>
        </tpls>
      </m>
      <m>
        <tpls c="3">
          <tpl fld="2" item="0"/>
          <tpl fld="0" item="237"/>
          <tpl fld="1" item="2"/>
        </tpls>
      </m>
      <n v="7">
        <tpls c="2">
          <tpl fld="2" item="1"/>
          <tpl fld="0" item="285"/>
        </tpls>
      </n>
      <n v="41079">
        <tpls c="2">
          <tpl fld="2" item="0"/>
          <tpl fld="0" item="14"/>
        </tpls>
      </n>
      <n v="3">
        <tpls c="3">
          <tpl fld="2" item="1"/>
          <tpl fld="0" item="69"/>
          <tpl fld="1" item="1"/>
        </tpls>
      </n>
      <n v="19572">
        <tpls c="3">
          <tpl fld="2" item="0"/>
          <tpl fld="0" item="126"/>
          <tpl fld="1" item="1"/>
        </tpls>
      </n>
      <n v="2495">
        <tpls c="3">
          <tpl fld="2" item="0"/>
          <tpl fld="0" item="182"/>
          <tpl fld="1" item="1"/>
        </tpls>
      </n>
      <n v="36">
        <tpls c="3">
          <tpl fld="2" item="1"/>
          <tpl fld="0" item="339"/>
          <tpl fld="1" item="1"/>
        </tpls>
      </n>
      <m>
        <tpls c="3">
          <tpl fld="2" item="0"/>
          <tpl fld="0" item="306"/>
          <tpl fld="1" item="0"/>
        </tpls>
      </m>
      <m>
        <tpls c="3">
          <tpl fld="2" item="1"/>
          <tpl fld="0" item="328"/>
          <tpl fld="1" item="0"/>
        </tpls>
      </m>
      <m>
        <tpls c="3">
          <tpl fld="2" item="1"/>
          <tpl fld="0" item="15"/>
          <tpl fld="1" item="0"/>
        </tpls>
      </m>
      <m>
        <tpls c="3">
          <tpl fld="2" item="1"/>
          <tpl fld="0" item="70"/>
          <tpl fld="1" item="3"/>
        </tpls>
      </m>
      <m>
        <tpls c="3">
          <tpl fld="2" item="1"/>
          <tpl fld="0" item="127"/>
          <tpl fld="1" item="3"/>
        </tpls>
      </m>
      <n v="2">
        <tpls c="3">
          <tpl fld="2" item="1"/>
          <tpl fld="0" item="183"/>
          <tpl fld="1" item="2"/>
        </tpls>
      </n>
      <m>
        <tpls c="3">
          <tpl fld="2" item="0"/>
          <tpl fld="0" item="239"/>
          <tpl fld="1" item="3"/>
        </tpls>
      </m>
      <n v="7">
        <tpls c="2">
          <tpl fld="2" item="1"/>
          <tpl fld="0" item="335"/>
        </tpls>
      </n>
      <m>
        <tpls c="3">
          <tpl fld="2" item="0"/>
          <tpl fld="0" item="354"/>
          <tpl fld="1" item="2"/>
        </tpls>
      </m>
      <m>
        <tpls c="3">
          <tpl fld="2" item="0"/>
          <tpl fld="0" item="367"/>
          <tpl fld="1" item="0"/>
        </tpls>
      </m>
      <m>
        <tpls c="3">
          <tpl fld="2" item="0"/>
          <tpl fld="0" item="16"/>
          <tpl fld="1" item="0"/>
        </tpls>
      </m>
      <n v="1909">
        <tpls c="3">
          <tpl fld="2" item="1"/>
          <tpl fld="0" item="71"/>
          <tpl fld="1" item="3"/>
        </tpls>
      </n>
      <n v="475986.92">
        <tpls c="3">
          <tpl fld="2" item="0"/>
          <tpl fld="0" item="128"/>
          <tpl fld="1" item="3"/>
        </tpls>
      </n>
      <n v="86492">
        <tpls c="3">
          <tpl fld="2" item="0"/>
          <tpl fld="0" item="184"/>
          <tpl fld="1" item="3"/>
        </tpls>
      </n>
      <n v="499">
        <tpls c="3">
          <tpl fld="2" item="1"/>
          <tpl fld="0" item="286"/>
          <tpl fld="1" item="3"/>
        </tpls>
      </n>
      <n v="577">
        <tpls c="3">
          <tpl fld="2" item="1"/>
          <tpl fld="0" item="381"/>
          <tpl fld="1" item="3"/>
        </tpls>
      </n>
      <n v="20426">
        <tpls c="3">
          <tpl fld="2" item="0"/>
          <tpl fld="0" item="17"/>
          <tpl fld="1" item="3"/>
        </tpls>
      </n>
      <m>
        <tpls c="3">
          <tpl fld="2" item="1"/>
          <tpl fld="0" item="72"/>
          <tpl fld="1" item="2"/>
        </tpls>
      </m>
      <m>
        <tpls c="3">
          <tpl fld="2" item="1"/>
          <tpl fld="0" item="129"/>
          <tpl fld="1" item="2"/>
        </tpls>
      </m>
      <n v="4280">
        <tpls c="2">
          <tpl fld="2" item="1"/>
          <tpl fld="0" item="185"/>
        </tpls>
      </n>
      <m>
        <tpls c="3">
          <tpl fld="2" item="1"/>
          <tpl fld="0" item="241"/>
          <tpl fld="1" item="2"/>
        </tpls>
      </m>
      <n v="2040">
        <tpls c="3">
          <tpl fld="2" item="1"/>
          <tpl fld="0" item="307"/>
          <tpl fld="1" item="3"/>
        </tpls>
      </n>
      <n v="26">
        <tpls c="3">
          <tpl fld="2" item="1"/>
          <tpl fld="0" item="329"/>
          <tpl fld="1" item="3"/>
        </tpls>
      </n>
      <m>
        <tpls c="3">
          <tpl fld="2" item="0"/>
          <tpl fld="0" item="329"/>
          <tpl fld="1" item="0"/>
        </tpls>
      </m>
      <n v="150">
        <tpls c="3">
          <tpl fld="2" item="0"/>
          <tpl fld="0" item="393"/>
          <tpl fld="1" item="1"/>
        </tpls>
      </n>
      <m>
        <tpls c="3">
          <tpl fld="2" item="1"/>
          <tpl fld="0" item="18"/>
          <tpl fld="1" item="1"/>
        </tpls>
      </m>
      <n v="24">
        <tpls c="3">
          <tpl fld="2" item="1"/>
          <tpl fld="0" item="73"/>
          <tpl fld="1" item="1"/>
        </tpls>
      </n>
      <m>
        <tpls c="3">
          <tpl fld="2" item="1"/>
          <tpl fld="0" item="130"/>
          <tpl fld="1" item="2"/>
        </tpls>
      </m>
      <m>
        <tpls c="3">
          <tpl fld="2" item="1"/>
          <tpl fld="0" item="186"/>
          <tpl fld="1" item="2"/>
        </tpls>
      </m>
      <n v="194">
        <tpls c="3">
          <tpl fld="2" item="1"/>
          <tpl fld="0" item="355"/>
          <tpl fld="1" item="3"/>
        </tpls>
      </n>
      <m>
        <tpls c="3">
          <tpl fld="2" item="0"/>
          <tpl fld="0" item="146"/>
          <tpl fld="1" item="0"/>
        </tpls>
      </m>
      <m>
        <tpls c="3">
          <tpl fld="2" item="0"/>
          <tpl fld="0" item="352"/>
          <tpl fld="1" item="2"/>
        </tpls>
      </m>
      <m>
        <tpls c="3">
          <tpl fld="2" item="0"/>
          <tpl fld="0" item="300"/>
          <tpl fld="1" item="3"/>
        </tpls>
      </m>
      <m>
        <tpls c="3">
          <tpl fld="2" item="1"/>
          <tpl fld="0" item="224"/>
          <tpl fld="1" item="2"/>
        </tpls>
      </m>
      <n v="2476">
        <tpls c="2">
          <tpl fld="2" item="0"/>
          <tpl fld="0" item="56"/>
        </tpls>
      </n>
      <n v="0">
        <tpls c="3">
          <tpl fld="2" item="1"/>
          <tpl fld="0" item="2"/>
          <tpl fld="1" item="1"/>
        </tpls>
      </n>
      <m>
        <tpls c="3">
          <tpl fld="2" item="1"/>
          <tpl fld="0" item="301"/>
          <tpl fld="1" item="0"/>
        </tpls>
      </m>
      <n v="1739">
        <tpls c="2">
          <tpl fld="2" item="1"/>
          <tpl fld="0" item="115"/>
        </tpls>
      </n>
      <m>
        <tpls c="3">
          <tpl fld="2" item="1"/>
          <tpl fld="0" item="172"/>
          <tpl fld="1" item="2"/>
        </tpls>
      </m>
      <m>
        <tpls c="3">
          <tpl fld="2" item="1"/>
          <tpl fld="0" item="337"/>
          <tpl fld="1" item="2"/>
        </tpls>
      </m>
      <m>
        <tpls c="3">
          <tpl fld="2" item="0"/>
          <tpl fld="0" item="5"/>
          <tpl fld="1" item="0"/>
        </tpls>
      </m>
      <n v="0">
        <tpls c="3">
          <tpl fld="2" item="0"/>
          <tpl fld="0" item="282"/>
          <tpl fld="1" item="1"/>
        </tpls>
      </n>
      <n v="4">
        <tpls c="2">
          <tpl fld="2" item="1"/>
          <tpl fld="0" item="7"/>
        </tpls>
      </n>
      <n v="5241.59">
        <tpls c="3">
          <tpl fld="2" item="0"/>
          <tpl fld="0" item="118"/>
          <tpl fld="1" item="1"/>
        </tpls>
      </n>
      <m>
        <tpls c="3">
          <tpl fld="2" item="1"/>
          <tpl fld="0" item="174"/>
          <tpl fld="1" item="3"/>
        </tpls>
      </m>
      <n v="24651">
        <tpls c="2">
          <tpl fld="2" item="0"/>
          <tpl fld="0" item="230"/>
        </tpls>
      </n>
      <m>
        <tpls c="3">
          <tpl fld="2" item="1"/>
          <tpl fld="0" item="303"/>
          <tpl fld="1" item="1"/>
        </tpls>
      </m>
      <m>
        <tpls c="3">
          <tpl fld="2" item="0"/>
          <tpl fld="0" item="325"/>
          <tpl fld="1" item="3"/>
        </tpls>
      </m>
      <n v="59">
        <tpls c="3">
          <tpl fld="2" item="1"/>
          <tpl fld="0" item="63"/>
          <tpl fld="1" item="1"/>
        </tpls>
      </n>
      <n v="1">
        <tpls c="3">
          <tpl fld="2" item="1"/>
          <tpl fld="0" item="119"/>
          <tpl fld="1" item="1"/>
        </tpls>
      </n>
      <m>
        <tpls c="3">
          <tpl fld="2" item="1"/>
          <tpl fld="0" item="231"/>
          <tpl fld="1" item="1"/>
        </tpls>
      </m>
      <m>
        <tpls c="3">
          <tpl fld="2" item="0"/>
          <tpl fld="0" item="333"/>
          <tpl fld="1" item="3"/>
        </tpls>
      </m>
      <n v="656">
        <tpls c="2">
          <tpl fld="2" item="0"/>
          <tpl fld="0" item="392"/>
        </tpls>
      </n>
      <m>
        <tpls c="3">
          <tpl fld="2" item="1"/>
          <tpl fld="0" item="9"/>
          <tpl fld="1" item="0"/>
        </tpls>
      </m>
      <n v="4">
        <tpls c="2">
          <tpl fld="2" item="1"/>
          <tpl fld="0" item="64"/>
        </tpls>
      </n>
      <m>
        <tpls c="3">
          <tpl fld="2" item="0"/>
          <tpl fld="0" item="176"/>
          <tpl fld="1" item="3"/>
        </tpls>
      </m>
      <n v="2252">
        <tpls c="2">
          <tpl fld="2" item="1"/>
          <tpl fld="0" item="232"/>
        </tpls>
      </n>
      <m>
        <tpls c="3">
          <tpl fld="2" item="0"/>
          <tpl fld="0" item="407"/>
          <tpl fld="1" item="0"/>
        </tpls>
      </m>
      <n v="6">
        <tpls c="3">
          <tpl fld="2" item="1"/>
          <tpl fld="0" item="338"/>
          <tpl fld="1" item="2"/>
        </tpls>
      </n>
      <m>
        <tpls c="3">
          <tpl fld="2" item="1"/>
          <tpl fld="0" item="10"/>
          <tpl fld="1" item="0"/>
        </tpls>
      </m>
      <n v="30724">
        <tpls c="3">
          <tpl fld="2" item="0"/>
          <tpl fld="0" item="121"/>
          <tpl fld="1" item="1"/>
        </tpls>
      </n>
      <n v="103164.6">
        <tpls c="3">
          <tpl fld="2" item="0"/>
          <tpl fld="0" item="177"/>
          <tpl fld="1" item="3"/>
        </tpls>
      </n>
      <m>
        <tpls c="3">
          <tpl fld="2" item="1"/>
          <tpl fld="0" item="304"/>
          <tpl fld="1" item="1"/>
        </tpls>
      </m>
      <m>
        <tpls c="3">
          <tpl fld="2" item="0"/>
          <tpl fld="0" item="326"/>
          <tpl fld="1" item="0"/>
        </tpls>
      </m>
      <m>
        <tpls c="3">
          <tpl fld="2" item="1"/>
          <tpl fld="0" item="11"/>
          <tpl fld="1" item="1"/>
        </tpls>
      </m>
      <m>
        <tpls c="3">
          <tpl fld="2" item="1"/>
          <tpl fld="0" item="66"/>
          <tpl fld="1" item="0"/>
        </tpls>
      </m>
      <n v="12245">
        <tpls c="2">
          <tpl fld="2" item="0"/>
          <tpl fld="0" item="122"/>
        </tpls>
      </n>
      <n v="12783">
        <tpls c="3">
          <tpl fld="2" item="0"/>
          <tpl fld="0" item="234"/>
          <tpl fld="1" item="3"/>
        </tpls>
      </n>
      <m>
        <tpls c="3">
          <tpl fld="2" item="1"/>
          <tpl fld="0" item="353"/>
          <tpl fld="1" item="1"/>
        </tpls>
      </m>
      <m>
        <tpls c="3">
          <tpl fld="2" item="0"/>
          <tpl fld="0" item="12"/>
          <tpl fld="1" item="0"/>
        </tpls>
      </m>
      <n v="35">
        <tpls c="2">
          <tpl fld="2" item="1"/>
          <tpl fld="0" item="67"/>
        </tpls>
      </n>
      <n v="74">
        <tpls c="2">
          <tpl fld="2" item="1"/>
          <tpl fld="0" item="179"/>
        </tpls>
      </n>
      <n v="11375">
        <tpls c="2">
          <tpl fld="2" item="0"/>
          <tpl fld="0" item="380"/>
        </tpls>
      </n>
      <n v="545">
        <tpls c="2">
          <tpl fld="2" item="0"/>
          <tpl fld="0" item="124"/>
        </tpls>
      </n>
      <m>
        <tpls c="3">
          <tpl fld="2" item="0"/>
          <tpl fld="0" item="4"/>
          <tpl fld="1" item="2"/>
        </tpls>
      </m>
      <m>
        <tpls c="3">
          <tpl fld="2" item="0"/>
          <tpl fld="0" item="181"/>
          <tpl fld="1" item="3"/>
        </tpls>
      </m>
      <n v="1">
        <tpls c="3">
          <tpl fld="2" item="1"/>
          <tpl fld="0" item="237"/>
          <tpl fld="1" item="1"/>
        </tpls>
      </n>
      <m>
        <tpls c="3">
          <tpl fld="2" item="1"/>
          <tpl fld="0" item="418"/>
          <tpl fld="1" item="0"/>
        </tpls>
      </m>
      <n v="640">
        <tpls c="2">
          <tpl fld="2" item="0"/>
          <tpl fld="0" item="285"/>
        </tpls>
      </n>
      <n v="41079">
        <tpls c="3">
          <tpl fld="2" item="0"/>
          <tpl fld="0" item="14"/>
          <tpl fld="1" item="1"/>
        </tpls>
      </n>
      <n v="215">
        <tpls c="3">
          <tpl fld="2" item="0"/>
          <tpl fld="0" item="69"/>
          <tpl fld="1" item="1"/>
        </tpls>
      </n>
      <n v="60">
        <tpls c="3">
          <tpl fld="2" item="1"/>
          <tpl fld="0" item="182"/>
          <tpl fld="1" item="1"/>
        </tpls>
      </n>
      <m>
        <tpls c="3">
          <tpl fld="2" item="0"/>
          <tpl fld="0" item="238"/>
          <tpl fld="1" item="3"/>
        </tpls>
      </m>
      <m>
        <tpls c="3">
          <tpl fld="2" item="0"/>
          <tpl fld="0" item="339"/>
          <tpl fld="1" item="3"/>
        </tpls>
      </m>
      <n v="3">
        <tpls c="2">
          <tpl fld="2" item="1"/>
          <tpl fld="0" item="306"/>
        </tpls>
      </n>
      <m>
        <tpls c="3">
          <tpl fld="2" item="1"/>
          <tpl fld="0" item="328"/>
          <tpl fld="1" item="3"/>
        </tpls>
      </m>
      <m>
        <tpls c="3">
          <tpl fld="2" item="1"/>
          <tpl fld="0" item="15"/>
          <tpl fld="1" item="3"/>
        </tpls>
      </m>
      <m>
        <tpls c="3">
          <tpl fld="2" item="1"/>
          <tpl fld="0" item="70"/>
          <tpl fld="1" item="2"/>
        </tpls>
      </m>
      <m>
        <tpls c="3">
          <tpl fld="2" item="0"/>
          <tpl fld="0" item="127"/>
          <tpl fld="1" item="3"/>
        </tpls>
      </m>
      <m>
        <tpls c="3">
          <tpl fld="2" item="0"/>
          <tpl fld="0" item="183"/>
          <tpl fld="1" item="3"/>
        </tpls>
      </m>
      <m>
        <tpls c="3">
          <tpl fld="2" item="0"/>
          <tpl fld="0" item="239"/>
          <tpl fld="1" item="2"/>
        </tpls>
      </m>
      <m>
        <tpls c="3">
          <tpl fld="2" item="0"/>
          <tpl fld="0" item="335"/>
          <tpl fld="1" item="3"/>
        </tpls>
      </m>
      <m>
        <tpls c="3">
          <tpl fld="2" item="0"/>
          <tpl fld="0" item="354"/>
          <tpl fld="1" item="3"/>
        </tpls>
      </m>
      <m>
        <tpls c="3">
          <tpl fld="2" item="1"/>
          <tpl fld="0" item="367"/>
          <tpl fld="1" item="3"/>
        </tpls>
      </m>
      <n v="500784.27">
        <tpls c="3">
          <tpl fld="2" item="0"/>
          <tpl fld="0" item="16"/>
          <tpl fld="1" item="3"/>
        </tpls>
      </n>
      <n v="566930">
        <tpls c="3">
          <tpl fld="2" item="0"/>
          <tpl fld="0" item="71"/>
          <tpl fld="1" item="3"/>
        </tpls>
      </n>
      <m>
        <tpls c="3">
          <tpl fld="2" item="0"/>
          <tpl fld="0" item="184"/>
          <tpl fld="1" item="1"/>
        </tpls>
      </m>
      <m>
        <tpls c="3">
          <tpl fld="2" item="0"/>
          <tpl fld="0" item="240"/>
          <tpl fld="1" item="2"/>
        </tpls>
      </m>
      <n v="32865.300000000003">
        <tpls c="3">
          <tpl fld="2" item="0"/>
          <tpl fld="0" item="286"/>
          <tpl fld="1" item="3"/>
        </tpls>
      </n>
      <m>
        <tpls c="3">
          <tpl fld="2" item="1"/>
          <tpl fld="0" item="381"/>
          <tpl fld="1" item="2"/>
        </tpls>
      </m>
      <m>
        <tpls c="3">
          <tpl fld="2" item="1"/>
          <tpl fld="0" item="17"/>
          <tpl fld="1" item="2"/>
        </tpls>
      </m>
      <n v="101">
        <tpls c="2">
          <tpl fld="2" item="1"/>
          <tpl fld="0" item="72"/>
        </tpls>
      </n>
      <m>
        <tpls c="3">
          <tpl fld="2" item="0"/>
          <tpl fld="0" item="129"/>
          <tpl fld="1" item="2"/>
        </tpls>
      </m>
      <m>
        <tpls c="3">
          <tpl fld="2" item="0"/>
          <tpl fld="0" item="185"/>
          <tpl fld="1" item="2"/>
        </tpls>
      </m>
      <n v="530">
        <tpls c="2">
          <tpl fld="2" item="1"/>
          <tpl fld="0" item="241"/>
        </tpls>
      </n>
      <n v="119065.19">
        <tpls c="3">
          <tpl fld="2" item="0"/>
          <tpl fld="0" item="307"/>
          <tpl fld="1" item="3"/>
        </tpls>
      </n>
      <m>
        <tpls c="3">
          <tpl fld="2" item="1"/>
          <tpl fld="0" item="329"/>
          <tpl fld="1" item="2"/>
        </tpls>
      </m>
      <n v="13323">
        <tpls c="3">
          <tpl fld="2" item="0"/>
          <tpl fld="0" item="393"/>
          <tpl fld="1" item="3"/>
        </tpls>
      </n>
      <m>
        <tpls c="3">
          <tpl fld="2" item="1"/>
          <tpl fld="0" item="393"/>
          <tpl fld="1" item="0"/>
        </tpls>
      </m>
      <m>
        <tpls c="3">
          <tpl fld="2" item="0"/>
          <tpl fld="0" item="18"/>
          <tpl fld="1" item="1"/>
        </tpls>
      </m>
      <n v="1201">
        <tpls c="3">
          <tpl fld="2" item="0"/>
          <tpl fld="0" item="73"/>
          <tpl fld="1" item="1"/>
        </tpls>
      </n>
      <n v="151">
        <tpls c="2">
          <tpl fld="2" item="1"/>
          <tpl fld="0" item="130"/>
        </tpls>
      </n>
      <n v="221">
        <tpls c="2">
          <tpl fld="2" item="1"/>
          <tpl fld="0" item="186"/>
        </tpls>
      </n>
      <n v="231.5">
        <tpls c="3">
          <tpl fld="2" item="0"/>
          <tpl fld="0" item="242"/>
          <tpl fld="1" item="1"/>
        </tpls>
      </n>
      <n v="633">
        <tpls c="3">
          <tpl fld="2" item="1"/>
          <tpl fld="0" item="340"/>
          <tpl fld="1" item="3"/>
        </tpls>
      </n>
      <n v="136">
        <tpls c="3">
          <tpl fld="2" item="1"/>
          <tpl fld="0" item="19"/>
          <tpl fld="1" item="3"/>
        </tpls>
      </n>
      <n v="36">
        <tpls c="3">
          <tpl fld="2" item="1"/>
          <tpl fld="0" item="131"/>
          <tpl fld="1" item="1"/>
        </tpls>
      </n>
      <n v="57">
        <tpls c="3">
          <tpl fld="2" item="1"/>
          <tpl fld="0" item="243"/>
          <tpl fld="1" item="1"/>
        </tpls>
      </n>
      <m>
        <tpls c="3">
          <tpl fld="2" item="0"/>
          <tpl fld="0" item="355"/>
          <tpl fld="1" item="0"/>
        </tpls>
      </m>
      <m>
        <tpls c="3">
          <tpl fld="2" item="0"/>
          <tpl fld="0" item="75"/>
          <tpl fld="1" item="1"/>
        </tpls>
      </m>
      <m>
        <tpls c="3">
          <tpl fld="2" item="1"/>
          <tpl fld="0" item="305"/>
          <tpl fld="1" item="2"/>
        </tpls>
      </m>
      <n v="0">
        <tpls c="3">
          <tpl fld="2" item="0"/>
          <tpl fld="0" item="76"/>
          <tpl fld="1" item="1"/>
        </tpls>
      </n>
      <m>
        <tpls c="3">
          <tpl fld="2" item="0"/>
          <tpl fld="0" item="132"/>
          <tpl fld="1" item="2"/>
        </tpls>
      </m>
      <n v="536">
        <tpls c="3">
          <tpl fld="2" item="1"/>
          <tpl fld="0" item="188"/>
          <tpl fld="1" item="2"/>
        </tpls>
      </n>
      <m>
        <tpls c="3">
          <tpl fld="2" item="0"/>
          <tpl fld="0" item="188"/>
          <tpl fld="1" item="3"/>
        </tpls>
      </m>
      <m>
        <tpls c="3">
          <tpl fld="2" item="0"/>
          <tpl fld="0" item="244"/>
          <tpl fld="1" item="0"/>
        </tpls>
      </m>
      <n v="97273">
        <tpls c="3">
          <tpl fld="2" item="0"/>
          <tpl fld="0" item="309"/>
          <tpl fld="1" item="1"/>
        </tpls>
      </n>
      <n v="4">
        <tpls c="3">
          <tpl fld="2" item="1"/>
          <tpl fld="0" item="419"/>
          <tpl fld="1" item="2"/>
        </tpls>
      </n>
      <m>
        <tpls c="3">
          <tpl fld="2" item="0"/>
          <tpl fld="0" item="21"/>
          <tpl fld="1" item="0"/>
        </tpls>
      </m>
      <n v="4">
        <tpls c="2">
          <tpl fld="2" item="1"/>
          <tpl fld="0" item="77"/>
        </tpls>
      </n>
      <n v="463">
        <tpls c="2">
          <tpl fld="2" item="0"/>
          <tpl fld="0" item="133"/>
        </tpls>
      </n>
      <m>
        <tpls c="3">
          <tpl fld="2" item="0"/>
          <tpl fld="0" item="189"/>
          <tpl fld="1" item="2"/>
        </tpls>
      </m>
      <m>
        <tpls c="3">
          <tpl fld="2" item="0"/>
          <tpl fld="0" item="189"/>
          <tpl fld="1" item="3"/>
        </tpls>
      </m>
      <m>
        <tpls c="3">
          <tpl fld="2" item="1"/>
          <tpl fld="0" item="245"/>
          <tpl fld="1" item="0"/>
        </tpls>
      </m>
      <m>
        <tpls c="3">
          <tpl fld="2" item="1"/>
          <tpl fld="0" item="341"/>
          <tpl fld="1" item="0"/>
        </tpls>
      </m>
      <m>
        <tpls c="3">
          <tpl fld="2" item="0"/>
          <tpl fld="0" item="356"/>
          <tpl fld="1" item="2"/>
        </tpls>
      </m>
      <n v="446">
        <tpls c="2">
          <tpl fld="2" item="0"/>
          <tpl fld="0" item="368"/>
        </tpls>
      </n>
      <m>
        <tpls c="3">
          <tpl fld="2" item="0"/>
          <tpl fld="0" item="368"/>
          <tpl fld="1" item="3"/>
        </tpls>
      </m>
      <m>
        <tpls c="3">
          <tpl fld="2" item="0"/>
          <tpl fld="0" item="22"/>
          <tpl fld="1" item="0"/>
        </tpls>
      </m>
      <m>
        <tpls c="3">
          <tpl fld="2" item="1"/>
          <tpl fld="0" item="78"/>
          <tpl fld="1" item="0"/>
        </tpls>
      </m>
      <m>
        <tpls c="3">
          <tpl fld="2" item="0"/>
          <tpl fld="0" item="134"/>
          <tpl fld="1" item="2"/>
        </tpls>
      </m>
      <n v="6">
        <tpls c="2">
          <tpl fld="2" item="1"/>
          <tpl fld="0" item="190"/>
        </tpls>
      </n>
      <m>
        <tpls c="3">
          <tpl fld="2" item="0"/>
          <tpl fld="0" item="190"/>
          <tpl fld="1" item="3"/>
        </tpls>
      </m>
      <n v="0">
        <tpls c="3">
          <tpl fld="2" item="0"/>
          <tpl fld="0" item="246"/>
          <tpl fld="1" item="1"/>
        </tpls>
      </n>
      <m>
        <tpls c="3">
          <tpl fld="2" item="0"/>
          <tpl fld="0" item="288"/>
          <tpl fld="1" item="0"/>
        </tpls>
      </m>
      <n v="947.33">
        <tpls c="3">
          <tpl fld="2" item="0"/>
          <tpl fld="0" item="425"/>
          <tpl fld="1" item="2"/>
        </tpls>
      </n>
      <m>
        <tpls c="3">
          <tpl fld="2" item="0"/>
          <tpl fld="0" item="300"/>
          <tpl fld="1" item="2"/>
        </tpls>
      </m>
      <m>
        <tpls c="3">
          <tpl fld="2" item="0"/>
          <tpl fld="0" item="224"/>
          <tpl fld="1" item="0"/>
        </tpls>
      </m>
      <m>
        <tpls c="3">
          <tpl fld="2" item="0"/>
          <tpl fld="0" item="113"/>
          <tpl fld="1" item="2"/>
        </tpls>
      </m>
      <n v="0">
        <tpls c="3">
          <tpl fld="2" item="0"/>
          <tpl fld="0" item="2"/>
          <tpl fld="1" item="1"/>
        </tpls>
      </n>
      <n v="276">
        <tpls c="2">
          <tpl fld="2" item="1"/>
          <tpl fld="0" item="323"/>
        </tpls>
      </n>
      <n v="128431.51">
        <tpls c="2">
          <tpl fld="2" item="0"/>
          <tpl fld="0" item="115"/>
        </tpls>
      </n>
      <n v="73">
        <tpls c="2">
          <tpl fld="2" item="1"/>
          <tpl fld="0" item="172"/>
        </tpls>
      </n>
      <m>
        <tpls c="3">
          <tpl fld="2" item="1"/>
          <tpl fld="0" item="337"/>
          <tpl fld="1" item="1"/>
        </tpls>
      </m>
      <n v="21">
        <tpls c="3">
          <tpl fld="2" item="1"/>
          <tpl fld="0" item="5"/>
          <tpl fld="1" item="3"/>
        </tpls>
      </n>
      <m>
        <tpls c="3">
          <tpl fld="2" item="1"/>
          <tpl fld="0" item="282"/>
          <tpl fld="1" item="3"/>
        </tpls>
      </m>
      <n v="26">
        <tpls c="3">
          <tpl fld="2" item="0"/>
          <tpl fld="0" item="7"/>
          <tpl fld="1" item="2"/>
        </tpls>
      </n>
      <m>
        <tpls c="3">
          <tpl fld="2" item="0"/>
          <tpl fld="0" item="118"/>
          <tpl fld="1" item="0"/>
        </tpls>
      </m>
      <n v="0">
        <tpls c="2">
          <tpl fld="2" item="1"/>
          <tpl fld="0" item="174"/>
        </tpls>
      </n>
      <n v="8190">
        <tpls c="3">
          <tpl fld="2" item="0"/>
          <tpl fld="0" item="379"/>
          <tpl fld="1" item="1"/>
        </tpls>
      </n>
      <m>
        <tpls c="3">
          <tpl fld="2" item="0"/>
          <tpl fld="0" item="303"/>
          <tpl fld="1" item="0"/>
        </tpls>
      </m>
      <m>
        <tpls c="3">
          <tpl fld="2" item="1"/>
          <tpl fld="0" item="8"/>
          <tpl fld="1" item="2"/>
        </tpls>
      </m>
      <n v="8725">
        <tpls c="3">
          <tpl fld="2" item="0"/>
          <tpl fld="0" item="63"/>
          <tpl fld="1" item="1"/>
        </tpls>
      </n>
      <m>
        <tpls c="3">
          <tpl fld="2" item="0"/>
          <tpl fld="0" item="119"/>
          <tpl fld="1" item="3"/>
        </tpls>
      </m>
      <m>
        <tpls c="3">
          <tpl fld="2" item="1"/>
          <tpl fld="0" item="231"/>
          <tpl fld="1" item="0"/>
        </tpls>
      </m>
      <m>
        <tpls c="3">
          <tpl fld="2" item="1"/>
          <tpl fld="0" item="333"/>
          <tpl fld="1" item="2"/>
        </tpls>
      </m>
      <n v="722">
        <tpls c="3">
          <tpl fld="2" item="0"/>
          <tpl fld="0" item="403"/>
          <tpl fld="1" item="1"/>
        </tpls>
      </n>
      <m>
        <tpls c="3">
          <tpl fld="2" item="0"/>
          <tpl fld="0" item="9"/>
          <tpl fld="1" item="3"/>
        </tpls>
      </m>
      <n v="205">
        <tpls c="3">
          <tpl fld="2" item="0"/>
          <tpl fld="0" item="64"/>
          <tpl fld="1" item="2"/>
        </tpls>
      </n>
      <m>
        <tpls c="3">
          <tpl fld="2" item="1"/>
          <tpl fld="0" item="176"/>
          <tpl fld="1" item="2"/>
        </tpls>
      </m>
      <n v="0">
        <tpls c="3">
          <tpl fld="2" item="1"/>
          <tpl fld="0" item="232"/>
          <tpl fld="1" item="0"/>
        </tpls>
      </n>
      <n v="508">
        <tpls c="3">
          <tpl fld="2" item="1"/>
          <tpl fld="0" item="283"/>
          <tpl fld="1" item="3"/>
        </tpls>
      </n>
      <n v="2172">
        <tpls c="2">
          <tpl fld="2" item="1"/>
          <tpl fld="0" item="338"/>
        </tpls>
      </n>
      <m>
        <tpls c="3">
          <tpl fld="2" item="0"/>
          <tpl fld="0" item="65"/>
          <tpl fld="1" item="0"/>
        </tpls>
      </m>
      <m>
        <tpls c="3">
          <tpl fld="2" item="1"/>
          <tpl fld="0" item="121"/>
          <tpl fld="1" item="0"/>
        </tpls>
      </m>
      <n v="896">
        <tpls c="2">
          <tpl fld="2" item="1"/>
          <tpl fld="0" item="177"/>
        </tpls>
      </n>
      <m>
        <tpls c="3">
          <tpl fld="2" item="0"/>
          <tpl fld="0" item="304"/>
          <tpl fld="1" item="1"/>
        </tpls>
      </m>
      <n v="171">
        <tpls c="3">
          <tpl fld="2" item="1"/>
          <tpl fld="0" item="326"/>
          <tpl fld="1" item="3"/>
        </tpls>
      </n>
      <m>
        <tpls c="3">
          <tpl fld="2" item="0"/>
          <tpl fld="0" item="11"/>
          <tpl fld="1" item="2"/>
        </tpls>
      </m>
      <n v="86">
        <tpls c="3">
          <tpl fld="2" item="1"/>
          <tpl fld="0" item="66"/>
          <tpl fld="1" item="3"/>
        </tpls>
      </n>
      <n v="881">
        <tpls c="3">
          <tpl fld="2" item="0"/>
          <tpl fld="0" item="122"/>
          <tpl fld="1" item="1"/>
        </tpls>
      </n>
      <n v="9">
        <tpls c="3">
          <tpl fld="2" item="1"/>
          <tpl fld="0" item="234"/>
          <tpl fld="1" item="2"/>
        </tpls>
      </n>
      <n v="65">
        <tpls c="3">
          <tpl fld="2" item="1"/>
          <tpl fld="0" item="366"/>
          <tpl fld="1" item="3"/>
        </tpls>
      </n>
      <n v="12088">
        <tpls c="3">
          <tpl fld="2" item="0"/>
          <tpl fld="0" item="12"/>
          <tpl fld="1" item="3"/>
        </tpls>
      </n>
      <n v="2925">
        <tpls c="2">
          <tpl fld="2" item="0"/>
          <tpl fld="0" item="67"/>
        </tpls>
      </n>
      <m>
        <tpls c="3">
          <tpl fld="2" item="1"/>
          <tpl fld="0" item="179"/>
          <tpl fld="1" item="1"/>
        </tpls>
      </m>
      <n v="10">
        <tpls c="3">
          <tpl fld="2" item="1"/>
          <tpl fld="0" item="380"/>
          <tpl fld="1" item="1"/>
        </tpls>
      </n>
      <m>
        <tpls c="3">
          <tpl fld="2" item="0"/>
          <tpl fld="0" item="124"/>
          <tpl fld="1" item="1"/>
        </tpls>
      </m>
      <m>
        <tpls c="3">
          <tpl fld="2" item="0"/>
          <tpl fld="0" item="125"/>
          <tpl fld="1" item="0"/>
        </tpls>
      </m>
      <n v="4">
        <tpls c="2">
          <tpl fld="2" item="1"/>
          <tpl fld="0" item="181"/>
        </tpls>
      </n>
      <n v="50">
        <tpls c="3">
          <tpl fld="2" item="0"/>
          <tpl fld="0" item="237"/>
          <tpl fld="1" item="1"/>
        </tpls>
      </n>
      <n v="11">
        <tpls c="3">
          <tpl fld="2" item="1"/>
          <tpl fld="0" item="418"/>
          <tpl fld="1" item="2"/>
        </tpls>
      </n>
      <n v="7">
        <tpls c="3">
          <tpl fld="2" item="1"/>
          <tpl fld="0" item="285"/>
          <tpl fld="1" item="1"/>
        </tpls>
      </n>
      <m>
        <tpls c="3">
          <tpl fld="2" item="0"/>
          <tpl fld="0" item="69"/>
          <tpl fld="1" item="0"/>
        </tpls>
      </m>
      <n v="196">
        <tpls c="3">
          <tpl fld="2" item="1"/>
          <tpl fld="0" item="126"/>
          <tpl fld="1" item="1"/>
        </tpls>
      </n>
      <m>
        <tpls c="3">
          <tpl fld="2" item="0"/>
          <tpl fld="0" item="182"/>
          <tpl fld="1" item="0"/>
        </tpls>
      </m>
      <n v="102">
        <tpls c="3">
          <tpl fld="2" item="1"/>
          <tpl fld="0" item="238"/>
          <tpl fld="1" item="1"/>
        </tpls>
      </n>
      <m>
        <tpls c="3">
          <tpl fld="2" item="0"/>
          <tpl fld="0" item="339"/>
          <tpl fld="1" item="0"/>
        </tpls>
      </m>
      <m>
        <tpls c="3">
          <tpl fld="2" item="1"/>
          <tpl fld="0" item="306"/>
          <tpl fld="1" item="3"/>
        </tpls>
      </m>
      <n v="0">
        <tpls c="3">
          <tpl fld="2" item="1"/>
          <tpl fld="0" item="328"/>
          <tpl fld="1" item="2"/>
        </tpls>
      </n>
      <m>
        <tpls c="3">
          <tpl fld="2" item="0"/>
          <tpl fld="0" item="15"/>
          <tpl fld="1" item="3"/>
        </tpls>
      </m>
      <m>
        <tpls c="3">
          <tpl fld="2" item="0"/>
          <tpl fld="0" item="70"/>
          <tpl fld="1" item="3"/>
        </tpls>
      </m>
      <m>
        <tpls c="3">
          <tpl fld="2" item="0"/>
          <tpl fld="0" item="127"/>
          <tpl fld="1" item="2"/>
        </tpls>
      </m>
      <n v="28">
        <tpls c="2">
          <tpl fld="2" item="0"/>
          <tpl fld="0" item="183"/>
        </tpls>
      </n>
      <n v="1">
        <tpls c="2">
          <tpl fld="2" item="0"/>
          <tpl fld="0" item="239"/>
        </tpls>
      </n>
      <n v="7">
        <tpls c="3">
          <tpl fld="2" item="1"/>
          <tpl fld="0" item="335"/>
          <tpl fld="1" item="1"/>
        </tpls>
      </n>
      <n v="60">
        <tpls c="3">
          <tpl fld="2" item="0"/>
          <tpl fld="0" item="354"/>
          <tpl fld="1" item="1"/>
        </tpls>
      </n>
      <m>
        <tpls c="3">
          <tpl fld="2" item="0"/>
          <tpl fld="0" item="367"/>
          <tpl fld="1" item="3"/>
        </tpls>
      </m>
      <n v="351">
        <tpls c="3">
          <tpl fld="2" item="1"/>
          <tpl fld="0" item="71"/>
          <tpl fld="1" item="2"/>
        </tpls>
      </n>
      <n v="6482">
        <tpls c="2">
          <tpl fld="2" item="1"/>
          <tpl fld="0" item="128"/>
        </tpls>
      </n>
      <m>
        <tpls c="3">
          <tpl fld="2" item="0"/>
          <tpl fld="0" item="184"/>
          <tpl fld="1" item="2"/>
        </tpls>
      </m>
      <n v="85">
        <tpls c="3">
          <tpl fld="2" item="0"/>
          <tpl fld="0" item="240"/>
          <tpl fld="1" item="1"/>
        </tpls>
      </n>
      <n v="74134">
        <tpls c="3">
          <tpl fld="2" item="0"/>
          <tpl fld="0" item="423"/>
          <tpl fld="1" item="3"/>
        </tpls>
      </n>
      <m>
        <tpls c="3">
          <tpl fld="2" item="1"/>
          <tpl fld="0" item="286"/>
          <tpl fld="1" item="2"/>
        </tpls>
      </m>
      <n v="577">
        <tpls c="2">
          <tpl fld="2" item="1"/>
          <tpl fld="0" item="381"/>
        </tpls>
      </n>
      <m>
        <tpls c="3">
          <tpl fld="2" item="0"/>
          <tpl fld="0" item="17"/>
          <tpl fld="1" item="2"/>
        </tpls>
      </m>
      <m>
        <tpls c="3">
          <tpl fld="2" item="0"/>
          <tpl fld="0" item="72"/>
          <tpl fld="1" item="2"/>
        </tpls>
      </m>
      <n v="13864.17">
        <tpls c="2">
          <tpl fld="2" item="0"/>
          <tpl fld="0" item="129"/>
        </tpls>
      </n>
      <n v="113">
        <tpls c="3">
          <tpl fld="2" item="1"/>
          <tpl fld="0" item="185"/>
          <tpl fld="1" item="1"/>
        </tpls>
      </n>
      <m>
        <tpls c="3">
          <tpl fld="2" item="0"/>
          <tpl fld="0" item="241"/>
          <tpl fld="1" item="2"/>
        </tpls>
      </m>
      <n v="15">
        <tpls c="3">
          <tpl fld="2" item="1"/>
          <tpl fld="0" item="307"/>
          <tpl fld="1" item="2"/>
        </tpls>
      </n>
      <n v="26">
        <tpls c="2">
          <tpl fld="2" item="1"/>
          <tpl fld="0" item="329"/>
        </tpls>
      </n>
      <n v="141">
        <tpls c="3">
          <tpl fld="2" item="1"/>
          <tpl fld="0" item="393"/>
          <tpl fld="1" item="3"/>
        </tpls>
      </n>
      <m>
        <tpls c="3">
          <tpl fld="2" item="0"/>
          <tpl fld="0" item="393"/>
          <tpl fld="1" item="0"/>
        </tpls>
      </m>
      <m>
        <tpls c="3">
          <tpl fld="2" item="1"/>
          <tpl fld="0" item="18"/>
          <tpl fld="1" item="0"/>
        </tpls>
      </m>
      <m>
        <tpls c="3">
          <tpl fld="2" item="1"/>
          <tpl fld="0" item="73"/>
          <tpl fld="1" item="0"/>
        </tpls>
      </m>
      <n v="16">
        <tpls c="3">
          <tpl fld="2" item="1"/>
          <tpl fld="0" item="130"/>
          <tpl fld="1" item="1"/>
        </tpls>
      </n>
      <n v="9">
        <tpls c="3">
          <tpl fld="2" item="1"/>
          <tpl fld="0" item="186"/>
          <tpl fld="1" item="1"/>
        </tpls>
      </n>
      <m>
        <tpls c="3">
          <tpl fld="2" item="1"/>
          <tpl fld="0" item="242"/>
          <tpl fld="1" item="0"/>
        </tpls>
      </m>
      <n v="23">
        <tpls c="3">
          <tpl fld="2" item="1"/>
          <tpl fld="0" item="340"/>
          <tpl fld="1" item="1"/>
        </tpls>
      </n>
      <n v="12">
        <tpls c="3">
          <tpl fld="2" item="1"/>
          <tpl fld="0" item="19"/>
          <tpl fld="1" item="1"/>
        </tpls>
      </n>
      <n v="2023">
        <tpls c="3">
          <tpl fld="2" item="0"/>
          <tpl fld="0" item="131"/>
          <tpl fld="1" item="1"/>
        </tpls>
      </n>
      <n v="1720">
        <tpls c="3">
          <tpl fld="2" item="0"/>
          <tpl fld="0" item="243"/>
          <tpl fld="1" item="1"/>
        </tpls>
      </n>
      <m>
        <tpls c="3">
          <tpl fld="2" item="1"/>
          <tpl fld="0" item="308"/>
          <tpl fld="1" item="1"/>
        </tpls>
      </m>
      <m>
        <tpls c="3">
          <tpl fld="2" item="0"/>
          <tpl fld="0" item="75"/>
          <tpl fld="1" item="0"/>
        </tpls>
      </m>
      <m>
        <tpls c="3">
          <tpl fld="2" item="1"/>
          <tpl fld="0" item="380"/>
          <tpl fld="1" item="2"/>
        </tpls>
      </m>
      <m>
        <tpls c="3">
          <tpl fld="2" item="1"/>
          <tpl fld="0" item="76"/>
          <tpl fld="1" item="0"/>
        </tpls>
      </m>
      <n v="128">
        <tpls c="2">
          <tpl fld="2" item="0"/>
          <tpl fld="0" item="132"/>
        </tpls>
      </n>
      <n v="670">
        <tpls c="2">
          <tpl fld="2" item="1"/>
          <tpl fld="0" item="188"/>
        </tpls>
      </n>
      <n v="15">
        <tpls c="3">
          <tpl fld="2" item="1"/>
          <tpl fld="0" item="244"/>
          <tpl fld="1" item="1"/>
        </tpls>
      </n>
      <m>
        <tpls c="3">
          <tpl fld="2" item="1"/>
          <tpl fld="0" item="244"/>
          <tpl fld="1" item="3"/>
        </tpls>
      </m>
      <m>
        <tpls c="3">
          <tpl fld="2" item="1"/>
          <tpl fld="0" item="309"/>
          <tpl fld="1" item="0"/>
        </tpls>
      </m>
      <n v="4">
        <tpls c="2">
          <tpl fld="2" item="1"/>
          <tpl fld="0" item="419"/>
        </tpls>
      </n>
      <n v="250">
        <tpls c="3">
          <tpl fld="2" item="0"/>
          <tpl fld="0" item="424"/>
          <tpl fld="1" item="2"/>
        </tpls>
      </n>
      <m>
        <tpls c="3">
          <tpl fld="2" item="0"/>
          <tpl fld="0" item="21"/>
          <tpl fld="1" item="2"/>
        </tpls>
      </m>
      <m>
        <tpls c="3">
          <tpl fld="2" item="1"/>
          <tpl fld="0" item="21"/>
          <tpl fld="1" item="3"/>
        </tpls>
      </m>
      <n v="105">
        <tpls c="3">
          <tpl fld="2" item="0"/>
          <tpl fld="0" item="77"/>
          <tpl fld="1" item="1"/>
        </tpls>
      </n>
      <n v="8">
        <tpls c="3">
          <tpl fld="2" item="1"/>
          <tpl fld="0" item="133"/>
          <tpl fld="1" item="2"/>
        </tpls>
      </n>
      <n v="8192">
        <tpls c="3">
          <tpl fld="2" item="0"/>
          <tpl fld="0" item="189"/>
          <tpl fld="1" item="1"/>
        </tpls>
      </n>
      <n v="1">
        <tpls c="3">
          <tpl fld="2" item="1"/>
          <tpl fld="0" item="245"/>
          <tpl fld="1" item="1"/>
        </tpls>
      </n>
      <m>
        <tpls c="3">
          <tpl fld="2" item="0"/>
          <tpl fld="0" item="245"/>
          <tpl fld="1" item="0"/>
        </tpls>
      </m>
      <n v="2746">
        <tpls c="3">
          <tpl fld="2" item="0"/>
          <tpl fld="0" item="341"/>
          <tpl fld="1" item="1"/>
        </tpls>
      </n>
      <n v="0">
        <tpls c="3">
          <tpl fld="2" item="1"/>
          <tpl fld="0" item="356"/>
          <tpl fld="1" item="1"/>
        </tpls>
      </n>
      <m>
        <tpls c="3">
          <tpl fld="2" item="1"/>
          <tpl fld="0" item="368"/>
          <tpl fld="1" item="2"/>
        </tpls>
      </m>
      <n v="0">
        <tpls c="2">
          <tpl fld="2" item="1"/>
          <tpl fld="0" item="22"/>
        </tpls>
      </n>
      <m>
        <tpls c="3">
          <tpl fld="2" item="1"/>
          <tpl fld="0" item="22"/>
          <tpl fld="1" item="3"/>
        </tpls>
      </m>
      <n v="1416">
        <tpls c="3">
          <tpl fld="2" item="0"/>
          <tpl fld="0" item="78"/>
          <tpl fld="1" item="1"/>
        </tpls>
      </n>
      <n v="41">
        <tpls c="3">
          <tpl fld="2" item="1"/>
          <tpl fld="0" item="134"/>
          <tpl fld="1" item="1"/>
        </tpls>
      </n>
      <m>
        <tpls c="3">
          <tpl fld="2" item="1"/>
          <tpl fld="0" item="190"/>
          <tpl fld="1" item="2"/>
        </tpls>
      </m>
      <m>
        <tpls c="3">
          <tpl fld="2" item="1"/>
          <tpl fld="0" item="246"/>
          <tpl fld="1" item="2"/>
        </tpls>
      </m>
      <m>
        <tpls c="3">
          <tpl fld="2" item="1"/>
          <tpl fld="0" item="246"/>
          <tpl fld="1" item="3"/>
        </tpls>
      </m>
      <n v="1">
        <tpls c="2">
          <tpl fld="2" item="1"/>
          <tpl fld="0" item="288"/>
        </tpls>
      </n>
      <m>
        <tpls c="3">
          <tpl fld="2" item="1"/>
          <tpl fld="0" item="433"/>
          <tpl fld="1" item="3"/>
        </tpls>
      </m>
      <n v="30751">
        <tpls c="3">
          <tpl fld="2" item="0"/>
          <tpl fld="0" item="0"/>
          <tpl fld="1" item="1"/>
        </tpls>
      </n>
      <m>
        <tpls c="3">
          <tpl fld="2" item="0"/>
          <tpl fld="0" item="377"/>
          <tpl fld="1" item="2"/>
        </tpls>
      </m>
      <m>
        <tpls c="3">
          <tpl fld="2" item="1"/>
          <tpl fld="0" item="169"/>
          <tpl fld="1" item="0"/>
        </tpls>
      </m>
      <m>
        <tpls c="3">
          <tpl fld="2" item="0"/>
          <tpl fld="0" item="57"/>
          <tpl fld="1" item="2"/>
        </tpls>
      </m>
      <n v="302">
        <tpls c="2">
          <tpl fld="2" item="1"/>
          <tpl fld="0" item="331"/>
        </tpls>
      </n>
      <m>
        <tpls c="3">
          <tpl fld="2" item="1"/>
          <tpl fld="0" item="171"/>
          <tpl fld="1" item="0"/>
        </tpls>
      </m>
      <m>
        <tpls c="3">
          <tpl fld="2" item="0"/>
          <tpl fld="0" item="4"/>
          <tpl fld="1" item="0"/>
        </tpls>
      </m>
      <m>
        <tpls c="3">
          <tpl fld="2" item="1"/>
          <tpl fld="0" item="228"/>
          <tpl fld="1" item="2"/>
        </tpls>
      </m>
      <m>
        <tpls c="3">
          <tpl fld="2" item="1"/>
          <tpl fld="0" item="302"/>
          <tpl fld="1" item="2"/>
        </tpls>
      </m>
      <m>
        <tpls c="3">
          <tpl fld="2" item="1"/>
          <tpl fld="0" item="430"/>
          <tpl fld="1" item="3"/>
        </tpls>
      </m>
      <n v="0">
        <tpls c="2">
          <tpl fld="2" item="1"/>
          <tpl fld="0" item="282"/>
        </tpls>
      </n>
      <m>
        <tpls c="3">
          <tpl fld="2" item="1"/>
          <tpl fld="0" item="62"/>
          <tpl fld="1" item="1"/>
        </tpls>
      </m>
      <m>
        <tpls c="3">
          <tpl fld="2" item="1"/>
          <tpl fld="0" item="118"/>
          <tpl fld="1" item="2"/>
        </tpls>
      </m>
      <m>
        <tpls c="3">
          <tpl fld="2" item="1"/>
          <tpl fld="0" item="230"/>
          <tpl fld="1" item="0"/>
        </tpls>
      </m>
      <m>
        <tpls c="3">
          <tpl fld="2" item="0"/>
          <tpl fld="0" item="379"/>
          <tpl fld="1" item="3"/>
        </tpls>
      </m>
      <n v="5876">
        <tpls c="2">
          <tpl fld="2" item="0"/>
          <tpl fld="0" item="303"/>
        </tpls>
      </n>
      <n v="1389">
        <tpls c="3">
          <tpl fld="2" item="0"/>
          <tpl fld="0" item="8"/>
          <tpl fld="1" item="1"/>
        </tpls>
      </n>
      <m>
        <tpls c="3">
          <tpl fld="2" item="0"/>
          <tpl fld="0" item="63"/>
          <tpl fld="1" item="3"/>
        </tpls>
      </m>
      <n v="64">
        <tpls c="3">
          <tpl fld="2" item="1"/>
          <tpl fld="0" item="175"/>
          <tpl fld="1" item="0"/>
        </tpls>
      </n>
      <m>
        <tpls c="3">
          <tpl fld="2" item="0"/>
          <tpl fld="0" item="231"/>
          <tpl fld="1" item="3"/>
        </tpls>
      </m>
      <n v="0">
        <tpls c="2">
          <tpl fld="2" item="0"/>
          <tpl fld="0" item="333"/>
        </tpls>
      </n>
      <m>
        <tpls c="3">
          <tpl fld="2" item="0"/>
          <tpl fld="0" item="403"/>
          <tpl fld="1" item="0"/>
        </tpls>
      </m>
      <m>
        <tpls c="3">
          <tpl fld="2" item="0"/>
          <tpl fld="0" item="9"/>
          <tpl fld="1" item="2"/>
        </tpls>
      </m>
      <n v="0">
        <tpls c="3">
          <tpl fld="2" item="0"/>
          <tpl fld="0" item="120"/>
          <tpl fld="1" item="1"/>
        </tpls>
      </n>
      <m>
        <tpls c="3">
          <tpl fld="2" item="0"/>
          <tpl fld="0" item="176"/>
          <tpl fld="1" item="0"/>
        </tpls>
      </m>
      <n v="2436">
        <tpls c="3">
          <tpl fld="2" item="1"/>
          <tpl fld="0" item="407"/>
          <tpl fld="1" item="3"/>
        </tpls>
      </n>
      <n v="508">
        <tpls c="2">
          <tpl fld="2" item="1"/>
          <tpl fld="0" item="283"/>
        </tpls>
      </n>
      <n v="60450.1">
        <tpls c="2">
          <tpl fld="2" item="0"/>
          <tpl fld="0" item="10"/>
        </tpls>
      </n>
      <n v="34198">
        <tpls c="3">
          <tpl fld="2" item="0"/>
          <tpl fld="0" item="65"/>
          <tpl fld="1" item="3"/>
        </tpls>
      </n>
      <n v="28728">
        <tpls c="3">
          <tpl fld="2" item="0"/>
          <tpl fld="0" item="121"/>
          <tpl fld="1" item="3"/>
        </tpls>
      </n>
      <n v="83648">
        <tpls c="2">
          <tpl fld="2" item="0"/>
          <tpl fld="0" item="233"/>
        </tpls>
      </n>
      <n v="253">
        <tpls c="3">
          <tpl fld="2" item="1"/>
          <tpl fld="0" item="304"/>
          <tpl fld="1" item="3"/>
        </tpls>
      </n>
      <m>
        <tpls c="3">
          <tpl fld="2" item="0"/>
          <tpl fld="0" item="334"/>
          <tpl fld="1" item="2"/>
        </tpls>
      </m>
      <m>
        <tpls c="3">
          <tpl fld="2" item="0"/>
          <tpl fld="0" item="11"/>
          <tpl fld="1" item="0"/>
        </tpls>
      </m>
      <m>
        <tpls c="3">
          <tpl fld="2" item="1"/>
          <tpl fld="0" item="66"/>
          <tpl fld="1" item="2"/>
        </tpls>
      </m>
      <n v="7019">
        <tpls c="3">
          <tpl fld="2" item="0"/>
          <tpl fld="0" item="178"/>
          <tpl fld="1" item="3"/>
        </tpls>
      </n>
      <m>
        <tpls c="3">
          <tpl fld="2" item="0"/>
          <tpl fld="0" item="353"/>
          <tpl fld="1" item="1"/>
        </tpls>
      </m>
      <m>
        <tpls c="3">
          <tpl fld="2" item="0"/>
          <tpl fld="0" item="366"/>
          <tpl fld="1" item="2"/>
        </tpls>
      </m>
      <m>
        <tpls c="3">
          <tpl fld="2" item="1"/>
          <tpl fld="0" item="12"/>
          <tpl fld="1" item="2"/>
        </tpls>
      </m>
      <n v="34">
        <tpls c="3">
          <tpl fld="2" item="1"/>
          <tpl fld="0" item="123"/>
          <tpl fld="1" item="3"/>
        </tpls>
      </n>
      <n v="579">
        <tpls c="2">
          <tpl fld="2" item="1"/>
          <tpl fld="0" item="235"/>
        </tpls>
      </n>
      <m>
        <tpls c="3">
          <tpl fld="2" item="0"/>
          <tpl fld="0" item="305"/>
          <tpl fld="1" item="1"/>
        </tpls>
      </m>
      <m>
        <tpls c="3">
          <tpl fld="2" item="0"/>
          <tpl fld="0" item="236"/>
          <tpl fld="1" item="2"/>
        </tpls>
      </m>
      <m>
        <tpls c="3">
          <tpl fld="2" item="1"/>
          <tpl fld="0" item="125"/>
          <tpl fld="1" item="2"/>
        </tpls>
      </m>
      <m>
        <tpls c="3">
          <tpl fld="2" item="0"/>
          <tpl fld="0" item="181"/>
          <tpl fld="1" item="1"/>
        </tpls>
      </m>
      <n v="0">
        <tpls c="3">
          <tpl fld="2" item="1"/>
          <tpl fld="0" item="415"/>
          <tpl fld="1" item="2"/>
        </tpls>
      </n>
      <n v="4068">
        <tpls c="2">
          <tpl fld="2" item="0"/>
          <tpl fld="0" item="418"/>
        </tpls>
      </n>
      <m>
        <tpls c="3">
          <tpl fld="2" item="1"/>
          <tpl fld="0" item="14"/>
          <tpl fld="1" item="3"/>
        </tpls>
      </m>
      <m>
        <tpls c="3">
          <tpl fld="2" item="0"/>
          <tpl fld="0" item="69"/>
          <tpl fld="1" item="3"/>
        </tpls>
      </m>
      <m>
        <tpls c="3">
          <tpl fld="2" item="1"/>
          <tpl fld="0" item="126"/>
          <tpl fld="1" item="0"/>
        </tpls>
      </m>
      <m>
        <tpls c="3">
          <tpl fld="2" item="0"/>
          <tpl fld="0" item="182"/>
          <tpl fld="1" item="3"/>
        </tpls>
      </m>
      <m>
        <tpls c="3">
          <tpl fld="2" item="1"/>
          <tpl fld="0" item="238"/>
          <tpl fld="1" item="2"/>
        </tpls>
      </m>
      <m>
        <tpls c="3">
          <tpl fld="2" item="1"/>
          <tpl fld="0" item="339"/>
          <tpl fld="1" item="2"/>
        </tpls>
      </m>
      <m>
        <tpls c="3">
          <tpl fld="2" item="0"/>
          <tpl fld="0" item="306"/>
          <tpl fld="1" item="2"/>
        </tpls>
      </m>
      <n v="0">
        <tpls c="2">
          <tpl fld="2" item="0"/>
          <tpl fld="0" item="328"/>
        </tpls>
      </n>
      <n v="0">
        <tpls c="2">
          <tpl fld="2" item="0"/>
          <tpl fld="0" item="15"/>
        </tpls>
      </n>
      <m>
        <tpls c="3">
          <tpl fld="2" item="1"/>
          <tpl fld="0" item="70"/>
          <tpl fld="1" item="1"/>
        </tpls>
      </m>
      <n v="470">
        <tpls c="3">
          <tpl fld="2" item="0"/>
          <tpl fld="0" item="127"/>
          <tpl fld="1" item="1"/>
        </tpls>
      </n>
      <m>
        <tpls c="3">
          <tpl fld="2" item="0"/>
          <tpl fld="0" item="183"/>
          <tpl fld="1" item="1"/>
        </tpls>
      </m>
      <m>
        <tpls c="3">
          <tpl fld="2" item="1"/>
          <tpl fld="0" item="335"/>
          <tpl fld="1" item="2"/>
        </tpls>
      </m>
      <m>
        <tpls c="3">
          <tpl fld="2" item="0"/>
          <tpl fld="0" item="354"/>
          <tpl fld="1" item="0"/>
        </tpls>
      </m>
      <m>
        <tpls c="3">
          <tpl fld="2" item="0"/>
          <tpl fld="0" item="367"/>
          <tpl fld="1" item="2"/>
        </tpls>
      </m>
      <m>
        <tpls c="3">
          <tpl fld="2" item="0"/>
          <tpl fld="0" item="16"/>
          <tpl fld="1" item="1"/>
        </tpls>
      </m>
      <n v="2268">
        <tpls c="2">
          <tpl fld="2" item="1"/>
          <tpl fld="0" item="71"/>
        </tpls>
      </n>
      <n v="1749">
        <tpls c="3">
          <tpl fld="2" item="0"/>
          <tpl fld="0" item="128"/>
          <tpl fld="1" item="2"/>
        </tpls>
      </n>
      <m>
        <tpls c="3">
          <tpl fld="2" item="1"/>
          <tpl fld="0" item="184"/>
          <tpl fld="1" item="2"/>
        </tpls>
      </m>
      <n v="4">
        <tpls c="3">
          <tpl fld="2" item="1"/>
          <tpl fld="0" item="240"/>
          <tpl fld="1" item="1"/>
        </tpls>
      </n>
      <n v="74134">
        <tpls c="2">
          <tpl fld="2" item="0"/>
          <tpl fld="0" item="423"/>
        </tpls>
      </n>
      <n v="32865.300000000003">
        <tpls c="2">
          <tpl fld="2" item="0"/>
          <tpl fld="0" item="286"/>
        </tpls>
      </n>
      <m>
        <tpls c="3">
          <tpl fld="2" item="1"/>
          <tpl fld="0" item="381"/>
          <tpl fld="1" item="1"/>
        </tpls>
      </m>
      <m>
        <tpls c="3">
          <tpl fld="2" item="1"/>
          <tpl fld="0" item="17"/>
          <tpl fld="1" item="1"/>
        </tpls>
      </m>
      <m>
        <tpls c="3">
          <tpl fld="2" item="1"/>
          <tpl fld="0" item="129"/>
          <tpl fld="1" item="0"/>
        </tpls>
      </m>
      <n v="8732">
        <tpls c="3">
          <tpl fld="2" item="0"/>
          <tpl fld="0" item="185"/>
          <tpl fld="1" item="1"/>
        </tpls>
      </n>
      <n v="4066">
        <tpls c="3">
          <tpl fld="2" item="0"/>
          <tpl fld="0" item="241"/>
          <tpl fld="1" item="1"/>
        </tpls>
      </n>
      <n v="50">
        <tpls c="3">
          <tpl fld="2" item="1"/>
          <tpl fld="0" item="241"/>
          <tpl fld="1" item="1"/>
        </tpls>
      </n>
      <n v="401">
        <tpls c="3">
          <tpl fld="2" item="0"/>
          <tpl fld="0" item="307"/>
          <tpl fld="1" item="2"/>
        </tpls>
      </n>
      <n v="7860">
        <tpls c="2">
          <tpl fld="2" item="0"/>
          <tpl fld="0" item="329"/>
        </tpls>
      </n>
      <n v="144">
        <tpls c="2">
          <tpl fld="2" item="1"/>
          <tpl fld="0" item="393"/>
        </tpls>
      </n>
      <m>
        <tpls c="3">
          <tpl fld="2" item="1"/>
          <tpl fld="0" item="18"/>
          <tpl fld="1" item="2"/>
        </tpls>
      </m>
      <n v="7230">
        <tpls c="2">
          <tpl fld="2" item="0"/>
          <tpl fld="0" item="73"/>
        </tpls>
      </n>
      <m>
        <tpls c="3">
          <tpl fld="2" item="0"/>
          <tpl fld="0" item="130"/>
          <tpl fld="1" item="0"/>
        </tpls>
      </m>
      <m>
        <tpls c="3">
          <tpl fld="2" item="1"/>
          <tpl fld="0" item="130"/>
          <tpl fld="1" item="0"/>
        </tpls>
      </m>
      <m>
        <tpls c="3">
          <tpl fld="2" item="1"/>
          <tpl fld="0" item="186"/>
          <tpl fld="1" item="0"/>
        </tpls>
      </m>
      <n v="635">
        <tpls c="3">
          <tpl fld="2" item="0"/>
          <tpl fld="0" item="431"/>
          <tpl fld="1" item="0"/>
        </tpls>
      </n>
      <n v="11">
        <tpls c="3">
          <tpl fld="2" item="1"/>
          <tpl fld="0" item="431"/>
          <tpl fld="1" item="0"/>
        </tpls>
      </n>
      <m>
        <tpls c="3">
          <tpl fld="2" item="1"/>
          <tpl fld="0" item="340"/>
          <tpl fld="1" item="0"/>
        </tpls>
      </m>
      <m>
        <tpls c="3">
          <tpl fld="2" item="1"/>
          <tpl fld="0" item="19"/>
          <tpl fld="1" item="0"/>
        </tpls>
      </m>
      <n v="10">
        <tpls c="3">
          <tpl fld="2" item="0"/>
          <tpl fld="0" item="131"/>
          <tpl fld="1" item="0"/>
        </tpls>
      </n>
      <n v="25">
        <tpls c="3">
          <tpl fld="2" item="1"/>
          <tpl fld="0" item="287"/>
          <tpl fld="1" item="1"/>
        </tpls>
      </n>
      <m>
        <tpls c="3">
          <tpl fld="2" item="0"/>
          <tpl fld="0" item="308"/>
          <tpl fld="1" item="0"/>
        </tpls>
      </m>
      <m>
        <tpls c="3">
          <tpl fld="2" item="1"/>
          <tpl fld="0" item="236"/>
          <tpl fld="1" item="2"/>
        </tpls>
      </m>
      <n v="0">
        <tpls c="3">
          <tpl fld="2" item="1"/>
          <tpl fld="0" item="76"/>
          <tpl fld="1" item="1"/>
        </tpls>
      </n>
      <m>
        <tpls c="3">
          <tpl fld="2" item="1"/>
          <tpl fld="0" item="76"/>
          <tpl fld="1" item="3"/>
        </tpls>
      </m>
      <m>
        <tpls c="3">
          <tpl fld="2" item="1"/>
          <tpl fld="0" item="132"/>
          <tpl fld="1" item="0"/>
        </tpls>
      </m>
      <n v="70002.94">
        <tpls c="2">
          <tpl fld="2" item="0"/>
          <tpl fld="0" item="188"/>
        </tpls>
      </n>
      <n v="15">
        <tpls c="2">
          <tpl fld="2" item="1"/>
          <tpl fld="0" item="244"/>
        </tpls>
      </n>
      <n v="97273">
        <tpls c="2">
          <tpl fld="2" item="0"/>
          <tpl fld="0" item="309"/>
        </tpls>
      </n>
      <m>
        <tpls c="3">
          <tpl fld="2" item="1"/>
          <tpl fld="0" item="309"/>
          <tpl fld="1" item="3"/>
        </tpls>
      </m>
      <m>
        <tpls c="3">
          <tpl fld="2" item="1"/>
          <tpl fld="0" item="419"/>
          <tpl fld="1" item="0"/>
        </tpls>
      </m>
      <n v="1">
        <tpls c="2">
          <tpl fld="2" item="1"/>
          <tpl fld="0" item="424"/>
        </tpls>
      </n>
      <n v="2994">
        <tpls c="2">
          <tpl fld="2" item="0"/>
          <tpl fld="0" item="21"/>
        </tpls>
      </n>
      <m>
        <tpls c="3">
          <tpl fld="2" item="1"/>
          <tpl fld="0" item="77"/>
          <tpl fld="1" item="3"/>
        </tpls>
      </m>
      <m>
        <tpls c="3">
          <tpl fld="2" item="0"/>
          <tpl fld="0" item="77"/>
          <tpl fld="1" item="0"/>
        </tpls>
      </m>
      <m>
        <tpls c="3">
          <tpl fld="2" item="0"/>
          <tpl fld="0" item="133"/>
          <tpl fld="1" item="1"/>
        </tpls>
      </m>
      <n v="123">
        <tpls c="2">
          <tpl fld="2" item="1"/>
          <tpl fld="0" item="189"/>
        </tpls>
      </n>
      <m>
        <tpls c="3">
          <tpl fld="2" item="1"/>
          <tpl fld="0" item="245"/>
          <tpl fld="1" item="3"/>
        </tpls>
      </m>
      <n v="70">
        <tpls c="2">
          <tpl fld="2" item="1"/>
          <tpl fld="0" item="341"/>
        </tpls>
      </n>
      <m>
        <tpls c="3">
          <tpl fld="2" item="1"/>
          <tpl fld="0" item="341"/>
          <tpl fld="1" item="3"/>
        </tpls>
      </m>
      <n v="0">
        <tpls c="3">
          <tpl fld="2" item="0"/>
          <tpl fld="0" item="356"/>
          <tpl fld="1" item="1"/>
        </tpls>
      </n>
      <n v="11">
        <tpls c="3">
          <tpl fld="2" item="1"/>
          <tpl fld="0" item="368"/>
          <tpl fld="1" item="1"/>
        </tpls>
      </n>
      <m>
        <tpls c="3">
          <tpl fld="2" item="1"/>
          <tpl fld="0" item="22"/>
          <tpl fld="1" item="2"/>
        </tpls>
      </m>
      <n v="22">
        <tpls c="2">
          <tpl fld="2" item="1"/>
          <tpl fld="0" item="78"/>
        </tpls>
      </n>
      <m>
        <tpls c="3">
          <tpl fld="2" item="1"/>
          <tpl fld="0" item="78"/>
          <tpl fld="1" item="3"/>
        </tpls>
      </m>
      <n v="1395">
        <tpls c="3">
          <tpl fld="2" item="0"/>
          <tpl fld="0" item="134"/>
          <tpl fld="1" item="1"/>
        </tpls>
      </n>
      <n v="6">
        <tpls c="3">
          <tpl fld="2" item="1"/>
          <tpl fld="0" item="190"/>
          <tpl fld="1" item="1"/>
        </tpls>
      </n>
      <n v="0">
        <tpls c="2">
          <tpl fld="2" item="0"/>
          <tpl fld="0" item="246"/>
        </tpls>
      </n>
      <m>
        <tpls c="3">
          <tpl fld="2" item="1"/>
          <tpl fld="0" item="288"/>
          <tpl fld="1" item="2"/>
        </tpls>
      </m>
      <m>
        <tpls c="3">
          <tpl fld="2" item="1"/>
          <tpl fld="0" item="288"/>
          <tpl fld="1" item="3"/>
        </tpls>
      </m>
      <m>
        <tpls c="3">
          <tpl fld="2" item="1"/>
          <tpl fld="0" item="169"/>
          <tpl fld="1" item="2"/>
        </tpls>
      </m>
      <m>
        <tpls c="3">
          <tpl fld="2" item="0"/>
          <tpl fld="0" item="282"/>
          <tpl fld="1" item="3"/>
        </tpls>
      </m>
      <n v="5">
        <tpls c="2">
          <tpl fld="2" item="0"/>
          <tpl fld="0" item="119"/>
        </tpls>
      </n>
      <m>
        <tpls c="3">
          <tpl fld="2" item="1"/>
          <tpl fld="0" item="283"/>
          <tpl fld="1" item="2"/>
        </tpls>
      </m>
      <n v="86">
        <tpls c="3">
          <tpl fld="2" item="1"/>
          <tpl fld="0" item="233"/>
          <tpl fld="1" item="1"/>
        </tpls>
      </n>
      <n v="11090">
        <tpls c="3">
          <tpl fld="2" item="0"/>
          <tpl fld="0" item="66"/>
          <tpl fld="1" item="3"/>
        </tpls>
      </n>
      <n v="242">
        <tpls c="3">
          <tpl fld="2" item="1"/>
          <tpl fld="0" item="12"/>
          <tpl fld="1" item="3"/>
        </tpls>
      </n>
      <m>
        <tpls c="3">
          <tpl fld="2" item="0"/>
          <tpl fld="0" item="180"/>
          <tpl fld="1" item="2"/>
        </tpls>
      </m>
      <n v="15">
        <tpls c="2">
          <tpl fld="2" item="1"/>
          <tpl fld="0" item="418"/>
        </tpls>
      </n>
      <m>
        <tpls c="3">
          <tpl fld="2" item="1"/>
          <tpl fld="0" item="182"/>
          <tpl fld="1" item="0"/>
        </tpls>
      </m>
      <m>
        <tpls c="3">
          <tpl fld="2" item="0"/>
          <tpl fld="0" item="328"/>
          <tpl fld="1" item="3"/>
        </tpls>
      </m>
      <m>
        <tpls c="3">
          <tpl fld="2" item="1"/>
          <tpl fld="0" item="183"/>
          <tpl fld="1" item="1"/>
        </tpls>
      </m>
      <m>
        <tpls c="3">
          <tpl fld="2" item="0"/>
          <tpl fld="0" item="16"/>
          <tpl fld="1" item="2"/>
        </tpls>
      </m>
      <n v="438">
        <tpls c="2">
          <tpl fld="2" item="1"/>
          <tpl fld="0" item="240"/>
        </tpls>
      </n>
      <n v="20426">
        <tpls c="2">
          <tpl fld="2" item="0"/>
          <tpl fld="0" item="17"/>
        </tpls>
      </n>
      <n v="43616.5">
        <tpls c="2">
          <tpl fld="2" item="0"/>
          <tpl fld="0" item="241"/>
        </tpls>
      </n>
      <n v="149">
        <tpls c="3">
          <tpl fld="2" item="1"/>
          <tpl fld="0" item="18"/>
          <tpl fld="1" item="3"/>
        </tpls>
      </n>
      <n v="276">
        <tpls c="3">
          <tpl fld="2" item="0"/>
          <tpl fld="0" item="186"/>
          <tpl fld="1" item="1"/>
        </tpls>
      </n>
      <n v="6">
        <tpls c="3">
          <tpl fld="2" item="1"/>
          <tpl fld="0" item="431"/>
          <tpl fld="1" item="2"/>
        </tpls>
      </n>
      <n v="128">
        <tpls c="3">
          <tpl fld="2" item="1"/>
          <tpl fld="0" item="74"/>
          <tpl fld="1" item="1"/>
        </tpls>
      </n>
      <m>
        <tpls c="3">
          <tpl fld="2" item="0"/>
          <tpl fld="0" item="308"/>
          <tpl fld="1" item="1"/>
        </tpls>
      </m>
      <n v="0">
        <tpls c="2">
          <tpl fld="2" item="0"/>
          <tpl fld="0" item="76"/>
        </tpls>
      </n>
      <n v="27906.52">
        <tpls c="3">
          <tpl fld="2" item="0"/>
          <tpl fld="0" item="188"/>
          <tpl fld="1" item="1"/>
        </tpls>
      </n>
      <m>
        <tpls c="3">
          <tpl fld="2" item="0"/>
          <tpl fld="0" item="309"/>
          <tpl fld="1" item="0"/>
        </tpls>
      </m>
      <m>
        <tpls c="3">
          <tpl fld="2" item="1"/>
          <tpl fld="0" item="424"/>
          <tpl fld="1" item="3"/>
        </tpls>
      </m>
      <m>
        <tpls c="3">
          <tpl fld="2" item="0"/>
          <tpl fld="0" item="77"/>
          <tpl fld="1" item="3"/>
        </tpls>
      </m>
      <n v="50">
        <tpls c="3">
          <tpl fld="2" item="0"/>
          <tpl fld="0" item="245"/>
          <tpl fld="1" item="1"/>
        </tpls>
      </n>
      <m>
        <tpls c="3">
          <tpl fld="2" item="1"/>
          <tpl fld="0" item="356"/>
          <tpl fld="1" item="2"/>
        </tpls>
      </m>
      <m>
        <tpls c="3">
          <tpl fld="2" item="0"/>
          <tpl fld="0" item="22"/>
          <tpl fld="1" item="2"/>
        </tpls>
      </m>
      <m>
        <tpls c="3">
          <tpl fld="2" item="1"/>
          <tpl fld="0" item="134"/>
          <tpl fld="1" item="0"/>
        </tpls>
      </m>
      <m>
        <tpls c="3">
          <tpl fld="2" item="0"/>
          <tpl fld="0" item="246"/>
          <tpl fld="1" item="0"/>
        </tpls>
      </m>
      <n v="0">
        <tpls c="3">
          <tpl fld="2" item="0"/>
          <tpl fld="0" item="438"/>
          <tpl fld="1" item="2"/>
        </tpls>
      </n>
      <n v="0">
        <tpls c="3">
          <tpl fld="2" item="1"/>
          <tpl fld="0" item="191"/>
          <tpl fld="1" item="2"/>
        </tpls>
      </n>
      <m>
        <tpls c="3">
          <tpl fld="2" item="0"/>
          <tpl fld="0" item="247"/>
          <tpl fld="1" item="0"/>
        </tpls>
      </m>
      <m>
        <tpls c="3">
          <tpl fld="2" item="1"/>
          <tpl fld="0" item="382"/>
          <tpl fld="1" item="3"/>
        </tpls>
      </m>
      <m>
        <tpls c="3">
          <tpl fld="2" item="1"/>
          <tpl fld="0" item="382"/>
          <tpl fld="1" item="1"/>
        </tpls>
      </m>
      <m>
        <tpls c="3">
          <tpl fld="2" item="0"/>
          <tpl fld="0" item="394"/>
          <tpl fld="1" item="2"/>
        </tpls>
      </m>
      <m>
        <tpls c="3">
          <tpl fld="2" item="0"/>
          <tpl fld="0" item="432"/>
          <tpl fld="1" item="3"/>
        </tpls>
      </m>
      <m>
        <tpls c="3">
          <tpl fld="2" item="1"/>
          <tpl fld="0" item="23"/>
          <tpl fld="1" item="3"/>
        </tpls>
      </m>
      <m>
        <tpls c="3">
          <tpl fld="2" item="1"/>
          <tpl fld="0" item="79"/>
          <tpl fld="1" item="0"/>
        </tpls>
      </m>
      <n v="0">
        <tpls c="2">
          <tpl fld="2" item="0"/>
          <tpl fld="0" item="79"/>
        </tpls>
      </n>
      <m>
        <tpls c="3">
          <tpl fld="2" item="0"/>
          <tpl fld="0" item="135"/>
          <tpl fld="1" item="2"/>
        </tpls>
      </m>
      <n v="0">
        <tpls c="2">
          <tpl fld="2" item="1"/>
          <tpl fld="0" item="192"/>
        </tpls>
      </n>
      <m>
        <tpls c="3">
          <tpl fld="2" item="0"/>
          <tpl fld="0" item="248"/>
          <tpl fld="1" item="0"/>
        </tpls>
      </m>
      <m>
        <tpls c="3">
          <tpl fld="2" item="1"/>
          <tpl fld="0" item="404"/>
          <tpl fld="1" item="0"/>
        </tpls>
      </m>
      <m>
        <tpls c="3">
          <tpl fld="2" item="1"/>
          <tpl fld="0" item="404"/>
          <tpl fld="1" item="1"/>
        </tpls>
      </m>
      <m>
        <tpls c="3">
          <tpl fld="2" item="1"/>
          <tpl fld="0" item="342"/>
          <tpl fld="1" item="0"/>
        </tpls>
      </m>
      <n v="896">
        <tpls c="3">
          <tpl fld="2" item="1"/>
          <tpl fld="0" item="289"/>
          <tpl fld="1" item="2"/>
        </tpls>
      </n>
      <n v="63460.18">
        <tpls c="3">
          <tpl fld="2" item="0"/>
          <tpl fld="0" item="24"/>
          <tpl fld="1" item="3"/>
        </tpls>
      </n>
      <n v="40055">
        <tpls c="3">
          <tpl fld="2" item="0"/>
          <tpl fld="0" item="80"/>
          <tpl fld="1" item="3"/>
        </tpls>
      </n>
      <m>
        <tpls c="3">
          <tpl fld="2" item="0"/>
          <tpl fld="0" item="80"/>
          <tpl fld="1" item="1"/>
        </tpls>
      </m>
      <n v="92253.01">
        <tpls c="2">
          <tpl fld="2" item="0"/>
          <tpl fld="0" item="136"/>
        </tpls>
      </n>
      <n v="1905673.19">
        <tpls c="3">
          <tpl fld="2" item="0"/>
          <tpl fld="0" item="193"/>
          <tpl fld="1" item="3"/>
        </tpls>
      </n>
      <n v="15705">
        <tpls c="3">
          <tpl fld="2" item="0"/>
          <tpl fld="0" item="249"/>
          <tpl fld="1" item="3"/>
        </tpls>
      </n>
      <n v="35">
        <tpls c="3">
          <tpl fld="2" item="1"/>
          <tpl fld="0" item="357"/>
          <tpl fld="1" item="2"/>
        </tpls>
      </n>
      <m>
        <tpls c="3">
          <tpl fld="2" item="0"/>
          <tpl fld="0" item="357"/>
          <tpl fld="1" item="0"/>
        </tpls>
      </m>
      <n v="47">
        <tpls c="3">
          <tpl fld="2" item="1"/>
          <tpl fld="0" item="310"/>
          <tpl fld="1" item="3"/>
        </tpls>
      </n>
      <m>
        <tpls c="3">
          <tpl fld="2" item="1"/>
          <tpl fld="0" item="369"/>
          <tpl fld="1" item="1"/>
        </tpls>
      </m>
      <n v="63">
        <tpls c="3">
          <tpl fld="2" item="1"/>
          <tpl fld="0" item="25"/>
          <tpl fld="1" item="2"/>
        </tpls>
      </n>
      <n v="28">
        <tpls c="3">
          <tpl fld="2" item="0"/>
          <tpl fld="0" item="81"/>
          <tpl fld="1" item="2"/>
        </tpls>
      </n>
      <n v="1">
        <tpls c="3">
          <tpl fld="2" item="1"/>
          <tpl fld="0" item="81"/>
          <tpl fld="1" item="2"/>
        </tpls>
      </n>
      <n v="5366">
        <tpls c="3">
          <tpl fld="2" item="0"/>
          <tpl fld="0" item="137"/>
          <tpl fld="1" item="3"/>
        </tpls>
      </n>
      <m>
        <tpls c="3">
          <tpl fld="2" item="1"/>
          <tpl fld="0" item="194"/>
          <tpl fld="1" item="2"/>
        </tpls>
      </m>
      <m>
        <tpls c="3">
          <tpl fld="2" item="1"/>
          <tpl fld="0" item="250"/>
          <tpl fld="1" item="2"/>
        </tpls>
      </m>
      <n v="2095.2600000000002">
        <tpls c="2">
          <tpl fld="2" item="0"/>
          <tpl fld="0" item="408"/>
        </tpls>
      </n>
      <m>
        <tpls c="3">
          <tpl fld="2" item="0"/>
          <tpl fld="0" item="383"/>
          <tpl fld="1" item="0"/>
        </tpls>
      </m>
      <n v="305">
        <tpls c="3">
          <tpl fld="2" item="0"/>
          <tpl fld="0" item="395"/>
          <tpl fld="1" item="0"/>
        </tpls>
      </n>
      <n v="14438.01">
        <tpls c="3">
          <tpl fld="2" item="0"/>
          <tpl fld="0" item="26"/>
          <tpl fld="1" item="3"/>
        </tpls>
      </n>
      <m>
        <tpls c="3">
          <tpl fld="2" item="0"/>
          <tpl fld="0" item="82"/>
          <tpl fld="1" item="1"/>
        </tpls>
      </m>
      <n v="301">
        <tpls c="2">
          <tpl fld="2" item="0"/>
          <tpl fld="0" item="138"/>
        </tpls>
      </n>
      <n v="9">
        <tpls c="3">
          <tpl fld="2" item="1"/>
          <tpl fld="0" item="124"/>
          <tpl fld="1" item="3"/>
        </tpls>
      </n>
      <n v="74">
        <tpls c="3">
          <tpl fld="2" item="1"/>
          <tpl fld="0" item="179"/>
          <tpl fld="1" item="3"/>
        </tpls>
      </n>
      <n v="0">
        <tpls c="2">
          <tpl fld="2" item="1"/>
          <tpl fld="0" item="311"/>
        </tpls>
      </n>
      <m>
        <tpls c="3">
          <tpl fld="2" item="1"/>
          <tpl fld="0" item="343"/>
          <tpl fld="1" item="1"/>
        </tpls>
      </m>
      <m>
        <tpls c="3">
          <tpl fld="2" item="1"/>
          <tpl fld="0" item="358"/>
          <tpl fld="1" item="0"/>
        </tpls>
      </m>
      <n v="25">
        <tpls c="2">
          <tpl fld="2" item="1"/>
          <tpl fld="0" item="27"/>
        </tpls>
      </n>
      <n v="56">
        <tpls c="3">
          <tpl fld="2" item="1"/>
          <tpl fld="0" item="83"/>
          <tpl fld="1" item="1"/>
        </tpls>
      </n>
      <n v="19">
        <tpls c="3">
          <tpl fld="2" item="1"/>
          <tpl fld="0" item="139"/>
          <tpl fld="1" item="1"/>
        </tpls>
      </n>
      <m>
        <tpls c="3">
          <tpl fld="2" item="0"/>
          <tpl fld="0" item="139"/>
          <tpl fld="1" item="0"/>
        </tpls>
      </m>
      <m>
        <tpls c="3">
          <tpl fld="2" item="1"/>
          <tpl fld="0" item="195"/>
          <tpl fld="1" item="1"/>
        </tpls>
      </m>
      <n v="3">
        <tpls c="2">
          <tpl fld="2" item="1"/>
          <tpl fld="0" item="251"/>
        </tpls>
      </n>
      <m>
        <tpls c="3">
          <tpl fld="2" item="1"/>
          <tpl fld="0" item="370"/>
          <tpl fld="1" item="0"/>
        </tpls>
      </m>
      <m>
        <tpls c="3">
          <tpl fld="2" item="1"/>
          <tpl fld="0" item="420"/>
          <tpl fld="1" item="0"/>
        </tpls>
      </m>
      <m>
        <tpls c="3">
          <tpl fld="2" item="1"/>
          <tpl fld="0" item="420"/>
          <tpl fld="1" item="3"/>
        </tpls>
      </m>
      <n v="7">
        <tpls c="2">
          <tpl fld="2" item="1"/>
          <tpl fld="0" item="384"/>
        </tpls>
      </n>
      <n v="3">
        <tpls c="3">
          <tpl fld="2" item="1"/>
          <tpl fld="0" item="28"/>
          <tpl fld="1" item="2"/>
        </tpls>
      </n>
      <n v="100939">
        <tpls c="3">
          <tpl fld="2" item="0"/>
          <tpl fld="0" item="84"/>
          <tpl fld="1" item="3"/>
        </tpls>
      </n>
      <n v="2054">
        <tpls c="3">
          <tpl fld="2" item="1"/>
          <tpl fld="0" item="140"/>
          <tpl fld="1" item="1"/>
        </tpls>
      </n>
      <n v="101699">
        <tpls c="3">
          <tpl fld="2" item="0"/>
          <tpl fld="0" item="140"/>
          <tpl fld="1" item="2"/>
        </tpls>
      </n>
      <m>
        <tpls c="3">
          <tpl fld="2" item="1"/>
          <tpl fld="0" item="196"/>
          <tpl fld="1" item="1"/>
        </tpls>
      </m>
      <n v="33822">
        <tpls c="2">
          <tpl fld="2" item="0"/>
          <tpl fld="0" item="252"/>
        </tpls>
      </n>
      <n v="20631">
        <tpls c="3">
          <tpl fld="2" item="0"/>
          <tpl fld="0" item="290"/>
          <tpl fld="1" item="3"/>
        </tpls>
      </n>
      <n v="876">
        <tpls c="3">
          <tpl fld="2" item="1"/>
          <tpl fld="0" item="396"/>
          <tpl fld="1" item="1"/>
        </tpls>
      </n>
      <n v="135">
        <tpls c="3">
          <tpl fld="2" item="1"/>
          <tpl fld="0" item="396"/>
          <tpl fld="1" item="2"/>
        </tpls>
      </n>
      <n v="12772.6">
        <tpls c="2">
          <tpl fld="2" item="0"/>
          <tpl fld="0" item="312"/>
        </tpls>
      </n>
      <n v="9">
        <tpls c="3">
          <tpl fld="2" item="1"/>
          <tpl fld="0" item="29"/>
          <tpl fld="1" item="2"/>
        </tpls>
      </n>
      <n v="1555">
        <tpls c="3">
          <tpl fld="2" item="0"/>
          <tpl fld="0" item="85"/>
          <tpl fld="1" item="0"/>
        </tpls>
      </n>
      <m>
        <tpls c="3">
          <tpl fld="2" item="1"/>
          <tpl fld="0" item="141"/>
          <tpl fld="1" item="1"/>
        </tpls>
      </m>
      <n v="6208.98">
        <tpls c="2">
          <tpl fld="2" item="0"/>
          <tpl fld="0" item="141"/>
        </tpls>
      </n>
      <m>
        <tpls c="3">
          <tpl fld="2" item="1"/>
          <tpl fld="0" item="197"/>
          <tpl fld="1" item="1"/>
        </tpls>
      </m>
      <m>
        <tpls c="3">
          <tpl fld="2" item="1"/>
          <tpl fld="0" item="253"/>
          <tpl fld="1" item="0"/>
        </tpls>
      </m>
      <n v="8062">
        <tpls c="2">
          <tpl fld="2" item="1"/>
          <tpl fld="0" item="425"/>
        </tpls>
      </n>
      <m>
        <tpls c="3">
          <tpl fld="2" item="1"/>
          <tpl fld="0" item="344"/>
          <tpl fld="1" item="0"/>
        </tpls>
      </m>
      <m>
        <tpls c="3">
          <tpl fld="2" item="1"/>
          <tpl fld="0" item="30"/>
          <tpl fld="1" item="2"/>
        </tpls>
      </m>
      <m>
        <tpls c="3">
          <tpl fld="2" item="1"/>
          <tpl fld="0" item="86"/>
          <tpl fld="1" item="0"/>
        </tpls>
      </m>
      <m>
        <tpls c="3">
          <tpl fld="2" item="1"/>
          <tpl fld="0" item="142"/>
          <tpl fld="1" item="1"/>
        </tpls>
      </m>
      <n v="353">
        <tpls c="2">
          <tpl fld="2" item="0"/>
          <tpl fld="0" item="198"/>
        </tpls>
      </n>
      <n v="289">
        <tpls c="2">
          <tpl fld="2" item="0"/>
          <tpl fld="0" item="254"/>
        </tpls>
      </n>
      <m>
        <tpls c="3">
          <tpl fld="2" item="0"/>
          <tpl fld="0" item="179"/>
          <tpl fld="1" item="0"/>
        </tpls>
      </m>
      <m>
        <tpls c="3">
          <tpl fld="2" item="0"/>
          <tpl fld="0" item="332"/>
          <tpl fld="1" item="0"/>
        </tpls>
      </m>
      <m>
        <tpls c="3">
          <tpl fld="2" item="1"/>
          <tpl fld="0" item="255"/>
          <tpl fld="1" item="3"/>
        </tpls>
      </m>
      <n v="0">
        <tpls c="3">
          <tpl fld="2" item="1"/>
          <tpl fld="0" item="433"/>
          <tpl fld="1" item="2"/>
        </tpls>
      </n>
      <m>
        <tpls c="3">
          <tpl fld="2" item="1"/>
          <tpl fld="0" item="433"/>
          <tpl fld="1" item="0"/>
        </tpls>
      </m>
      <n v="2">
        <tpls c="3">
          <tpl fld="2" item="1"/>
          <tpl fld="0" item="313"/>
          <tpl fld="1" item="1"/>
        </tpls>
      </n>
      <m>
        <tpls c="3">
          <tpl fld="2" item="0"/>
          <tpl fld="0" item="385"/>
          <tpl fld="1" item="2"/>
        </tpls>
      </m>
      <m>
        <tpls c="3">
          <tpl fld="2" item="1"/>
          <tpl fld="0" item="439"/>
          <tpl fld="1" item="1"/>
        </tpls>
      </m>
      <m>
        <tpls c="3">
          <tpl fld="2" item="0"/>
          <tpl fld="0" item="57"/>
          <tpl fld="1" item="0"/>
        </tpls>
      </m>
      <m>
        <tpls c="3">
          <tpl fld="2" item="1"/>
          <tpl fld="0" item="62"/>
          <tpl fld="1" item="0"/>
        </tpls>
      </m>
      <m>
        <tpls c="3">
          <tpl fld="2" item="1"/>
          <tpl fld="0" item="231"/>
          <tpl fld="1" item="3"/>
        </tpls>
      </m>
      <m>
        <tpls c="3">
          <tpl fld="2" item="1"/>
          <tpl fld="0" item="283"/>
          <tpl fld="1" item="1"/>
        </tpls>
      </m>
      <n v="4190">
        <tpls c="3">
          <tpl fld="2" item="0"/>
          <tpl fld="0" item="233"/>
          <tpl fld="1" item="1"/>
        </tpls>
      </n>
      <m>
        <tpls c="3">
          <tpl fld="2" item="1"/>
          <tpl fld="0" item="122"/>
          <tpl fld="1" item="0"/>
        </tpls>
      </m>
      <m>
        <tpls c="3">
          <tpl fld="2" item="0"/>
          <tpl fld="0" item="12"/>
          <tpl fld="1" item="2"/>
        </tpls>
      </m>
      <n v="12">
        <tpls c="3">
          <tpl fld="2" item="0"/>
          <tpl fld="0" item="236"/>
          <tpl fld="1" item="1"/>
        </tpls>
      </n>
      <m>
        <tpls c="3">
          <tpl fld="2" item="0"/>
          <tpl fld="0" item="285"/>
          <tpl fld="1" item="0"/>
        </tpls>
      </m>
      <m>
        <tpls c="3">
          <tpl fld="2" item="1"/>
          <tpl fld="0" item="182"/>
          <tpl fld="1" item="2"/>
        </tpls>
      </m>
      <m>
        <tpls c="3">
          <tpl fld="2" item="1"/>
          <tpl fld="0" item="328"/>
          <tpl fld="1" item="1"/>
        </tpls>
      </m>
      <m>
        <tpls c="3">
          <tpl fld="2" item="0"/>
          <tpl fld="0" item="239"/>
          <tpl fld="1" item="0"/>
        </tpls>
      </m>
      <n v="5812">
        <tpls c="2">
          <tpl fld="2" item="1"/>
          <tpl fld="0" item="16"/>
        </tpls>
      </n>
      <m>
        <tpls c="3">
          <tpl fld="2" item="1"/>
          <tpl fld="0" item="240"/>
          <tpl fld="1" item="0"/>
        </tpls>
      </m>
      <m>
        <tpls c="3">
          <tpl fld="2" item="0"/>
          <tpl fld="0" item="72"/>
          <tpl fld="1" item="1"/>
        </tpls>
      </m>
      <n v="227">
        <tpls c="3">
          <tpl fld="2" item="0"/>
          <tpl fld="0" item="307"/>
          <tpl fld="1" item="1"/>
        </tpls>
      </n>
      <n v="149">
        <tpls c="2">
          <tpl fld="2" item="1"/>
          <tpl fld="0" item="18"/>
        </tpls>
      </n>
      <n v="440">
        <tpls c="3">
          <tpl fld="2" item="1"/>
          <tpl fld="0" item="242"/>
          <tpl fld="1" item="3"/>
        </tpls>
      </n>
      <n v="13661.01">
        <tpls c="3">
          <tpl fld="2" item="0"/>
          <tpl fld="0" item="431"/>
          <tpl fld="1" item="1"/>
        </tpls>
      </n>
      <n v="50">
        <tpls c="3">
          <tpl fld="2" item="0"/>
          <tpl fld="0" item="74"/>
          <tpl fld="1" item="0"/>
        </tpls>
      </n>
      <m>
        <tpls c="3">
          <tpl fld="2" item="1"/>
          <tpl fld="0" item="20"/>
          <tpl fld="1" item="1"/>
        </tpls>
      </m>
      <m>
        <tpls c="3">
          <tpl fld="2" item="0"/>
          <tpl fld="0" item="76"/>
          <tpl fld="1" item="0"/>
        </tpls>
      </m>
      <m>
        <tpls c="3">
          <tpl fld="2" item="1"/>
          <tpl fld="0" item="188"/>
          <tpl fld="1" item="3"/>
        </tpls>
      </m>
      <m>
        <tpls c="3">
          <tpl fld="2" item="0"/>
          <tpl fld="0" item="309"/>
          <tpl fld="1" item="3"/>
        </tpls>
      </m>
      <n v="22">
        <tpls c="3">
          <tpl fld="2" item="1"/>
          <tpl fld="0" item="21"/>
          <tpl fld="1" item="1"/>
        </tpls>
      </n>
      <m>
        <tpls c="3">
          <tpl fld="2" item="1"/>
          <tpl fld="0" item="133"/>
          <tpl fld="1" item="3"/>
        </tpls>
      </m>
      <n v="50">
        <tpls c="2">
          <tpl fld="2" item="0"/>
          <tpl fld="0" item="245"/>
        </tpls>
      </n>
      <m>
        <tpls c="3">
          <tpl fld="2" item="1"/>
          <tpl fld="0" item="356"/>
          <tpl fld="1" item="0"/>
        </tpls>
      </m>
      <n v="0">
        <tpls c="3">
          <tpl fld="2" item="0"/>
          <tpl fld="0" item="22"/>
          <tpl fld="1" item="1"/>
        </tpls>
      </n>
      <m>
        <tpls c="3">
          <tpl fld="2" item="0"/>
          <tpl fld="0" item="134"/>
          <tpl fld="1" item="0"/>
        </tpls>
      </m>
      <m>
        <tpls c="3">
          <tpl fld="2" item="0"/>
          <tpl fld="0" item="246"/>
          <tpl fld="1" item="3"/>
        </tpls>
      </m>
      <n v="0">
        <tpls c="2">
          <tpl fld="2" item="0"/>
          <tpl fld="0" item="438"/>
        </tpls>
      </n>
      <n v="0">
        <tpls c="2">
          <tpl fld="2" item="1"/>
          <tpl fld="0" item="191"/>
        </tpls>
      </n>
      <m>
        <tpls c="3">
          <tpl fld="2" item="0"/>
          <tpl fld="0" item="247"/>
          <tpl fld="1" item="3"/>
        </tpls>
      </m>
      <m>
        <tpls c="3">
          <tpl fld="2" item="1"/>
          <tpl fld="0" item="382"/>
          <tpl fld="1" item="0"/>
        </tpls>
      </m>
      <m>
        <tpls c="3">
          <tpl fld="2" item="0"/>
          <tpl fld="0" item="382"/>
          <tpl fld="1" item="1"/>
        </tpls>
      </m>
      <n v="4635">
        <tpls c="2">
          <tpl fld="2" item="0"/>
          <tpl fld="0" item="394"/>
        </tpls>
      </n>
      <m>
        <tpls c="3">
          <tpl fld="2" item="1"/>
          <tpl fld="0" item="432"/>
          <tpl fld="1" item="2"/>
        </tpls>
      </m>
      <m>
        <tpls c="3">
          <tpl fld="2" item="1"/>
          <tpl fld="0" item="23"/>
          <tpl fld="1" item="0"/>
        </tpls>
      </m>
      <m>
        <tpls c="3">
          <tpl fld="2" item="1"/>
          <tpl fld="0" item="79"/>
          <tpl fld="1" item="1"/>
        </tpls>
      </m>
      <m>
        <tpls c="3">
          <tpl fld="2" item="0"/>
          <tpl fld="0" item="79"/>
          <tpl fld="1" item="1"/>
        </tpls>
      </m>
      <n v="61">
        <tpls c="2">
          <tpl fld="2" item="0"/>
          <tpl fld="0" item="135"/>
        </tpls>
      </n>
      <m>
        <tpls c="3">
          <tpl fld="2" item="0"/>
          <tpl fld="0" item="192"/>
          <tpl fld="1" item="3"/>
        </tpls>
      </m>
      <m>
        <tpls c="3">
          <tpl fld="2" item="1"/>
          <tpl fld="0" item="248"/>
          <tpl fld="1" item="3"/>
        </tpls>
      </m>
      <n v="5">
        <tpls c="3">
          <tpl fld="2" item="0"/>
          <tpl fld="0" item="404"/>
          <tpl fld="1" item="2"/>
        </tpls>
      </n>
      <m>
        <tpls c="3">
          <tpl fld="2" item="0"/>
          <tpl fld="0" item="404"/>
          <tpl fld="1" item="1"/>
        </tpls>
      </m>
      <m>
        <tpls c="3">
          <tpl fld="2" item="0"/>
          <tpl fld="0" item="342"/>
          <tpl fld="1" item="0"/>
        </tpls>
      </m>
      <n v="16410">
        <tpls c="2">
          <tpl fld="2" item="1"/>
          <tpl fld="0" item="289"/>
        </tpls>
      </n>
      <n v="613">
        <tpls c="3">
          <tpl fld="2" item="1"/>
          <tpl fld="0" item="24"/>
          <tpl fld="1" item="3"/>
        </tpls>
      </n>
      <n v="235">
        <tpls c="3">
          <tpl fld="2" item="1"/>
          <tpl fld="0" item="80"/>
          <tpl fld="1" item="3"/>
        </tpls>
      </n>
      <m>
        <tpls c="3">
          <tpl fld="2" item="1"/>
          <tpl fld="0" item="80"/>
          <tpl fld="1" item="0"/>
        </tpls>
      </m>
      <n v="30">
        <tpls c="3">
          <tpl fld="2" item="1"/>
          <tpl fld="0" item="136"/>
          <tpl fld="1" item="1"/>
        </tpls>
      </n>
      <n v="95">
        <tpls c="3">
          <tpl fld="2" item="1"/>
          <tpl fld="0" item="193"/>
          <tpl fld="1" item="2"/>
        </tpls>
      </n>
      <m>
        <tpls c="3">
          <tpl fld="2" item="0"/>
          <tpl fld="0" item="249"/>
          <tpl fld="1" item="2"/>
        </tpls>
      </m>
      <n v="136">
        <tpls c="2">
          <tpl fld="2" item="1"/>
          <tpl fld="0" item="357"/>
        </tpls>
      </n>
      <n v="84">
        <tpls c="3">
          <tpl fld="2" item="1"/>
          <tpl fld="0" item="357"/>
          <tpl fld="1" item="3"/>
        </tpls>
      </n>
      <n v="9228">
        <tpls c="3">
          <tpl fld="2" item="0"/>
          <tpl fld="0" item="310"/>
          <tpl fld="1" item="3"/>
        </tpls>
      </n>
      <m>
        <tpls c="3">
          <tpl fld="2" item="0"/>
          <tpl fld="0" item="369"/>
          <tpl fld="1" item="1"/>
        </tpls>
      </m>
      <n v="5405">
        <tpls c="2">
          <tpl fld="2" item="1"/>
          <tpl fld="0" item="25"/>
        </tpls>
      </n>
      <m>
        <tpls c="3">
          <tpl fld="2" item="0"/>
          <tpl fld="0" item="81"/>
          <tpl fld="1" item="1"/>
        </tpls>
      </m>
      <n v="192">
        <tpls c="2">
          <tpl fld="2" item="1"/>
          <tpl fld="0" item="81"/>
        </tpls>
      </n>
      <m>
        <tpls c="3">
          <tpl fld="2" item="1"/>
          <tpl fld="0" item="137"/>
          <tpl fld="1" item="2"/>
        </tpls>
      </m>
      <n v="112">
        <tpls c="2">
          <tpl fld="2" item="1"/>
          <tpl fld="0" item="194"/>
        </tpls>
      </n>
      <n v="1019">
        <tpls c="2">
          <tpl fld="2" item="1"/>
          <tpl fld="0" item="250"/>
        </tpls>
      </n>
      <m>
        <tpls c="3">
          <tpl fld="2" item="1"/>
          <tpl fld="0" item="408"/>
          <tpl fld="1" item="2"/>
        </tpls>
      </m>
      <n v="44">
        <tpls c="3">
          <tpl fld="2" item="1"/>
          <tpl fld="0" item="383"/>
          <tpl fld="1" item="3"/>
        </tpls>
      </n>
      <n v="4809">
        <tpls c="3">
          <tpl fld="2" item="1"/>
          <tpl fld="0" item="395"/>
          <tpl fld="1" item="3"/>
        </tpls>
      </n>
      <m>
        <tpls c="3">
          <tpl fld="2" item="1"/>
          <tpl fld="0" item="26"/>
          <tpl fld="1" item="2"/>
        </tpls>
      </m>
      <n v="15">
        <tpls c="3">
          <tpl fld="2" item="1"/>
          <tpl fld="0" item="82"/>
          <tpl fld="1" item="0"/>
        </tpls>
      </n>
      <m>
        <tpls c="3">
          <tpl fld="2" item="1"/>
          <tpl fld="0" item="138"/>
          <tpl fld="1" item="1"/>
        </tpls>
      </m>
      <n v="14">
        <tpls c="3">
          <tpl fld="2" item="1"/>
          <tpl fld="0" item="68"/>
          <tpl fld="1" item="3"/>
        </tpls>
      </n>
      <n v="21">
        <tpls c="3">
          <tpl fld="2" item="1"/>
          <tpl fld="0" item="229"/>
          <tpl fld="1" item="3"/>
        </tpls>
      </n>
      <n v="0">
        <tpls c="3">
          <tpl fld="2" item="0"/>
          <tpl fld="0" item="311"/>
          <tpl fld="1" item="2"/>
        </tpls>
      </n>
      <n v="1">
        <tpls c="3">
          <tpl fld="2" item="1"/>
          <tpl fld="0" item="343"/>
          <tpl fld="1" item="2"/>
        </tpls>
      </n>
      <m>
        <tpls c="3">
          <tpl fld="2" item="0"/>
          <tpl fld="0" item="343"/>
          <tpl fld="1" item="3"/>
        </tpls>
      </m>
      <m>
        <tpls c="3">
          <tpl fld="2" item="0"/>
          <tpl fld="0" item="358"/>
          <tpl fld="1" item="0"/>
        </tpls>
      </m>
      <n v="2670">
        <tpls c="3">
          <tpl fld="2" item="0"/>
          <tpl fld="0" item="27"/>
          <tpl fld="1" item="1"/>
        </tpls>
      </n>
      <m>
        <tpls c="3">
          <tpl fld="2" item="1"/>
          <tpl fld="0" item="83"/>
          <tpl fld="1" item="3"/>
        </tpls>
      </m>
      <m>
        <tpls c="3">
          <tpl fld="2" item="0"/>
          <tpl fld="0" item="139"/>
          <tpl fld="1" item="2"/>
        </tpls>
      </m>
      <m>
        <tpls c="3">
          <tpl fld="2" item="0"/>
          <tpl fld="0" item="139"/>
          <tpl fld="1" item="3"/>
        </tpls>
      </m>
      <m>
        <tpls c="3">
          <tpl fld="2" item="1"/>
          <tpl fld="0" item="195"/>
          <tpl fld="1" item="0"/>
        </tpls>
      </m>
      <n v="1040">
        <tpls c="2">
          <tpl fld="2" item="0"/>
          <tpl fld="0" item="251"/>
        </tpls>
      </n>
      <n v="6">
        <tpls c="3">
          <tpl fld="2" item="1"/>
          <tpl fld="0" item="370"/>
          <tpl fld="1" item="1"/>
        </tpls>
      </n>
      <m>
        <tpls c="3">
          <tpl fld="2" item="1"/>
          <tpl fld="0" item="420"/>
          <tpl fld="1" item="2"/>
        </tpls>
      </m>
      <m>
        <tpls c="3">
          <tpl fld="2" item="0"/>
          <tpl fld="0" item="420"/>
          <tpl fld="1" item="3"/>
        </tpls>
      </m>
      <m>
        <tpls c="3">
          <tpl fld="2" item="0"/>
          <tpl fld="0" item="384"/>
          <tpl fld="1" item="1"/>
        </tpls>
      </m>
      <n v="3866">
        <tpls c="2">
          <tpl fld="2" item="1"/>
          <tpl fld="0" item="28"/>
        </tpls>
      </n>
      <n v="101030">
        <tpls c="2">
          <tpl fld="2" item="0"/>
          <tpl fld="0" item="84"/>
        </tpls>
      </n>
      <n v="203215.22">
        <tpls c="3">
          <tpl fld="2" item="0"/>
          <tpl fld="0" item="140"/>
          <tpl fld="1" item="1"/>
        </tpls>
      </n>
      <n v="4513481.92">
        <tpls c="2">
          <tpl fld="2" item="0"/>
          <tpl fld="0" item="140"/>
        </tpls>
      </n>
      <m>
        <tpls c="3">
          <tpl fld="2" item="1"/>
          <tpl fld="0" item="196"/>
          <tpl fld="1" item="0"/>
        </tpls>
      </m>
      <n v="114">
        <tpls c="3">
          <tpl fld="2" item="1"/>
          <tpl fld="0" item="252"/>
          <tpl fld="1" item="1"/>
        </tpls>
      </n>
      <m>
        <tpls c="3">
          <tpl fld="2" item="0"/>
          <tpl fld="0" item="290"/>
          <tpl fld="1" item="2"/>
        </tpls>
      </m>
      <n v="8259.02">
        <tpls c="3">
          <tpl fld="2" item="0"/>
          <tpl fld="0" item="396"/>
          <tpl fld="1" item="2"/>
        </tpls>
      </n>
      <n v="13297">
        <tpls c="2">
          <tpl fld="2" item="1"/>
          <tpl fld="0" item="396"/>
        </tpls>
      </n>
      <m>
        <tpls c="3">
          <tpl fld="2" item="1"/>
          <tpl fld="0" item="312"/>
          <tpl fld="1" item="1"/>
        </tpls>
      </m>
      <n v="1619">
        <tpls c="2">
          <tpl fld="2" item="1"/>
          <tpl fld="0" item="29"/>
        </tpls>
      </n>
      <n v="2863">
        <tpls c="3">
          <tpl fld="2" item="1"/>
          <tpl fld="0" item="85"/>
          <tpl fld="1" item="3"/>
        </tpls>
      </n>
      <m>
        <tpls c="3">
          <tpl fld="2" item="1"/>
          <tpl fld="0" item="141"/>
          <tpl fld="1" item="0"/>
        </tpls>
      </m>
      <m>
        <tpls c="3">
          <tpl fld="2" item="0"/>
          <tpl fld="0" item="197"/>
          <tpl fld="1" item="1"/>
        </tpls>
      </m>
      <m>
        <tpls c="3">
          <tpl fld="2" item="0"/>
          <tpl fld="0" item="253"/>
          <tpl fld="1" item="2"/>
        </tpls>
      </m>
      <m>
        <tpls c="3">
          <tpl fld="2" item="0"/>
          <tpl fld="0" item="253"/>
          <tpl fld="1" item="0"/>
        </tpls>
      </m>
      <n v="400">
        <tpls c="3">
          <tpl fld="2" item="1"/>
          <tpl fld="0" item="425"/>
          <tpl fld="1" item="1"/>
        </tpls>
      </n>
      <m>
        <tpls c="3">
          <tpl fld="2" item="1"/>
          <tpl fld="0" item="439"/>
          <tpl fld="1" item="0"/>
        </tpls>
      </m>
      <n v="29">
        <tpls c="3">
          <tpl fld="2" item="1"/>
          <tpl fld="0" item="344"/>
          <tpl fld="1" item="1"/>
        </tpls>
      </n>
      <n v="34">
        <tpls c="2">
          <tpl fld="2" item="1"/>
          <tpl fld="0" item="30"/>
        </tpls>
      </n>
      <m>
        <tpls c="3">
          <tpl fld="2" item="0"/>
          <tpl fld="0" item="86"/>
          <tpl fld="1" item="0"/>
        </tpls>
      </m>
      <m>
        <tpls c="3">
          <tpl fld="2" item="0"/>
          <tpl fld="0" item="142"/>
          <tpl fld="1" item="1"/>
        </tpls>
      </m>
      <m>
        <tpls c="3">
          <tpl fld="2" item="1"/>
          <tpl fld="0" item="254"/>
          <tpl fld="1" item="1"/>
        </tpls>
      </m>
      <m>
        <tpls c="3">
          <tpl fld="2" item="0"/>
          <tpl fld="0" item="327"/>
          <tpl fld="1" item="0"/>
        </tpls>
      </m>
      <m>
        <tpls c="3">
          <tpl fld="2" item="0"/>
          <tpl fld="0" item="324"/>
          <tpl fld="1" item="0"/>
        </tpls>
      </m>
      <m>
        <tpls c="3">
          <tpl fld="2" item="0"/>
          <tpl fld="0" item="255"/>
          <tpl fld="1" item="3"/>
        </tpls>
      </m>
      <n v="0">
        <tpls c="2">
          <tpl fld="2" item="1"/>
          <tpl fld="0" item="433"/>
        </tpls>
      </n>
      <m>
        <tpls c="3">
          <tpl fld="2" item="0"/>
          <tpl fld="0" item="433"/>
          <tpl fld="1" item="0"/>
        </tpls>
      </m>
      <n v="11">
        <tpls c="3">
          <tpl fld="2" item="0"/>
          <tpl fld="0" item="313"/>
          <tpl fld="1" item="1"/>
        </tpls>
      </n>
      <n v="26">
        <tpls c="2">
          <tpl fld="2" item="0"/>
          <tpl fld="0" item="385"/>
        </tpls>
      </n>
      <n v="27">
        <tpls c="2">
          <tpl fld="2" item="1"/>
          <tpl fld="0" item="31"/>
        </tpls>
      </n>
      <m>
        <tpls c="3">
          <tpl fld="2" item="1"/>
          <tpl fld="0" item="87"/>
          <tpl fld="1" item="3"/>
        </tpls>
      </m>
      <m>
        <tpls c="3">
          <tpl fld="2" item="0"/>
          <tpl fld="0" item="87"/>
          <tpl fld="1" item="0"/>
        </tpls>
      </m>
      <m>
        <tpls c="3">
          <tpl fld="2" item="0"/>
          <tpl fld="0" item="143"/>
          <tpl fld="1" item="1"/>
        </tpls>
      </m>
      <m>
        <tpls c="3">
          <tpl fld="2" item="0"/>
          <tpl fld="0" item="199"/>
          <tpl fld="1" item="2"/>
        </tpls>
      </m>
      <m>
        <tpls c="3">
          <tpl fld="2" item="0"/>
          <tpl fld="0" item="256"/>
          <tpl fld="1" item="3"/>
        </tpls>
      </m>
      <m>
        <tpls c="3">
          <tpl fld="2" item="1"/>
          <tpl fld="0" item="397"/>
          <tpl fld="1" item="2"/>
        </tpls>
      </m>
      <m>
        <tpls c="3">
          <tpl fld="2" item="0"/>
          <tpl fld="0" item="397"/>
          <tpl fld="1" item="0"/>
        </tpls>
      </m>
      <n v="0">
        <tpls c="2">
          <tpl fld="2" item="0"/>
          <tpl fld="0" item="405"/>
        </tpls>
      </n>
      <m>
        <tpls c="3">
          <tpl fld="2" item="0"/>
          <tpl fld="0" item="323"/>
          <tpl fld="1" item="2"/>
        </tpls>
      </m>
      <m>
        <tpls c="3">
          <tpl fld="2" item="1"/>
          <tpl fld="0" item="118"/>
          <tpl fld="1" item="3"/>
        </tpls>
      </m>
      <m>
        <tpls c="3">
          <tpl fld="2" item="0"/>
          <tpl fld="0" item="333"/>
          <tpl fld="1" item="2"/>
        </tpls>
      </m>
      <n v="15052">
        <tpls c="3">
          <tpl fld="2" item="0"/>
          <tpl fld="0" item="338"/>
          <tpl fld="1" item="1"/>
        </tpls>
      </n>
      <m>
        <tpls c="3">
          <tpl fld="2" item="0"/>
          <tpl fld="0" item="304"/>
          <tpl fld="1" item="0"/>
        </tpls>
      </m>
      <n v="65">
        <tpls c="3">
          <tpl fld="2" item="1"/>
          <tpl fld="0" item="178"/>
          <tpl fld="1" item="3"/>
        </tpls>
      </n>
      <m>
        <tpls c="3">
          <tpl fld="2" item="1"/>
          <tpl fld="0" item="67"/>
          <tpl fld="1" item="1"/>
        </tpls>
      </m>
      <m>
        <tpls c="3">
          <tpl fld="2" item="0"/>
          <tpl fld="0" item="125"/>
          <tpl fld="1" item="3"/>
        </tpls>
      </m>
      <m>
        <tpls c="3">
          <tpl fld="2" item="0"/>
          <tpl fld="0" item="14"/>
          <tpl fld="1" item="0"/>
        </tpls>
      </m>
      <m>
        <tpls c="3">
          <tpl fld="2" item="1"/>
          <tpl fld="0" item="238"/>
          <tpl fld="1" item="0"/>
        </tpls>
      </m>
      <m>
        <tpls c="3">
          <tpl fld="2" item="0"/>
          <tpl fld="0" item="15"/>
          <tpl fld="1" item="2"/>
        </tpls>
      </m>
      <n v="1">
        <tpls c="3">
          <tpl fld="2" item="0"/>
          <tpl fld="0" item="239"/>
          <tpl fld="1" item="1"/>
        </tpls>
      </n>
      <n v="85316">
        <tpls c="3">
          <tpl fld="2" item="0"/>
          <tpl fld="0" item="71"/>
          <tpl fld="1" item="2"/>
        </tpls>
      </n>
      <n v="625">
        <tpls c="2">
          <tpl fld="2" item="1"/>
          <tpl fld="0" item="423"/>
        </tpls>
      </n>
      <m>
        <tpls c="3">
          <tpl fld="2" item="1"/>
          <tpl fld="0" item="72"/>
          <tpl fld="1" item="1"/>
        </tpls>
      </m>
      <n v="2058">
        <tpls c="2">
          <tpl fld="2" item="1"/>
          <tpl fld="0" item="307"/>
        </tpls>
      </n>
      <n v="6029">
        <tpls c="3">
          <tpl fld="2" item="0"/>
          <tpl fld="0" item="73"/>
          <tpl fld="1" item="3"/>
        </tpls>
      </n>
      <n v="6">
        <tpls c="3">
          <tpl fld="2" item="1"/>
          <tpl fld="0" item="242"/>
          <tpl fld="1" item="1"/>
        </tpls>
      </n>
      <m>
        <tpls c="3">
          <tpl fld="2" item="0"/>
          <tpl fld="0" item="340"/>
          <tpl fld="1" item="2"/>
        </tpls>
      </m>
      <n v="1">
        <tpls c="3">
          <tpl fld="2" item="1"/>
          <tpl fld="0" item="131"/>
          <tpl fld="1" item="0"/>
        </tpls>
      </n>
      <m>
        <tpls c="3">
          <tpl fld="2" item="1"/>
          <tpl fld="0" item="75"/>
          <tpl fld="1" item="1"/>
        </tpls>
      </m>
      <m>
        <tpls c="3">
          <tpl fld="2" item="0"/>
          <tpl fld="0" item="76"/>
          <tpl fld="1" item="3"/>
        </tpls>
      </m>
      <m>
        <tpls c="3">
          <tpl fld="2" item="1"/>
          <tpl fld="0" item="244"/>
          <tpl fld="1" item="2"/>
        </tpls>
      </m>
      <n v="220">
        <tpls c="2">
          <tpl fld="2" item="0"/>
          <tpl fld="0" item="419"/>
        </tpls>
      </n>
      <m>
        <tpls c="3">
          <tpl fld="2" item="1"/>
          <tpl fld="0" item="21"/>
          <tpl fld="1" item="2"/>
        </tpls>
      </m>
      <n v="8">
        <tpls c="2">
          <tpl fld="2" item="1"/>
          <tpl fld="0" item="133"/>
        </tpls>
      </n>
      <m>
        <tpls c="3">
          <tpl fld="2" item="0"/>
          <tpl fld="0" item="245"/>
          <tpl fld="1" item="2"/>
        </tpls>
      </m>
      <m>
        <tpls c="3">
          <tpl fld="2" item="0"/>
          <tpl fld="0" item="356"/>
          <tpl fld="1" item="0"/>
        </tpls>
      </m>
      <m>
        <tpls c="3">
          <tpl fld="2" item="0"/>
          <tpl fld="0" item="22"/>
          <tpl fld="1" item="3"/>
        </tpls>
      </m>
      <n v="180">
        <tpls c="2">
          <tpl fld="2" item="0"/>
          <tpl fld="0" item="190"/>
        </tpls>
      </n>
      <m>
        <tpls c="3">
          <tpl fld="2" item="0"/>
          <tpl fld="0" item="288"/>
          <tpl fld="1" item="2"/>
        </tpls>
      </m>
      <m>
        <tpls c="3">
          <tpl fld="2" item="1"/>
          <tpl fld="0" item="4"/>
          <tpl fld="1" item="0"/>
        </tpls>
      </m>
      <m>
        <tpls c="3">
          <tpl fld="2" item="0"/>
          <tpl fld="0" item="379"/>
          <tpl fld="1" item="0"/>
        </tpls>
      </m>
      <n v="10">
        <tpls c="2">
          <tpl fld="2" item="1"/>
          <tpl fld="0" item="9"/>
        </tpls>
      </n>
      <m>
        <tpls c="3">
          <tpl fld="2" item="1"/>
          <tpl fld="0" item="65"/>
          <tpl fld="1" item="1"/>
        </tpls>
      </m>
      <n v="171">
        <tpls c="2">
          <tpl fld="2" item="1"/>
          <tpl fld="0" item="326"/>
        </tpls>
      </n>
      <n v="876">
        <tpls c="3">
          <tpl fld="2" item="0"/>
          <tpl fld="0" item="234"/>
          <tpl fld="1" item="2"/>
        </tpls>
      </n>
      <m>
        <tpls c="3">
          <tpl fld="2" item="1"/>
          <tpl fld="0" item="235"/>
          <tpl fld="1" item="2"/>
        </tpls>
      </m>
      <m>
        <tpls c="3">
          <tpl fld="2" item="1"/>
          <tpl fld="0" item="181"/>
          <tpl fld="1" item="1"/>
        </tpls>
      </m>
      <m>
        <tpls c="3">
          <tpl fld="2" item="1"/>
          <tpl fld="0" item="69"/>
          <tpl fld="1" item="3"/>
        </tpls>
      </m>
      <m>
        <tpls c="3">
          <tpl fld="2" item="1"/>
          <tpl fld="0" item="339"/>
          <tpl fld="1" item="3"/>
        </tpls>
      </m>
      <n v="216">
        <tpls c="2">
          <tpl fld="2" item="0"/>
          <tpl fld="0" item="70"/>
        </tpls>
      </n>
      <n v="145">
        <tpls c="3">
          <tpl fld="2" item="0"/>
          <tpl fld="0" item="335"/>
          <tpl fld="1" item="1"/>
        </tpls>
      </n>
      <n v="16">
        <tpls c="3">
          <tpl fld="2" item="1"/>
          <tpl fld="0" item="128"/>
          <tpl fld="1" item="2"/>
        </tpls>
      </n>
      <m>
        <tpls c="3">
          <tpl fld="2" item="0"/>
          <tpl fld="0" item="286"/>
          <tpl fld="1" item="2"/>
        </tpls>
      </m>
      <m>
        <tpls c="3">
          <tpl fld="2" item="1"/>
          <tpl fld="0" item="129"/>
          <tpl fld="1" item="1"/>
        </tpls>
      </m>
      <m>
        <tpls c="3">
          <tpl fld="2" item="0"/>
          <tpl fld="0" item="329"/>
          <tpl fld="1" item="2"/>
        </tpls>
      </m>
      <m>
        <tpls c="3">
          <tpl fld="2" item="0"/>
          <tpl fld="0" item="130"/>
          <tpl fld="1" item="2"/>
        </tpls>
      </m>
      <n v="895">
        <tpls c="3">
          <tpl fld="2" item="0"/>
          <tpl fld="0" item="340"/>
          <tpl fld="1" item="1"/>
        </tpls>
      </n>
      <m>
        <tpls c="3">
          <tpl fld="2" item="0"/>
          <tpl fld="0" item="187"/>
          <tpl fld="1" item="0"/>
        </tpls>
      </m>
      <m>
        <tpls c="3">
          <tpl fld="2" item="1"/>
          <tpl fld="0" item="180"/>
          <tpl fld="1" item="2"/>
        </tpls>
      </m>
      <n v="128">
        <tpls c="3">
          <tpl fld="2" item="0"/>
          <tpl fld="0" item="132"/>
          <tpl fld="1" item="1"/>
        </tpls>
      </n>
      <m>
        <tpls c="3">
          <tpl fld="2" item="1"/>
          <tpl fld="0" item="244"/>
          <tpl fld="1" item="0"/>
        </tpls>
      </m>
      <m>
        <tpls c="3">
          <tpl fld="2" item="0"/>
          <tpl fld="0" item="419"/>
          <tpl fld="1" item="0"/>
        </tpls>
      </m>
      <m>
        <tpls c="3">
          <tpl fld="2" item="0"/>
          <tpl fld="0" item="21"/>
          <tpl fld="1" item="3"/>
        </tpls>
      </m>
      <n v="123">
        <tpls c="3">
          <tpl fld="2" item="1"/>
          <tpl fld="0" item="189"/>
          <tpl fld="1" item="1"/>
        </tpls>
      </n>
      <n v="2746">
        <tpls c="2">
          <tpl fld="2" item="0"/>
          <tpl fld="0" item="341"/>
        </tpls>
      </n>
      <m>
        <tpls c="3">
          <tpl fld="2" item="0"/>
          <tpl fld="0" item="368"/>
          <tpl fld="1" item="2"/>
        </tpls>
      </m>
      <n v="22">
        <tpls c="3">
          <tpl fld="2" item="1"/>
          <tpl fld="0" item="78"/>
          <tpl fld="1" item="1"/>
        </tpls>
      </n>
      <m>
        <tpls c="3">
          <tpl fld="2" item="1"/>
          <tpl fld="0" item="190"/>
          <tpl fld="1" item="0"/>
        </tpls>
      </m>
      <n v="1">
        <tpls c="2">
          <tpl fld="2" item="0"/>
          <tpl fld="0" item="288"/>
        </tpls>
      </n>
      <m>
        <tpls c="3">
          <tpl fld="2" item="1"/>
          <tpl fld="0" item="191"/>
          <tpl fld="1" item="3"/>
        </tpls>
      </m>
      <m>
        <tpls c="3">
          <tpl fld="2" item="1"/>
          <tpl fld="0" item="191"/>
          <tpl fld="1" item="1"/>
        </tpls>
      </m>
      <m>
        <tpls c="3">
          <tpl fld="2" item="0"/>
          <tpl fld="0" item="247"/>
          <tpl fld="1" item="2"/>
        </tpls>
      </m>
      <n v="17">
        <tpls c="3">
          <tpl fld="2" item="1"/>
          <tpl fld="0" item="382"/>
          <tpl fld="1" item="2"/>
        </tpls>
      </n>
      <m>
        <tpls c="3">
          <tpl fld="2" item="1"/>
          <tpl fld="0" item="394"/>
          <tpl fld="1" item="0"/>
        </tpls>
      </m>
      <n v="83">
        <tpls c="3">
          <tpl fld="2" item="1"/>
          <tpl fld="0" item="432"/>
          <tpl fld="1" item="1"/>
        </tpls>
      </n>
      <n v="1493">
        <tpls c="2">
          <tpl fld="2" item="0"/>
          <tpl fld="0" item="432"/>
        </tpls>
      </n>
      <n v="37">
        <tpls c="2">
          <tpl fld="2" item="1"/>
          <tpl fld="0" item="23"/>
        </tpls>
      </n>
      <m>
        <tpls c="3">
          <tpl fld="2" item="0"/>
          <tpl fld="0" item="79"/>
          <tpl fld="1" item="3"/>
        </tpls>
      </m>
      <m>
        <tpls c="3">
          <tpl fld="2" item="0"/>
          <tpl fld="0" item="135"/>
          <tpl fld="1" item="0"/>
        </tpls>
      </m>
      <n v="0">
        <tpls c="3">
          <tpl fld="2" item="1"/>
          <tpl fld="0" item="192"/>
          <tpl fld="1" item="2"/>
        </tpls>
      </n>
      <m>
        <tpls c="3">
          <tpl fld="2" item="1"/>
          <tpl fld="0" item="192"/>
          <tpl fld="1" item="1"/>
        </tpls>
      </m>
      <m>
        <tpls c="3">
          <tpl fld="2" item="0"/>
          <tpl fld="0" item="248"/>
          <tpl fld="1" item="2"/>
        </tpls>
      </m>
      <n v="1">
        <tpls c="2">
          <tpl fld="2" item="1"/>
          <tpl fld="0" item="404"/>
        </tpls>
      </n>
      <n v="0">
        <tpls c="3">
          <tpl fld="2" item="0"/>
          <tpl fld="0" item="342"/>
          <tpl fld="1" item="1"/>
        </tpls>
      </n>
      <m>
        <tpls c="3">
          <tpl fld="2" item="1"/>
          <tpl fld="0" item="289"/>
          <tpl fld="1" item="0"/>
        </tpls>
      </m>
      <n v="951">
        <tpls c="3">
          <tpl fld="2" item="1"/>
          <tpl fld="0" item="289"/>
          <tpl fld="1" item="1"/>
        </tpls>
      </n>
      <m>
        <tpls c="3">
          <tpl fld="2" item="0"/>
          <tpl fld="0" item="24"/>
          <tpl fld="1" item="2"/>
        </tpls>
      </m>
      <m>
        <tpls c="3">
          <tpl fld="2" item="0"/>
          <tpl fld="0" item="80"/>
          <tpl fld="1" item="0"/>
        </tpls>
      </m>
      <n v="86573.01">
        <tpls c="3">
          <tpl fld="2" item="0"/>
          <tpl fld="0" item="136"/>
          <tpl fld="1" item="3"/>
        </tpls>
      </n>
      <n v="79">
        <tpls c="3">
          <tpl fld="2" item="1"/>
          <tpl fld="0" item="193"/>
          <tpl fld="1" item="0"/>
        </tpls>
      </n>
      <n v="1988277.44">
        <tpls c="2">
          <tpl fld="2" item="0"/>
          <tpl fld="0" item="193"/>
        </tpls>
      </n>
      <n v="5452">
        <tpls c="3">
          <tpl fld="2" item="0"/>
          <tpl fld="0" item="249"/>
          <tpl fld="1" item="1"/>
        </tpls>
      </n>
      <n v="25763">
        <tpls c="2">
          <tpl fld="2" item="0"/>
          <tpl fld="0" item="357"/>
        </tpls>
      </n>
      <m>
        <tpls c="3">
          <tpl fld="2" item="0"/>
          <tpl fld="0" item="310"/>
          <tpl fld="1" item="1"/>
        </tpls>
      </m>
      <m>
        <tpls c="3">
          <tpl fld="2" item="0"/>
          <tpl fld="0" item="369"/>
          <tpl fld="1" item="2"/>
        </tpls>
      </m>
      <n v="111">
        <tpls c="3">
          <tpl fld="2" item="1"/>
          <tpl fld="0" item="369"/>
          <tpl fld="1" item="3"/>
        </tpls>
      </n>
      <n v="233">
        <tpls c="3">
          <tpl fld="2" item="1"/>
          <tpl fld="0" item="25"/>
          <tpl fld="1" item="1"/>
        </tpls>
      </n>
      <m>
        <tpls c="3">
          <tpl fld="2" item="1"/>
          <tpl fld="0" item="81"/>
          <tpl fld="1" item="1"/>
        </tpls>
      </m>
      <m>
        <tpls c="3">
          <tpl fld="2" item="0"/>
          <tpl fld="0" item="137"/>
          <tpl fld="1" item="0"/>
        </tpls>
      </m>
      <m>
        <tpls c="3">
          <tpl fld="2" item="0"/>
          <tpl fld="0" item="194"/>
          <tpl fld="1" item="0"/>
        </tpls>
      </m>
      <m>
        <tpls c="3">
          <tpl fld="2" item="1"/>
          <tpl fld="0" item="194"/>
          <tpl fld="1" item="1"/>
        </tpls>
      </m>
      <m>
        <tpls c="3">
          <tpl fld="2" item="0"/>
          <tpl fld="0" item="250"/>
          <tpl fld="1" item="0"/>
        </tpls>
      </m>
      <m>
        <tpls c="3">
          <tpl fld="2" item="0"/>
          <tpl fld="0" item="408"/>
          <tpl fld="1" item="1"/>
        </tpls>
      </m>
      <n v="47">
        <tpls c="2">
          <tpl fld="2" item="1"/>
          <tpl fld="0" item="383"/>
        </tpls>
      </n>
      <n v="5075">
        <tpls c="2">
          <tpl fld="2" item="1"/>
          <tpl fld="0" item="395"/>
        </tpls>
      </n>
      <n v="14743.01">
        <tpls c="2">
          <tpl fld="2" item="0"/>
          <tpl fld="0" item="26"/>
        </tpls>
      </n>
      <n v="13">
        <tpls c="3">
          <tpl fld="2" item="1"/>
          <tpl fld="0" item="138"/>
          <tpl fld="1" item="3"/>
        </tpls>
      </n>
      <n v="13">
        <tpls c="3">
          <tpl fld="2" item="1"/>
          <tpl fld="0" item="332"/>
          <tpl fld="1" item="3"/>
        </tpls>
      </n>
      <n v="238">
        <tpls c="3">
          <tpl fld="2" item="1"/>
          <tpl fld="0" item="380"/>
          <tpl fld="1" item="3"/>
        </tpls>
      </n>
      <n v="37">
        <tpls c="3">
          <tpl fld="2" item="1"/>
          <tpl fld="0" item="60"/>
          <tpl fld="1" item="3"/>
        </tpls>
      </n>
      <m>
        <tpls c="3">
          <tpl fld="2" item="1"/>
          <tpl fld="0" item="311"/>
          <tpl fld="1" item="0"/>
        </tpls>
      </m>
      <n v="50">
        <tpls c="2">
          <tpl fld="2" item="0"/>
          <tpl fld="0" item="343"/>
        </tpls>
      </n>
      <n v="11432">
        <tpls c="2">
          <tpl fld="2" item="0"/>
          <tpl fld="0" item="358"/>
        </tpls>
      </n>
      <m>
        <tpls c="3">
          <tpl fld="2" item="0"/>
          <tpl fld="0" item="27"/>
          <tpl fld="1" item="2"/>
        </tpls>
      </m>
      <m>
        <tpls c="3">
          <tpl fld="2" item="1"/>
          <tpl fld="0" item="27"/>
          <tpl fld="1" item="3"/>
        </tpls>
      </m>
      <n v="3447">
        <tpls c="3">
          <tpl fld="2" item="0"/>
          <tpl fld="0" item="83"/>
          <tpl fld="1" item="1"/>
        </tpls>
      </n>
      <n v="1358">
        <tpls c="2">
          <tpl fld="2" item="0"/>
          <tpl fld="0" item="139"/>
        </tpls>
      </n>
      <n v="15">
        <tpls c="2">
          <tpl fld="2" item="1"/>
          <tpl fld="0" item="195"/>
        </tpls>
      </n>
      <m>
        <tpls c="3">
          <tpl fld="2" item="1"/>
          <tpl fld="0" item="251"/>
          <tpl fld="1" item="2"/>
        </tpls>
      </m>
      <m>
        <tpls c="3">
          <tpl fld="2" item="1"/>
          <tpl fld="0" item="251"/>
          <tpl fld="1" item="3"/>
        </tpls>
      </m>
      <n v="270">
        <tpls c="3">
          <tpl fld="2" item="0"/>
          <tpl fld="0" item="370"/>
          <tpl fld="1" item="1"/>
        </tpls>
      </n>
      <n v="0">
        <tpls c="2">
          <tpl fld="2" item="1"/>
          <tpl fld="0" item="420"/>
        </tpls>
      </n>
      <m>
        <tpls c="3">
          <tpl fld="2" item="1"/>
          <tpl fld="0" item="384"/>
          <tpl fld="1" item="2"/>
        </tpls>
      </m>
      <m>
        <tpls c="3">
          <tpl fld="2" item="1"/>
          <tpl fld="0" item="28"/>
          <tpl fld="1" item="0"/>
        </tpls>
      </m>
      <m>
        <tpls c="3">
          <tpl fld="2" item="1"/>
          <tpl fld="0" item="28"/>
          <tpl fld="1" item="1"/>
        </tpls>
      </m>
      <m>
        <tpls c="3">
          <tpl fld="2" item="1"/>
          <tpl fld="0" item="84"/>
          <tpl fld="1" item="1"/>
        </tpls>
      </m>
      <n v="37124">
        <tpls c="3">
          <tpl fld="2" item="1"/>
          <tpl fld="0" item="140"/>
          <tpl fld="1" item="3"/>
        </tpls>
      </n>
      <m>
        <tpls c="3">
          <tpl fld="2" item="0"/>
          <tpl fld="0" item="196"/>
          <tpl fld="1" item="1"/>
        </tpls>
      </m>
      <m>
        <tpls c="3">
          <tpl fld="2" item="1"/>
          <tpl fld="0" item="252"/>
          <tpl fld="1" item="2"/>
        </tpls>
      </m>
      <m>
        <tpls c="3">
          <tpl fld="2" item="0"/>
          <tpl fld="0" item="252"/>
          <tpl fld="1" item="0"/>
        </tpls>
      </m>
      <n v="3415">
        <tpls c="3">
          <tpl fld="2" item="0"/>
          <tpl fld="0" item="290"/>
          <tpl fld="1" item="1"/>
        </tpls>
      </n>
      <n v="118">
        <tpls c="3">
          <tpl fld="2" item="1"/>
          <tpl fld="0" item="396"/>
          <tpl fld="1" item="0"/>
        </tpls>
      </n>
      <n v="12772.6">
        <tpls c="3">
          <tpl fld="2" item="0"/>
          <tpl fld="0" item="312"/>
          <tpl fld="1" item="3"/>
        </tpls>
      </n>
      <m>
        <tpls c="3">
          <tpl fld="2" item="1"/>
          <tpl fld="0" item="29"/>
          <tpl fld="1" item="0"/>
        </tpls>
      </m>
      <n v="35">
        <tpls c="3">
          <tpl fld="2" item="1"/>
          <tpl fld="0" item="29"/>
          <tpl fld="1" item="1"/>
        </tpls>
      </n>
      <n v="3086">
        <tpls c="2">
          <tpl fld="2" item="1"/>
          <tpl fld="0" item="85"/>
        </tpls>
      </n>
      <n v="6208.98">
        <tpls c="3">
          <tpl fld="2" item="0"/>
          <tpl fld="0" item="141"/>
          <tpl fld="1" item="3"/>
        </tpls>
      </n>
      <m>
        <tpls c="3">
          <tpl fld="2" item="1"/>
          <tpl fld="0" item="197"/>
          <tpl fld="1" item="2"/>
        </tpls>
      </m>
      <n v="9342">
        <tpls c="2">
          <tpl fld="2" item="0"/>
          <tpl fld="0" item="253"/>
        </tpls>
      </n>
      <n v="460881.78">
        <tpls c="3">
          <tpl fld="2" item="0"/>
          <tpl fld="0" item="425"/>
          <tpl fld="1" item="3"/>
        </tpls>
      </n>
      <m>
        <tpls c="3">
          <tpl fld="2" item="0"/>
          <tpl fld="0" item="439"/>
          <tpl fld="1" item="2"/>
        </tpls>
      </m>
      <m>
        <tpls c="3">
          <tpl fld="2" item="1"/>
          <tpl fld="0" item="439"/>
          <tpl fld="1" item="2"/>
        </tpls>
      </m>
      <m>
        <tpls c="3">
          <tpl fld="2" item="1"/>
          <tpl fld="0" item="344"/>
          <tpl fld="1" item="2"/>
        </tpls>
      </m>
      <m>
        <tpls c="3">
          <tpl fld="2" item="1"/>
          <tpl fld="0" item="30"/>
          <tpl fld="1" item="1"/>
        </tpls>
      </m>
      <m>
        <tpls c="3">
          <tpl fld="2" item="1"/>
          <tpl fld="0" item="142"/>
          <tpl fld="1" item="2"/>
        </tpls>
      </m>
      <m>
        <tpls c="3">
          <tpl fld="2" item="0"/>
          <tpl fld="0" item="198"/>
          <tpl fld="1" item="0"/>
        </tpls>
      </m>
      <m>
        <tpls c="3">
          <tpl fld="2" item="0"/>
          <tpl fld="0" item="254"/>
          <tpl fld="1" item="0"/>
        </tpls>
      </m>
      <m>
        <tpls c="3">
          <tpl fld="2" item="0"/>
          <tpl fld="0" item="284"/>
          <tpl fld="1" item="0"/>
        </tpls>
      </m>
      <m>
        <tpls c="3">
          <tpl fld="2" item="0"/>
          <tpl fld="0" item="234"/>
          <tpl fld="1" item="0"/>
        </tpls>
      </m>
      <m>
        <tpls c="3">
          <tpl fld="2" item="0"/>
          <tpl fld="0" item="117"/>
          <tpl fld="1" item="0"/>
        </tpls>
      </m>
      <n v="0">
        <tpls c="3">
          <tpl fld="2" item="1"/>
          <tpl fld="0" item="255"/>
          <tpl fld="1" item="1"/>
        </tpls>
      </n>
      <n v="0">
        <tpls c="3">
          <tpl fld="2" item="0"/>
          <tpl fld="0" item="433"/>
          <tpl fld="1" item="2"/>
        </tpls>
      </n>
      <n v="2">
        <tpls c="2">
          <tpl fld="2" item="1"/>
          <tpl fld="0" item="313"/>
        </tpls>
      </n>
      <m>
        <tpls c="3">
          <tpl fld="2" item="1"/>
          <tpl fld="0" item="385"/>
          <tpl fld="1" item="2"/>
        </tpls>
      </m>
      <m>
        <tpls c="3">
          <tpl fld="2" item="0"/>
          <tpl fld="0" item="172"/>
          <tpl fld="1" item="0"/>
        </tpls>
      </m>
      <m>
        <tpls c="3">
          <tpl fld="2" item="1"/>
          <tpl fld="0" item="303"/>
          <tpl fld="1" item="3"/>
        </tpls>
      </m>
      <m>
        <tpls c="3">
          <tpl fld="2" item="0"/>
          <tpl fld="0" item="120"/>
          <tpl fld="1" item="3"/>
        </tpls>
      </m>
      <m>
        <tpls c="3">
          <tpl fld="2" item="1"/>
          <tpl fld="0" item="65"/>
          <tpl fld="1" item="2"/>
        </tpls>
      </m>
      <n v="12007.18">
        <tpls c="2">
          <tpl fld="2" item="0"/>
          <tpl fld="0" item="334"/>
        </tpls>
      </n>
      <m>
        <tpls c="3">
          <tpl fld="2" item="0"/>
          <tpl fld="0" item="353"/>
          <tpl fld="1" item="0"/>
        </tpls>
      </m>
      <n v="30584">
        <tpls c="2">
          <tpl fld="2" item="0"/>
          <tpl fld="0" item="235"/>
        </tpls>
      </n>
      <m>
        <tpls c="3">
          <tpl fld="2" item="1"/>
          <tpl fld="0" item="69"/>
          <tpl fld="1" item="2"/>
        </tpls>
      </m>
      <m>
        <tpls c="3">
          <tpl fld="2" item="0"/>
          <tpl fld="0" item="339"/>
          <tpl fld="1" item="2"/>
        </tpls>
      </m>
      <m>
        <tpls c="3">
          <tpl fld="2" item="0"/>
          <tpl fld="0" item="70"/>
          <tpl fld="1" item="1"/>
        </tpls>
      </m>
      <m>
        <tpls c="3">
          <tpl fld="2" item="1"/>
          <tpl fld="0" item="354"/>
          <tpl fld="1" item="0"/>
        </tpls>
      </m>
      <n v="1287">
        <tpls c="3">
          <tpl fld="2" item="1"/>
          <tpl fld="0" item="128"/>
          <tpl fld="1" item="1"/>
        </tpls>
      </n>
      <m>
        <tpls c="3">
          <tpl fld="2" item="1"/>
          <tpl fld="0" item="286"/>
          <tpl fld="1" item="1"/>
        </tpls>
      </m>
      <m>
        <tpls c="3">
          <tpl fld="2" item="0"/>
          <tpl fld="0" item="185"/>
          <tpl fld="1" item="0"/>
        </tpls>
      </m>
      <m>
        <tpls c="3">
          <tpl fld="2" item="1"/>
          <tpl fld="0" item="329"/>
          <tpl fld="1" item="1"/>
        </tpls>
      </m>
      <n v="9019.5499999999993">
        <tpls c="3">
          <tpl fld="2" item="0"/>
          <tpl fld="0" item="130"/>
          <tpl fld="1" item="3"/>
        </tpls>
      </n>
      <n v="15">
        <tpls c="3">
          <tpl fld="2" item="0"/>
          <tpl fld="0" item="19"/>
          <tpl fld="1" item="2"/>
        </tpls>
      </n>
      <m>
        <tpls c="3">
          <tpl fld="2" item="0"/>
          <tpl fld="0" item="243"/>
          <tpl fld="1" item="0"/>
        </tpls>
      </m>
      <m>
        <tpls c="3">
          <tpl fld="2" item="1"/>
          <tpl fld="0" item="13"/>
          <tpl fld="1" item="2"/>
        </tpls>
      </m>
      <m>
        <tpls c="3">
          <tpl fld="2" item="0"/>
          <tpl fld="0" item="132"/>
          <tpl fld="1" item="0"/>
        </tpls>
      </m>
      <m>
        <tpls c="3">
          <tpl fld="2" item="0"/>
          <tpl fld="0" item="244"/>
          <tpl fld="1" item="3"/>
        </tpls>
      </m>
      <n v="250">
        <tpls c="2">
          <tpl fld="2" item="0"/>
          <tpl fld="0" item="424"/>
        </tpls>
      </n>
      <n v="105">
        <tpls c="2">
          <tpl fld="2" item="0"/>
          <tpl fld="0" item="77"/>
        </tpls>
      </n>
      <m>
        <tpls c="3">
          <tpl fld="2" item="1"/>
          <tpl fld="0" item="189"/>
          <tpl fld="1" item="3"/>
        </tpls>
      </m>
      <n v="70">
        <tpls c="3">
          <tpl fld="2" item="1"/>
          <tpl fld="0" item="341"/>
          <tpl fld="1" item="1"/>
        </tpls>
      </n>
      <m>
        <tpls c="3">
          <tpl fld="2" item="1"/>
          <tpl fld="0" item="368"/>
          <tpl fld="1" item="0"/>
        </tpls>
      </m>
      <m>
        <tpls c="3">
          <tpl fld="2" item="0"/>
          <tpl fld="0" item="78"/>
          <tpl fld="1" item="0"/>
        </tpls>
      </m>
      <m>
        <tpls c="3">
          <tpl fld="2" item="1"/>
          <tpl fld="0" item="190"/>
          <tpl fld="1" item="3"/>
        </tpls>
      </m>
      <m>
        <tpls c="3">
          <tpl fld="2" item="0"/>
          <tpl fld="0" item="288"/>
          <tpl fld="1" item="3"/>
        </tpls>
      </m>
      <m>
        <tpls c="3">
          <tpl fld="2" item="1"/>
          <tpl fld="0" item="191"/>
          <tpl fld="1" item="0"/>
        </tpls>
      </m>
      <m>
        <tpls c="3">
          <tpl fld="2" item="0"/>
          <tpl fld="0" item="191"/>
          <tpl fld="1" item="1"/>
        </tpls>
      </m>
      <n v="1431">
        <tpls c="2">
          <tpl fld="2" item="0"/>
          <tpl fld="0" item="247"/>
        </tpls>
      </n>
      <n v="17">
        <tpls c="2">
          <tpl fld="2" item="1"/>
          <tpl fld="0" item="382"/>
        </tpls>
      </n>
      <m>
        <tpls c="3">
          <tpl fld="2" item="0"/>
          <tpl fld="0" item="394"/>
          <tpl fld="1" item="3"/>
        </tpls>
      </m>
      <m>
        <tpls c="3">
          <tpl fld="2" item="0"/>
          <tpl fld="0" item="432"/>
          <tpl fld="1" item="0"/>
        </tpls>
      </m>
      <n v="1493">
        <tpls c="3">
          <tpl fld="2" item="0"/>
          <tpl fld="0" item="432"/>
          <tpl fld="1" item="1"/>
        </tpls>
      </n>
      <n v="0">
        <tpls c="3">
          <tpl fld="2" item="0"/>
          <tpl fld="0" item="23"/>
          <tpl fld="1" item="2"/>
        </tpls>
      </n>
      <n v="0">
        <tpls c="3">
          <tpl fld="2" item="1"/>
          <tpl fld="0" item="79"/>
          <tpl fld="1" item="2"/>
        </tpls>
      </n>
      <m>
        <tpls c="3">
          <tpl fld="2" item="1"/>
          <tpl fld="0" item="135"/>
          <tpl fld="1" item="3"/>
        </tpls>
      </m>
      <m>
        <tpls c="3">
          <tpl fld="2" item="1"/>
          <tpl fld="0" item="192"/>
          <tpl fld="1" item="0"/>
        </tpls>
      </m>
      <m>
        <tpls c="3">
          <tpl fld="2" item="0"/>
          <tpl fld="0" item="192"/>
          <tpl fld="1" item="1"/>
        </tpls>
      </m>
      <n v="1286">
        <tpls c="2">
          <tpl fld="2" item="0"/>
          <tpl fld="0" item="248"/>
        </tpls>
      </n>
      <n v="5">
        <tpls c="2">
          <tpl fld="2" item="0"/>
          <tpl fld="0" item="404"/>
        </tpls>
      </n>
      <n v="0">
        <tpls c="2">
          <tpl fld="2" item="1"/>
          <tpl fld="0" item="342"/>
        </tpls>
      </n>
      <m>
        <tpls c="3">
          <tpl fld="2" item="0"/>
          <tpl fld="0" item="289"/>
          <tpl fld="1" item="0"/>
        </tpls>
      </m>
      <n v="112971.18">
        <tpls c="3">
          <tpl fld="2" item="0"/>
          <tpl fld="0" item="289"/>
          <tpl fld="1" item="1"/>
        </tpls>
      </n>
      <n v="63460.18">
        <tpls c="2">
          <tpl fld="2" item="0"/>
          <tpl fld="0" item="24"/>
        </tpls>
      </n>
      <m>
        <tpls c="3">
          <tpl fld="2" item="1"/>
          <tpl fld="0" item="80"/>
          <tpl fld="1" item="2"/>
        </tpls>
      </m>
      <n v="0">
        <tpls c="3">
          <tpl fld="2" item="1"/>
          <tpl fld="0" item="136"/>
          <tpl fld="1" item="2"/>
        </tpls>
      </n>
      <n v="66035.25">
        <tpls c="3">
          <tpl fld="2" item="0"/>
          <tpl fld="0" item="193"/>
          <tpl fld="1" item="1"/>
        </tpls>
      </n>
      <n v="971">
        <tpls c="3">
          <tpl fld="2" item="1"/>
          <tpl fld="0" item="193"/>
          <tpl fld="1" item="1"/>
        </tpls>
      </n>
      <m>
        <tpls c="3">
          <tpl fld="2" item="1"/>
          <tpl fld="0" item="249"/>
          <tpl fld="1" item="0"/>
        </tpls>
      </m>
      <n v="17">
        <tpls c="3">
          <tpl fld="2" item="1"/>
          <tpl fld="0" item="357"/>
          <tpl fld="1" item="1"/>
        </tpls>
      </n>
      <n v="9228">
        <tpls c="2">
          <tpl fld="2" item="0"/>
          <tpl fld="0" item="310"/>
        </tpls>
      </n>
      <n v="7733">
        <tpls c="2">
          <tpl fld="2" item="0"/>
          <tpl fld="0" item="369"/>
        </tpls>
      </n>
      <n v="7733">
        <tpls c="3">
          <tpl fld="2" item="0"/>
          <tpl fld="0" item="369"/>
          <tpl fld="1" item="3"/>
        </tpls>
      </n>
      <n v="19567.55">
        <tpls c="3">
          <tpl fld="2" item="0"/>
          <tpl fld="0" item="25"/>
          <tpl fld="1" item="1"/>
        </tpls>
      </n>
      <m>
        <tpls c="3">
          <tpl fld="2" item="1"/>
          <tpl fld="0" item="81"/>
          <tpl fld="1" item="0"/>
        </tpls>
      </m>
      <m>
        <tpls c="3">
          <tpl fld="2" item="1"/>
          <tpl fld="0" item="137"/>
          <tpl fld="1" item="1"/>
        </tpls>
      </m>
      <n v="6653">
        <tpls c="3">
          <tpl fld="2" item="0"/>
          <tpl fld="0" item="194"/>
          <tpl fld="1" item="3"/>
        </tpls>
      </n>
      <m>
        <tpls c="3">
          <tpl fld="2" item="0"/>
          <tpl fld="0" item="250"/>
          <tpl fld="1" item="1"/>
        </tpls>
      </m>
      <n v="1019">
        <tpls c="3">
          <tpl fld="2" item="1"/>
          <tpl fld="0" item="250"/>
          <tpl fld="1" item="3"/>
        </tpls>
      </n>
      <m>
        <tpls c="3">
          <tpl fld="2" item="1"/>
          <tpl fld="0" item="408"/>
          <tpl fld="1" item="0"/>
        </tpls>
      </m>
      <m>
        <tpls c="3">
          <tpl fld="2" item="0"/>
          <tpl fld="0" item="383"/>
          <tpl fld="1" item="2"/>
        </tpls>
      </m>
      <n v="318">
        <tpls c="3">
          <tpl fld="2" item="0"/>
          <tpl fld="0" item="395"/>
          <tpl fld="1" item="2"/>
        </tpls>
      </n>
      <n v="305">
        <tpls c="3">
          <tpl fld="2" item="0"/>
          <tpl fld="0" item="26"/>
          <tpl fld="1" item="1"/>
        </tpls>
      </n>
      <m>
        <tpls c="3">
          <tpl fld="2" item="1"/>
          <tpl fld="0" item="138"/>
          <tpl fld="1" item="2"/>
        </tpls>
      </m>
      <n v="1">
        <tpls c="3">
          <tpl fld="2" item="1"/>
          <tpl fld="0" item="327"/>
          <tpl fld="1" item="3"/>
        </tpls>
      </n>
      <n v="30">
        <tpls c="3">
          <tpl fld="2" item="1"/>
          <tpl fld="0" item="284"/>
          <tpl fld="1" item="3"/>
        </tpls>
      </n>
      <m>
        <tpls c="3">
          <tpl fld="2" item="1"/>
          <tpl fld="0" item="225"/>
          <tpl fld="1" item="3"/>
        </tpls>
      </m>
      <m>
        <tpls c="3">
          <tpl fld="2" item="0"/>
          <tpl fld="0" item="311"/>
          <tpl fld="1" item="0"/>
        </tpls>
      </m>
      <m>
        <tpls c="3">
          <tpl fld="2" item="0"/>
          <tpl fld="0" item="343"/>
          <tpl fld="1" item="1"/>
        </tpls>
      </m>
      <m>
        <tpls c="3">
          <tpl fld="2" item="1"/>
          <tpl fld="0" item="358"/>
          <tpl fld="1" item="2"/>
        </tpls>
      </m>
      <n v="25">
        <tpls c="3">
          <tpl fld="2" item="1"/>
          <tpl fld="0" item="27"/>
          <tpl fld="1" item="1"/>
        </tpls>
      </n>
      <m>
        <tpls c="3">
          <tpl fld="2" item="0"/>
          <tpl fld="0" item="27"/>
          <tpl fld="1" item="3"/>
        </tpls>
      </m>
      <m>
        <tpls c="3">
          <tpl fld="2" item="1"/>
          <tpl fld="0" item="83"/>
          <tpl fld="1" item="0"/>
        </tpls>
      </m>
      <m>
        <tpls c="3">
          <tpl fld="2" item="1"/>
          <tpl fld="0" item="139"/>
          <tpl fld="1" item="2"/>
        </tpls>
      </m>
      <n v="452">
        <tpls c="2">
          <tpl fld="2" item="0"/>
          <tpl fld="0" item="195"/>
        </tpls>
      </n>
      <m>
        <tpls c="3">
          <tpl fld="2" item="0"/>
          <tpl fld="0" item="251"/>
          <tpl fld="1" item="2"/>
        </tpls>
      </m>
      <m>
        <tpls c="3">
          <tpl fld="2" item="0"/>
          <tpl fld="0" item="251"/>
          <tpl fld="1" item="3"/>
        </tpls>
      </m>
      <m>
        <tpls c="3">
          <tpl fld="2" item="0"/>
          <tpl fld="0" item="370"/>
          <tpl fld="1" item="0"/>
        </tpls>
      </m>
      <n v="0">
        <tpls c="2">
          <tpl fld="2" item="0"/>
          <tpl fld="0" item="420"/>
        </tpls>
      </n>
      <m>
        <tpls c="3">
          <tpl fld="2" item="1"/>
          <tpl fld="0" item="384"/>
          <tpl fld="1" item="1"/>
        </tpls>
      </m>
      <m>
        <tpls c="3">
          <tpl fld="2" item="0"/>
          <tpl fld="0" item="28"/>
          <tpl fld="1" item="0"/>
        </tpls>
      </m>
      <m>
        <tpls c="3">
          <tpl fld="2" item="0"/>
          <tpl fld="0" item="28"/>
          <tpl fld="1" item="1"/>
        </tpls>
      </m>
      <m>
        <tpls c="3">
          <tpl fld="2" item="0"/>
          <tpl fld="0" item="84"/>
          <tpl fld="1" item="1"/>
        </tpls>
      </m>
      <n v="4200617.7">
        <tpls c="3">
          <tpl fld="2" item="0"/>
          <tpl fld="0" item="140"/>
          <tpl fld="1" item="3"/>
        </tpls>
      </n>
      <n v="41000">
        <tpls c="3">
          <tpl fld="2" item="0"/>
          <tpl fld="0" item="196"/>
          <tpl fld="1" item="3"/>
        </tpls>
      </n>
      <n v="297">
        <tpls c="2">
          <tpl fld="2" item="1"/>
          <tpl fld="0" item="252"/>
        </tpls>
      </n>
      <n v="183">
        <tpls c="3">
          <tpl fld="2" item="1"/>
          <tpl fld="0" item="252"/>
          <tpl fld="1" item="3"/>
        </tpls>
      </n>
      <m>
        <tpls c="3">
          <tpl fld="2" item="1"/>
          <tpl fld="0" item="290"/>
          <tpl fld="1" item="0"/>
        </tpls>
      </m>
      <n v="16399">
        <tpls c="3">
          <tpl fld="2" item="0"/>
          <tpl fld="0" item="396"/>
          <tpl fld="1" item="0"/>
        </tpls>
      </n>
      <m>
        <tpls c="3">
          <tpl fld="2" item="1"/>
          <tpl fld="0" item="312"/>
          <tpl fld="1" item="2"/>
        </tpls>
      </m>
      <n v="2843">
        <tpls c="3">
          <tpl fld="2" item="0"/>
          <tpl fld="0" item="29"/>
          <tpl fld="1" item="1"/>
        </tpls>
      </n>
      <n v="5616">
        <tpls c="3">
          <tpl fld="2" item="0"/>
          <tpl fld="0" item="85"/>
          <tpl fld="1" item="1"/>
        </tpls>
      </n>
      <n v="4151">
        <tpls c="3">
          <tpl fld="2" item="0"/>
          <tpl fld="0" item="85"/>
          <tpl fld="1" item="2"/>
        </tpls>
      </n>
      <m>
        <tpls c="3">
          <tpl fld="2" item="1"/>
          <tpl fld="0" item="141"/>
          <tpl fld="1" item="2"/>
        </tpls>
      </m>
      <n v="75">
        <tpls c="2">
          <tpl fld="2" item="1"/>
          <tpl fld="0" item="197"/>
        </tpls>
      </n>
      <m>
        <tpls c="3">
          <tpl fld="2" item="1"/>
          <tpl fld="0" item="253"/>
          <tpl fld="1" item="2"/>
        </tpls>
      </m>
      <n v="478507.01">
        <tpls c="2">
          <tpl fld="2" item="0"/>
          <tpl fld="0" item="425"/>
        </tpls>
      </n>
      <m>
        <tpls c="3">
          <tpl fld="2" item="0"/>
          <tpl fld="0" item="439"/>
          <tpl fld="1" item="1"/>
        </tpls>
      </m>
      <n v="48">
        <tpls c="2">
          <tpl fld="2" item="1"/>
          <tpl fld="0" item="439"/>
        </tpls>
      </n>
      <n v="125">
        <tpls c="2">
          <tpl fld="2" item="1"/>
          <tpl fld="0" item="344"/>
        </tpls>
      </n>
      <m>
        <tpls c="3">
          <tpl fld="2" item="0"/>
          <tpl fld="0" item="30"/>
          <tpl fld="1" item="1"/>
        </tpls>
      </m>
      <n v="28">
        <tpls c="2">
          <tpl fld="2" item="1"/>
          <tpl fld="0" item="142"/>
        </tpls>
      </n>
      <n v="14">
        <tpls c="3">
          <tpl fld="2" item="1"/>
          <tpl fld="0" item="198"/>
          <tpl fld="1" item="3"/>
        </tpls>
      </n>
      <n v="15">
        <tpls c="3">
          <tpl fld="2" item="1"/>
          <tpl fld="0" item="254"/>
          <tpl fld="1" item="3"/>
        </tpls>
      </n>
      <m>
        <tpls c="3">
          <tpl fld="2" item="0"/>
          <tpl fld="0" item="242"/>
          <tpl fld="1" item="0"/>
        </tpls>
      </m>
      <m>
        <tpls c="3">
          <tpl fld="2" item="0"/>
          <tpl fld="0" item="61"/>
          <tpl fld="1" item="0"/>
        </tpls>
      </m>
      <m>
        <tpls c="3">
          <tpl fld="2" item="0"/>
          <tpl fld="0" item="60"/>
          <tpl fld="1" item="0"/>
        </tpls>
      </m>
      <n v="0">
        <tpls c="3">
          <tpl fld="2" item="0"/>
          <tpl fld="0" item="255"/>
          <tpl fld="1" item="1"/>
        </tpls>
      </n>
      <n v="0">
        <tpls c="2">
          <tpl fld="2" item="0"/>
          <tpl fld="0" item="433"/>
        </tpls>
      </n>
      <m>
        <tpls c="3">
          <tpl fld="2" item="1"/>
          <tpl fld="0" item="313"/>
          <tpl fld="1" item="3"/>
        </tpls>
      </m>
      <m>
        <tpls c="3">
          <tpl fld="2" item="0"/>
          <tpl fld="0" item="385"/>
          <tpl fld="1" item="3"/>
        </tpls>
      </m>
      <m>
        <tpls c="3">
          <tpl fld="2" item="0"/>
          <tpl fld="0" item="385"/>
          <tpl fld="1" item="0"/>
        </tpls>
      </m>
      <n v="27">
        <tpls c="3">
          <tpl fld="2" item="1"/>
          <tpl fld="0" item="31"/>
          <tpl fld="1" item="1"/>
        </tpls>
      </n>
      <m>
        <tpls c="3">
          <tpl fld="2" item="1"/>
          <tpl fld="0" item="87"/>
          <tpl fld="1" item="2"/>
        </tpls>
      </m>
      <m>
        <tpls c="3">
          <tpl fld="2" item="0"/>
          <tpl fld="0" item="143"/>
          <tpl fld="1" item="3"/>
        </tpls>
      </m>
      <m>
        <tpls c="3">
          <tpl fld="2" item="1"/>
          <tpl fld="0" item="199"/>
          <tpl fld="1" item="2"/>
        </tpls>
      </m>
      <m>
        <tpls c="3">
          <tpl fld="2" item="0"/>
          <tpl fld="0" item="199"/>
          <tpl fld="1" item="0"/>
        </tpls>
      </m>
      <n v="196">
        <tpls c="3">
          <tpl fld="2" item="0"/>
          <tpl fld="0" item="256"/>
          <tpl fld="1" item="1"/>
        </tpls>
      </n>
      <m>
        <tpls c="3">
          <tpl fld="2" item="0"/>
          <tpl fld="0" item="397"/>
          <tpl fld="1" item="2"/>
        </tpls>
      </m>
      <n v="0">
        <tpls c="3">
          <tpl fld="2" item="0"/>
          <tpl fld="0" item="405"/>
          <tpl fld="1" item="1"/>
        </tpls>
      </n>
      <n v="12">
        <tpls c="3">
          <tpl fld="2" item="1"/>
          <tpl fld="0" item="409"/>
          <tpl fld="1" item="1"/>
        </tpls>
      </n>
      <n v="0">
        <tpls c="2">
          <tpl fld="2" item="0"/>
          <tpl fld="0" item="174"/>
        </tpls>
      </n>
      <n v="617">
        <tpls c="2">
          <tpl fld="2" item="1"/>
          <tpl fld="0" item="121"/>
        </tpls>
      </n>
      <n v="3112">
        <tpls c="2">
          <tpl fld="2" item="0"/>
          <tpl fld="0" item="305"/>
        </tpls>
      </n>
      <n v="102">
        <tpls c="2">
          <tpl fld="2" item="1"/>
          <tpl fld="0" item="238"/>
        </tpls>
      </n>
      <n v="0">
        <tpls c="2">
          <tpl fld="2" item="0"/>
          <tpl fld="0" item="367"/>
        </tpls>
      </n>
      <m>
        <tpls c="3">
          <tpl fld="2" item="1"/>
          <tpl fld="0" item="241"/>
          <tpl fld="1" item="0"/>
        </tpls>
      </m>
      <n v="446">
        <tpls c="3">
          <tpl fld="2" item="0"/>
          <tpl fld="0" item="355"/>
          <tpl fld="1" item="1"/>
        </tpls>
      </n>
      <n v="123">
        <tpls c="3">
          <tpl fld="2" item="1"/>
          <tpl fld="0" item="309"/>
          <tpl fld="1" item="1"/>
        </tpls>
      </n>
      <m>
        <tpls c="3">
          <tpl fld="2" item="1"/>
          <tpl fld="0" item="133"/>
          <tpl fld="1" item="0"/>
        </tpls>
      </m>
      <n v="0">
        <tpls c="2">
          <tpl fld="2" item="0"/>
          <tpl fld="0" item="22"/>
        </tpls>
      </n>
      <m>
        <tpls c="3">
          <tpl fld="2" item="0"/>
          <tpl fld="0" item="438"/>
          <tpl fld="1" item="3"/>
        </tpls>
      </m>
      <m>
        <tpls c="3">
          <tpl fld="2" item="1"/>
          <tpl fld="0" item="247"/>
          <tpl fld="1" item="3"/>
        </tpls>
      </m>
      <n v="5233">
        <tpls c="3">
          <tpl fld="2" item="0"/>
          <tpl fld="0" item="382"/>
          <tpl fld="1" item="2"/>
        </tpls>
      </n>
      <m>
        <tpls c="3">
          <tpl fld="2" item="1"/>
          <tpl fld="0" item="432"/>
          <tpl fld="1" item="3"/>
        </tpls>
      </m>
      <n v="5355">
        <tpls c="2">
          <tpl fld="2" item="0"/>
          <tpl fld="0" item="23"/>
        </tpls>
      </n>
      <n v="3">
        <tpls c="2">
          <tpl fld="2" item="1"/>
          <tpl fld="0" item="135"/>
        </tpls>
      </n>
      <m>
        <tpls c="3">
          <tpl fld="2" item="1"/>
          <tpl fld="0" item="248"/>
          <tpl fld="1" item="2"/>
        </tpls>
      </m>
      <n v="1">
        <tpls c="3">
          <tpl fld="2" item="1"/>
          <tpl fld="0" item="404"/>
          <tpl fld="1" item="2"/>
        </tpls>
      </n>
      <n v="2816209.73">
        <tpls c="3">
          <tpl fld="2" item="0"/>
          <tpl fld="0" item="289"/>
          <tpl fld="1" item="3"/>
        </tpls>
      </n>
      <m>
        <tpls c="3">
          <tpl fld="2" item="1"/>
          <tpl fld="0" item="24"/>
          <tpl fld="1" item="1"/>
        </tpls>
      </m>
      <n v="1127">
        <tpls c="2">
          <tpl fld="2" item="1"/>
          <tpl fld="0" item="136"/>
        </tpls>
      </n>
      <n v="338">
        <tpls c="2">
          <tpl fld="2" item="1"/>
          <tpl fld="0" item="249"/>
        </tpls>
      </n>
      <n v="1384">
        <tpls c="3">
          <tpl fld="2" item="0"/>
          <tpl fld="0" item="357"/>
          <tpl fld="1" item="1"/>
        </tpls>
      </n>
      <m>
        <tpls c="3">
          <tpl fld="2" item="1"/>
          <tpl fld="0" item="369"/>
          <tpl fld="1" item="2"/>
        </tpls>
      </m>
      <n v="0">
        <tpls c="3">
          <tpl fld="2" item="1"/>
          <tpl fld="0" item="25"/>
          <tpl fld="1" item="0"/>
        </tpls>
      </n>
      <m>
        <tpls c="3">
          <tpl fld="2" item="1"/>
          <tpl fld="0" item="137"/>
          <tpl fld="1" item="0"/>
        </tpls>
      </m>
      <n v="7326.88">
        <tpls c="3">
          <tpl fld="2" item="0"/>
          <tpl fld="0" item="250"/>
          <tpl fld="1" item="3"/>
        </tpls>
      </n>
      <n v="45">
        <tpls c="3">
          <tpl fld="2" item="0"/>
          <tpl fld="0" item="383"/>
          <tpl fld="1" item="1"/>
        </tpls>
      </n>
      <n v="213926.1">
        <tpls c="2">
          <tpl fld="2" item="0"/>
          <tpl fld="0" item="395"/>
        </tpls>
      </n>
      <n v="13">
        <tpls c="2">
          <tpl fld="2" item="1"/>
          <tpl fld="0" item="138"/>
        </tpls>
      </n>
      <n v="23140">
        <tpls c="3">
          <tpl fld="2" item="1"/>
          <tpl fld="0" item="227"/>
          <tpl fld="1" item="3"/>
        </tpls>
      </n>
      <m>
        <tpls c="3">
          <tpl fld="2" item="1"/>
          <tpl fld="0" item="311"/>
          <tpl fld="1" item="3"/>
        </tpls>
      </m>
      <n v="9">
        <tpls c="2">
          <tpl fld="2" item="1"/>
          <tpl fld="0" item="358"/>
        </tpls>
      </n>
      <n v="3447">
        <tpls c="2">
          <tpl fld="2" item="0"/>
          <tpl fld="0" item="83"/>
        </tpls>
      </n>
      <n v="19">
        <tpls c="2">
          <tpl fld="2" item="1"/>
          <tpl fld="0" item="139"/>
        </tpls>
      </n>
      <m>
        <tpls c="3">
          <tpl fld="2" item="1"/>
          <tpl fld="0" item="251"/>
          <tpl fld="1" item="0"/>
        </tpls>
      </m>
      <m>
        <tpls c="3">
          <tpl fld="2" item="1"/>
          <tpl fld="0" item="370"/>
          <tpl fld="1" item="3"/>
        </tpls>
      </m>
      <n v="7">
        <tpls c="3">
          <tpl fld="2" item="1"/>
          <tpl fld="0" item="384"/>
          <tpl fld="1" item="0"/>
        </tpls>
      </n>
      <n v="91">
        <tpls c="3">
          <tpl fld="2" item="0"/>
          <tpl fld="0" item="84"/>
          <tpl fld="1" item="2"/>
        </tpls>
      </n>
      <n v="879">
        <tpls c="3">
          <tpl fld="2" item="1"/>
          <tpl fld="0" item="140"/>
          <tpl fld="1" item="2"/>
        </tpls>
      </n>
      <n v="27189">
        <tpls c="3">
          <tpl fld="2" item="0"/>
          <tpl fld="0" item="252"/>
          <tpl fld="1" item="3"/>
        </tpls>
      </n>
      <m>
        <tpls c="3">
          <tpl fld="2" item="0"/>
          <tpl fld="0" item="290"/>
          <tpl fld="1" item="0"/>
        </tpls>
      </m>
      <n v="118">
        <tpls c="2">
          <tpl fld="2" item="1"/>
          <tpl fld="0" item="312"/>
        </tpls>
      </n>
      <n v="105">
        <tpls c="3">
          <tpl fld="2" item="1"/>
          <tpl fld="0" item="85"/>
          <tpl fld="1" item="1"/>
        </tpls>
      </n>
      <n v="104">
        <tpls c="2">
          <tpl fld="2" item="1"/>
          <tpl fld="0" item="141"/>
        </tpls>
      </n>
      <n v="168">
        <tpls c="2">
          <tpl fld="2" item="1"/>
          <tpl fld="0" item="253"/>
        </tpls>
      </n>
      <m>
        <tpls c="3">
          <tpl fld="2" item="0"/>
          <tpl fld="0" item="439"/>
          <tpl fld="1" item="0"/>
        </tpls>
      </m>
      <n v="34">
        <tpls c="3">
          <tpl fld="2" item="1"/>
          <tpl fld="0" item="30"/>
          <tpl fld="1" item="3"/>
        </tpls>
      </n>
      <m>
        <tpls c="3">
          <tpl fld="2" item="0"/>
          <tpl fld="0" item="142"/>
          <tpl fld="1" item="2"/>
        </tpls>
      </m>
      <n v="289">
        <tpls c="3">
          <tpl fld="2" item="0"/>
          <tpl fld="0" item="254"/>
          <tpl fld="1" item="3"/>
        </tpls>
      </n>
      <m>
        <tpls c="3">
          <tpl fld="2" item="0"/>
          <tpl fld="0" item="6"/>
          <tpl fld="1" item="0"/>
        </tpls>
      </m>
      <m>
        <tpls c="3">
          <tpl fld="2" item="1"/>
          <tpl fld="0" item="255"/>
          <tpl fld="1" item="0"/>
        </tpls>
      </m>
      <n v="0">
        <tpls c="3">
          <tpl fld="2" item="0"/>
          <tpl fld="0" item="313"/>
          <tpl fld="1" item="2"/>
        </tpls>
      </n>
      <m>
        <tpls c="3">
          <tpl fld="2" item="1"/>
          <tpl fld="0" item="385"/>
          <tpl fld="1" item="0"/>
        </tpls>
      </m>
      <m>
        <tpls c="3">
          <tpl fld="2" item="0"/>
          <tpl fld="0" item="31"/>
          <tpl fld="1" item="0"/>
        </tpls>
      </m>
      <m>
        <tpls c="3">
          <tpl fld="2" item="1"/>
          <tpl fld="0" item="143"/>
          <tpl fld="1" item="1"/>
        </tpls>
      </m>
      <n v="0">
        <tpls c="3">
          <tpl fld="2" item="1"/>
          <tpl fld="0" item="199"/>
          <tpl fld="1" item="1"/>
        </tpls>
      </n>
      <n v="46">
        <tpls c="3">
          <tpl fld="2" item="1"/>
          <tpl fld="0" item="256"/>
          <tpl fld="1" item="2"/>
        </tpls>
      </n>
      <m>
        <tpls c="3">
          <tpl fld="2" item="1"/>
          <tpl fld="0" item="397"/>
          <tpl fld="1" item="3"/>
        </tpls>
      </m>
      <m>
        <tpls c="3">
          <tpl fld="2" item="1"/>
          <tpl fld="0" item="405"/>
          <tpl fld="1" item="3"/>
        </tpls>
      </m>
      <m>
        <tpls c="3">
          <tpl fld="2" item="1"/>
          <tpl fld="0" item="409"/>
          <tpl fld="1" item="0"/>
        </tpls>
      </m>
      <m>
        <tpls c="3">
          <tpl fld="2" item="1"/>
          <tpl fld="0" item="32"/>
          <tpl fld="1" item="2"/>
        </tpls>
      </m>
      <n v="231543.12">
        <tpls c="3">
          <tpl fld="2" item="0"/>
          <tpl fld="0" item="32"/>
          <tpl fld="1" item="3"/>
        </tpls>
      </n>
      <n v="147024.95999999999">
        <tpls c="2">
          <tpl fld="2" item="0"/>
          <tpl fld="0" item="88"/>
        </tpls>
      </n>
      <m>
        <tpls c="3">
          <tpl fld="2" item="1"/>
          <tpl fld="0" item="144"/>
          <tpl fld="1" item="0"/>
        </tpls>
      </m>
      <n v="2410">
        <tpls c="3">
          <tpl fld="2" item="0"/>
          <tpl fld="0" item="200"/>
          <tpl fld="1" item="1"/>
        </tpls>
      </n>
      <m>
        <tpls c="3">
          <tpl fld="2" item="0"/>
          <tpl fld="0" item="257"/>
          <tpl fld="1" item="0"/>
        </tpls>
      </m>
      <m>
        <tpls c="3">
          <tpl fld="2" item="1"/>
          <tpl fld="0" item="257"/>
          <tpl fld="1" item="0"/>
        </tpls>
      </m>
      <m>
        <tpls c="3">
          <tpl fld="2" item="0"/>
          <tpl fld="0" item="345"/>
          <tpl fld="1" item="2"/>
        </tpls>
      </m>
      <n v="37">
        <tpls c="3">
          <tpl fld="2" item="1"/>
          <tpl fld="0" item="291"/>
          <tpl fld="1" item="1"/>
        </tpls>
      </n>
      <m>
        <tpls c="3">
          <tpl fld="2" item="1"/>
          <tpl fld="0" item="359"/>
          <tpl fld="1" item="2"/>
        </tpls>
      </m>
      <m>
        <tpls c="3">
          <tpl fld="2" item="1"/>
          <tpl fld="0" item="33"/>
          <tpl fld="1" item="0"/>
        </tpls>
      </m>
      <m>
        <tpls c="3">
          <tpl fld="2" item="0"/>
          <tpl fld="0" item="33"/>
          <tpl fld="1" item="1"/>
        </tpls>
      </m>
      <m>
        <tpls c="3">
          <tpl fld="2" item="1"/>
          <tpl fld="0" item="89"/>
          <tpl fld="1" item="0"/>
        </tpls>
      </m>
      <m>
        <tpls c="3">
          <tpl fld="2" item="1"/>
          <tpl fld="0" item="145"/>
          <tpl fld="1" item="2"/>
        </tpls>
      </m>
      <m>
        <tpls c="3">
          <tpl fld="2" item="1"/>
          <tpl fld="0" item="201"/>
          <tpl fld="1" item="1"/>
        </tpls>
      </m>
      <m>
        <tpls c="3">
          <tpl fld="2" item="0"/>
          <tpl fld="0" item="258"/>
          <tpl fld="1" item="0"/>
        </tpls>
      </m>
      <n v="0">
        <tpls c="3">
          <tpl fld="2" item="0"/>
          <tpl fld="0" item="314"/>
          <tpl fld="1" item="1"/>
        </tpls>
      </n>
      <n v="9853">
        <tpls c="2">
          <tpl fld="2" item="0"/>
          <tpl fld="0" item="314"/>
        </tpls>
      </n>
      <m>
        <tpls c="3">
          <tpl fld="2" item="1"/>
          <tpl fld="0" item="371"/>
          <tpl fld="1" item="0"/>
        </tpls>
      </m>
      <m>
        <tpls c="3">
          <tpl fld="2" item="0"/>
          <tpl fld="0" item="412"/>
          <tpl fld="1" item="1"/>
        </tpls>
      </m>
      <n v="986">
        <tpls c="3">
          <tpl fld="2" item="0"/>
          <tpl fld="0" item="34"/>
          <tpl fld="1" item="3"/>
        </tpls>
      </n>
      <n v="175">
        <tpls c="3">
          <tpl fld="2" item="1"/>
          <tpl fld="0" item="90"/>
          <tpl fld="1" item="3"/>
        </tpls>
      </n>
      <n v="14">
        <tpls c="2">
          <tpl fld="2" item="1"/>
          <tpl fld="0" item="146"/>
        </tpls>
      </n>
      <m>
        <tpls c="3">
          <tpl fld="2" item="1"/>
          <tpl fld="0" item="202"/>
          <tpl fld="1" item="0"/>
        </tpls>
      </m>
      <m>
        <tpls c="3">
          <tpl fld="2" item="1"/>
          <tpl fld="0" item="284"/>
          <tpl fld="1" item="0"/>
        </tpls>
      </m>
      <m>
        <tpls c="3">
          <tpl fld="2" item="1"/>
          <tpl fld="0" item="332"/>
          <tpl fld="1" item="0"/>
        </tpls>
      </m>
      <n v="1800">
        <tpls c="3">
          <tpl fld="2" item="0"/>
          <tpl fld="0" item="203"/>
          <tpl fld="1" item="1"/>
        </tpls>
      </n>
      <m>
        <tpls c="3">
          <tpl fld="2" item="1"/>
          <tpl fld="0" item="259"/>
          <tpl fld="1" item="0"/>
        </tpls>
      </m>
      <n v="0">
        <tpls c="3">
          <tpl fld="2" item="0"/>
          <tpl fld="0" item="259"/>
          <tpl fld="1" item="2"/>
        </tpls>
      </n>
      <m>
        <tpls c="3">
          <tpl fld="2" item="1"/>
          <tpl fld="0" item="346"/>
          <tpl fld="1" item="2"/>
        </tpls>
      </m>
      <m>
        <tpls c="3">
          <tpl fld="2" item="1"/>
          <tpl fld="0" item="360"/>
          <tpl fld="1" item="3"/>
        </tpls>
      </m>
      <m>
        <tpls c="3">
          <tpl fld="2" item="1"/>
          <tpl fld="0" item="372"/>
          <tpl fld="1" item="0"/>
        </tpls>
      </m>
      <m>
        <tpls c="3">
          <tpl fld="2" item="1"/>
          <tpl fld="0" item="35"/>
          <tpl fld="1" item="2"/>
        </tpls>
      </m>
      <m>
        <tpls c="3">
          <tpl fld="2" item="0"/>
          <tpl fld="0" item="35"/>
          <tpl fld="1" item="2"/>
        </tpls>
      </m>
      <n v="1">
        <tpls c="3">
          <tpl fld="2" item="1"/>
          <tpl fld="0" item="91"/>
          <tpl fld="1" item="2"/>
        </tpls>
      </n>
      <m>
        <tpls c="3">
          <tpl fld="2" item="0"/>
          <tpl fld="0" item="147"/>
          <tpl fld="1" item="0"/>
        </tpls>
      </m>
      <m>
        <tpls c="3">
          <tpl fld="2" item="1"/>
          <tpl fld="0" item="204"/>
          <tpl fld="1" item="3"/>
        </tpls>
      </m>
      <n v="14">
        <tpls c="3">
          <tpl fld="2" item="1"/>
          <tpl fld="0" item="260"/>
          <tpl fld="1" item="1"/>
        </tpls>
      </n>
      <m>
        <tpls c="3">
          <tpl fld="2" item="0"/>
          <tpl fld="0" item="260"/>
          <tpl fld="1" item="2"/>
        </tpls>
      </m>
      <m>
        <tpls c="3">
          <tpl fld="2" item="1"/>
          <tpl fld="0" item="426"/>
          <tpl fld="1" item="2"/>
        </tpls>
      </m>
      <n v="201">
        <tpls c="3">
          <tpl fld="2" item="1"/>
          <tpl fld="0" item="386"/>
          <tpl fld="1" item="2"/>
        </tpls>
      </n>
      <m>
        <tpls c="3">
          <tpl fld="2" item="0"/>
          <tpl fld="0" item="292"/>
          <tpl fld="1" item="0"/>
        </tpls>
      </m>
      <n v="53771">
        <tpls c="2">
          <tpl fld="2" item="0"/>
          <tpl fld="0" item="36"/>
        </tpls>
      </n>
      <m>
        <tpls c="3">
          <tpl fld="2" item="1"/>
          <tpl fld="0" item="36"/>
          <tpl fld="1" item="0"/>
        </tpls>
      </m>
      <m>
        <tpls c="3">
          <tpl fld="2" item="1"/>
          <tpl fld="0" item="92"/>
          <tpl fld="1" item="0"/>
        </tpls>
      </m>
      <n v="1913803.45">
        <tpls c="3">
          <tpl fld="2" item="0"/>
          <tpl fld="0" item="148"/>
          <tpl fld="1" item="3"/>
        </tpls>
      </n>
      <n v="244432.42">
        <tpls c="3">
          <tpl fld="2" item="0"/>
          <tpl fld="0" item="205"/>
          <tpl fld="1" item="3"/>
        </tpls>
      </n>
      <n v="0">
        <tpls c="3">
          <tpl fld="2" item="1"/>
          <tpl fld="0" item="261"/>
          <tpl fld="1" item="2"/>
        </tpls>
      </n>
      <m>
        <tpls c="3">
          <tpl fld="2" item="0"/>
          <tpl fld="0" item="261"/>
          <tpl fld="1" item="0"/>
        </tpls>
      </m>
      <n v="79">
        <tpls c="3">
          <tpl fld="2" item="1"/>
          <tpl fld="0" item="398"/>
          <tpl fld="1" item="3"/>
        </tpls>
      </n>
      <m>
        <tpls c="3">
          <tpl fld="2" item="1"/>
          <tpl fld="0" item="315"/>
          <tpl fld="1" item="2"/>
        </tpls>
      </m>
      <n v="200">
        <tpls c="2">
          <tpl fld="2" item="1"/>
          <tpl fld="0" item="440"/>
        </tpls>
      </n>
      <n v="22645">
        <tpls c="2">
          <tpl fld="2" item="0"/>
          <tpl fld="0" item="37"/>
        </tpls>
      </n>
      <m>
        <tpls c="3">
          <tpl fld="2" item="0"/>
          <tpl fld="0" item="93"/>
          <tpl fld="1" item="1"/>
        </tpls>
      </m>
      <n v="59">
        <tpls c="2">
          <tpl fld="2" item="1"/>
          <tpl fld="0" item="93"/>
        </tpls>
      </n>
      <m>
        <tpls c="3">
          <tpl fld="2" item="0"/>
          <tpl fld="0" item="149"/>
          <tpl fld="1" item="2"/>
        </tpls>
      </m>
      <n v="1111">
        <tpls c="2">
          <tpl fld="2" item="1"/>
          <tpl fld="0" item="206"/>
        </tpls>
      </n>
      <n v="4135">
        <tpls c="3">
          <tpl fld="2" item="0"/>
          <tpl fld="0" item="262"/>
          <tpl fld="1" item="3"/>
        </tpls>
      </n>
      <m>
        <tpls c="3">
          <tpl fld="2" item="0"/>
          <tpl fld="0" item="434"/>
          <tpl fld="1" item="0"/>
        </tpls>
      </m>
      <m>
        <tpls c="3">
          <tpl fld="2" item="0"/>
          <tpl fld="0" item="347"/>
          <tpl fld="1" item="1"/>
        </tpls>
      </m>
      <n v="1366">
        <tpls c="2">
          <tpl fld="2" item="0"/>
          <tpl fld="0" item="347"/>
        </tpls>
      </n>
      <n v="11329">
        <tpls c="2">
          <tpl fld="2" item="0"/>
          <tpl fld="0" item="361"/>
        </tpls>
      </n>
      <n v="153">
        <tpls c="3">
          <tpl fld="2" item="0"/>
          <tpl fld="0" item="38"/>
          <tpl fld="1" item="1"/>
        </tpls>
      </n>
      <n v="31">
        <tpls c="2">
          <tpl fld="2" item="1"/>
          <tpl fld="0" item="94"/>
        </tpls>
      </n>
      <n v="12">
        <tpls c="3">
          <tpl fld="2" item="1"/>
          <tpl fld="0" item="8"/>
          <tpl fld="1" item="1"/>
        </tpls>
      </n>
      <m>
        <tpls c="3">
          <tpl fld="2" item="1"/>
          <tpl fld="0" item="304"/>
          <tpl fld="1" item="2"/>
        </tpls>
      </m>
      <m>
        <tpls c="3">
          <tpl fld="2" item="0"/>
          <tpl fld="0" item="13"/>
          <tpl fld="1" item="2"/>
        </tpls>
      </m>
      <m>
        <tpls c="3">
          <tpl fld="2" item="0"/>
          <tpl fld="0" item="306"/>
          <tpl fld="1" item="3"/>
        </tpls>
      </m>
      <n v="652290">
        <tpls c="2">
          <tpl fld="2" item="0"/>
          <tpl fld="0" item="71"/>
        </tpls>
      </n>
      <m>
        <tpls c="3">
          <tpl fld="2" item="0"/>
          <tpl fld="0" item="241"/>
          <tpl fld="1" item="0"/>
        </tpls>
      </m>
      <n v="161">
        <tpls c="3">
          <tpl fld="2" item="0"/>
          <tpl fld="0" item="431"/>
          <tpl fld="1" item="2"/>
        </tpls>
      </n>
      <m>
        <tpls c="3">
          <tpl fld="2" item="1"/>
          <tpl fld="0" item="327"/>
          <tpl fld="1" item="2"/>
        </tpls>
      </m>
      <n v="123">
        <tpls c="2">
          <tpl fld="2" item="1"/>
          <tpl fld="0" item="309"/>
        </tpls>
      </n>
      <n v="8192">
        <tpls c="2">
          <tpl fld="2" item="0"/>
          <tpl fld="0" item="189"/>
        </tpls>
      </n>
      <n v="1416">
        <tpls c="2">
          <tpl fld="2" item="0"/>
          <tpl fld="0" item="78"/>
        </tpls>
      </n>
      <n v="0">
        <tpls c="2">
          <tpl fld="2" item="1"/>
          <tpl fld="0" item="438"/>
        </tpls>
      </n>
      <m>
        <tpls c="3">
          <tpl fld="2" item="1"/>
          <tpl fld="0" item="247"/>
          <tpl fld="1" item="0"/>
        </tpls>
      </m>
      <n v="5233">
        <tpls c="2">
          <tpl fld="2" item="0"/>
          <tpl fld="0" item="382"/>
        </tpls>
      </n>
      <m>
        <tpls c="3">
          <tpl fld="2" item="1"/>
          <tpl fld="0" item="432"/>
          <tpl fld="1" item="0"/>
        </tpls>
      </m>
      <n v="5355">
        <tpls c="3">
          <tpl fld="2" item="0"/>
          <tpl fld="0" item="23"/>
          <tpl fld="1" item="1"/>
        </tpls>
      </n>
      <m>
        <tpls c="3">
          <tpl fld="2" item="0"/>
          <tpl fld="0" item="135"/>
          <tpl fld="1" item="3"/>
        </tpls>
      </m>
      <m>
        <tpls c="3">
          <tpl fld="2" item="1"/>
          <tpl fld="0" item="248"/>
          <tpl fld="1" item="0"/>
        </tpls>
      </m>
      <m>
        <tpls c="3">
          <tpl fld="2" item="0"/>
          <tpl fld="0" item="404"/>
          <tpl fld="1" item="3"/>
        </tpls>
      </m>
      <n v="14563">
        <tpls c="3">
          <tpl fld="2" item="1"/>
          <tpl fld="0" item="289"/>
          <tpl fld="1" item="3"/>
        </tpls>
      </n>
      <m>
        <tpls c="3">
          <tpl fld="2" item="0"/>
          <tpl fld="0" item="24"/>
          <tpl fld="1" item="1"/>
        </tpls>
      </m>
      <n v="0">
        <tpls c="3">
          <tpl fld="2" item="0"/>
          <tpl fld="0" item="136"/>
          <tpl fld="1" item="2"/>
        </tpls>
      </n>
      <m>
        <tpls c="3">
          <tpl fld="2" item="1"/>
          <tpl fld="0" item="249"/>
          <tpl fld="1" item="2"/>
        </tpls>
      </m>
      <m>
        <tpls c="3">
          <tpl fld="2" item="1"/>
          <tpl fld="0" item="357"/>
          <tpl fld="1" item="0"/>
        </tpls>
      </m>
      <n v="111">
        <tpls c="2">
          <tpl fld="2" item="1"/>
          <tpl fld="0" item="369"/>
        </tpls>
      </n>
      <n v="0">
        <tpls c="3">
          <tpl fld="2" item="0"/>
          <tpl fld="0" item="25"/>
          <tpl fld="1" item="0"/>
        </tpls>
      </n>
      <n v="46">
        <tpls c="3">
          <tpl fld="2" item="1"/>
          <tpl fld="0" item="137"/>
          <tpl fld="1" item="3"/>
        </tpls>
      </n>
      <n v="7326.88">
        <tpls c="2">
          <tpl fld="2" item="0"/>
          <tpl fld="0" item="250"/>
        </tpls>
      </n>
      <m>
        <tpls c="3">
          <tpl fld="2" item="1"/>
          <tpl fld="0" item="383"/>
          <tpl fld="1" item="0"/>
        </tpls>
      </m>
      <n v="344">
        <tpls c="3">
          <tpl fld="2" item="1"/>
          <tpl fld="0" item="26"/>
          <tpl fld="1" item="3"/>
        </tpls>
      </n>
      <m>
        <tpls c="3">
          <tpl fld="2" item="0"/>
          <tpl fld="0" item="138"/>
          <tpl fld="1" item="2"/>
        </tpls>
      </m>
      <n v="565">
        <tpls c="3">
          <tpl fld="2" item="1"/>
          <tpl fld="0" item="235"/>
          <tpl fld="1" item="3"/>
        </tpls>
      </n>
      <m>
        <tpls c="3">
          <tpl fld="2" item="0"/>
          <tpl fld="0" item="311"/>
          <tpl fld="1" item="3"/>
        </tpls>
      </m>
      <n v="11432">
        <tpls c="3">
          <tpl fld="2" item="0"/>
          <tpl fld="0" item="358"/>
          <tpl fld="1" item="1"/>
        </tpls>
      </n>
      <m>
        <tpls c="3">
          <tpl fld="2" item="0"/>
          <tpl fld="0" item="83"/>
          <tpl fld="1" item="2"/>
        </tpls>
      </m>
      <m>
        <tpls c="3">
          <tpl fld="2" item="1"/>
          <tpl fld="0" item="139"/>
          <tpl fld="1" item="0"/>
        </tpls>
      </m>
      <n v="3">
        <tpls c="3">
          <tpl fld="2" item="1"/>
          <tpl fld="0" item="251"/>
          <tpl fld="1" item="1"/>
        </tpls>
      </n>
      <m>
        <tpls c="3">
          <tpl fld="2" item="0"/>
          <tpl fld="0" item="370"/>
          <tpl fld="1" item="3"/>
        </tpls>
      </m>
      <n v="162">
        <tpls c="3">
          <tpl fld="2" item="0"/>
          <tpl fld="0" item="384"/>
          <tpl fld="1" item="0"/>
        </tpls>
      </n>
      <n v="443">
        <tpls c="3">
          <tpl fld="2" item="1"/>
          <tpl fld="0" item="84"/>
          <tpl fld="1" item="3"/>
        </tpls>
      </n>
      <n v="40075">
        <tpls c="2">
          <tpl fld="2" item="1"/>
          <tpl fld="0" item="140"/>
        </tpls>
      </n>
      <m>
        <tpls c="3">
          <tpl fld="2" item="0"/>
          <tpl fld="0" item="252"/>
          <tpl fld="1" item="2"/>
        </tpls>
      </m>
      <n v="100">
        <tpls c="3">
          <tpl fld="2" item="1"/>
          <tpl fld="0" item="290"/>
          <tpl fld="1" item="3"/>
        </tpls>
      </n>
      <m>
        <tpls c="3">
          <tpl fld="2" item="0"/>
          <tpl fld="0" item="312"/>
          <tpl fld="1" item="2"/>
        </tpls>
      </m>
      <n v="61">
        <tpls c="3">
          <tpl fld="2" item="1"/>
          <tpl fld="0" item="85"/>
          <tpl fld="1" item="0"/>
        </tpls>
      </n>
      <m>
        <tpls c="3">
          <tpl fld="2" item="0"/>
          <tpl fld="0" item="141"/>
          <tpl fld="1" item="2"/>
        </tpls>
      </m>
      <m>
        <tpls c="3">
          <tpl fld="2" item="1"/>
          <tpl fld="0" item="253"/>
          <tpl fld="1" item="1"/>
        </tpls>
      </m>
      <n v="2596">
        <tpls c="2">
          <tpl fld="2" item="0"/>
          <tpl fld="0" item="439"/>
        </tpls>
      </n>
      <n v="1395">
        <tpls c="3">
          <tpl fld="2" item="0"/>
          <tpl fld="0" item="30"/>
          <tpl fld="1" item="3"/>
        </tpls>
      </n>
      <n v="1218">
        <tpls c="2">
          <tpl fld="2" item="0"/>
          <tpl fld="0" item="142"/>
        </tpls>
      </n>
      <m>
        <tpls c="3">
          <tpl fld="2" item="0"/>
          <tpl fld="0" item="254"/>
          <tpl fld="1" item="2"/>
        </tpls>
      </m>
      <m>
        <tpls c="3">
          <tpl fld="2" item="0"/>
          <tpl fld="0" item="352"/>
          <tpl fld="1" item="0"/>
        </tpls>
      </m>
      <m>
        <tpls c="3">
          <tpl fld="2" item="0"/>
          <tpl fld="0" item="255"/>
          <tpl fld="1" item="0"/>
        </tpls>
      </m>
      <n v="11">
        <tpls c="2">
          <tpl fld="2" item="0"/>
          <tpl fld="0" item="313"/>
        </tpls>
      </n>
      <m>
        <tpls c="3">
          <tpl fld="2" item="1"/>
          <tpl fld="0" item="31"/>
          <tpl fld="1" item="2"/>
        </tpls>
      </m>
      <m>
        <tpls c="3">
          <tpl fld="2" item="1"/>
          <tpl fld="0" item="87"/>
          <tpl fld="1" item="0"/>
        </tpls>
      </m>
      <n v="4">
        <tpls c="3">
          <tpl fld="2" item="1"/>
          <tpl fld="0" item="143"/>
          <tpl fld="1" item="2"/>
        </tpls>
      </n>
      <m>
        <tpls c="3">
          <tpl fld="2" item="1"/>
          <tpl fld="0" item="199"/>
          <tpl fld="1" item="3"/>
        </tpls>
      </m>
      <m>
        <tpls c="3">
          <tpl fld="2" item="1"/>
          <tpl fld="0" item="256"/>
          <tpl fld="1" item="3"/>
        </tpls>
      </m>
      <m>
        <tpls c="3">
          <tpl fld="2" item="0"/>
          <tpl fld="0" item="397"/>
          <tpl fld="1" item="3"/>
        </tpls>
      </m>
      <m>
        <tpls c="3">
          <tpl fld="2" item="0"/>
          <tpl fld="0" item="405"/>
          <tpl fld="1" item="3"/>
        </tpls>
      </m>
      <n v="4883">
        <tpls c="3">
          <tpl fld="2" item="1"/>
          <tpl fld="0" item="409"/>
          <tpl fld="1" item="3"/>
        </tpls>
      </n>
      <m>
        <tpls c="3">
          <tpl fld="2" item="0"/>
          <tpl fld="0" item="32"/>
          <tpl fld="1" item="2"/>
        </tpls>
      </m>
      <m>
        <tpls c="3">
          <tpl fld="2" item="1"/>
          <tpl fld="0" item="88"/>
          <tpl fld="1" item="0"/>
        </tpls>
      </m>
      <n v="26">
        <tpls c="3">
          <tpl fld="2" item="1"/>
          <tpl fld="0" item="88"/>
          <tpl fld="1" item="1"/>
        </tpls>
      </n>
      <n v="964">
        <tpls c="3">
          <tpl fld="2" item="1"/>
          <tpl fld="0" item="144"/>
          <tpl fld="1" item="3"/>
        </tpls>
      </n>
      <m>
        <tpls c="3">
          <tpl fld="2" item="1"/>
          <tpl fld="0" item="200"/>
          <tpl fld="1" item="0"/>
        </tpls>
      </m>
      <n v="200131.36">
        <tpls c="3">
          <tpl fld="2" item="0"/>
          <tpl fld="0" item="257"/>
          <tpl fld="1" item="3"/>
        </tpls>
      </n>
      <m>
        <tpls c="3">
          <tpl fld="2" item="1"/>
          <tpl fld="0" item="345"/>
          <tpl fld="1" item="0"/>
        </tpls>
      </m>
      <n v="58828">
        <tpls c="2">
          <tpl fld="2" item="0"/>
          <tpl fld="0" item="345"/>
        </tpls>
      </n>
      <n v="3064">
        <tpls c="3">
          <tpl fld="2" item="0"/>
          <tpl fld="0" item="291"/>
          <tpl fld="1" item="1"/>
        </tpls>
      </n>
      <m>
        <tpls c="3">
          <tpl fld="2" item="0"/>
          <tpl fld="0" item="359"/>
          <tpl fld="1" item="2"/>
        </tpls>
      </m>
      <n v="175">
        <tpls c="3">
          <tpl fld="2" item="1"/>
          <tpl fld="0" item="33"/>
          <tpl fld="1" item="3"/>
        </tpls>
      </n>
      <n v="180">
        <tpls c="3">
          <tpl fld="2" item="0"/>
          <tpl fld="0" item="89"/>
          <tpl fld="1" item="2"/>
        </tpls>
      </n>
      <m>
        <tpls c="3">
          <tpl fld="2" item="0"/>
          <tpl fld="0" item="89"/>
          <tpl fld="1" item="0"/>
        </tpls>
      </m>
      <n v="105">
        <tpls c="2">
          <tpl fld="2" item="1"/>
          <tpl fld="0" item="145"/>
        </tpls>
      </n>
      <m>
        <tpls c="3">
          <tpl fld="2" item="1"/>
          <tpl fld="0" item="201"/>
          <tpl fld="1" item="0"/>
        </tpls>
      </m>
      <n v="3849">
        <tpls c="2">
          <tpl fld="2" item="0"/>
          <tpl fld="0" item="258"/>
        </tpls>
      </n>
      <n v="2400">
        <tpls c="3">
          <tpl fld="2" item="0"/>
          <tpl fld="0" item="314"/>
          <tpl fld="1" item="0"/>
        </tpls>
      </n>
      <n v="0">
        <tpls c="3">
          <tpl fld="2" item="1"/>
          <tpl fld="0" item="314"/>
          <tpl fld="1" item="1"/>
        </tpls>
      </n>
      <m>
        <tpls c="3">
          <tpl fld="2" item="0"/>
          <tpl fld="0" item="371"/>
          <tpl fld="1" item="0"/>
        </tpls>
      </m>
      <m>
        <tpls c="3">
          <tpl fld="2" item="1"/>
          <tpl fld="0" item="412"/>
          <tpl fld="1" item="0"/>
        </tpls>
      </m>
      <m>
        <tpls c="3">
          <tpl fld="2" item="1"/>
          <tpl fld="0" item="34"/>
          <tpl fld="1" item="2"/>
        </tpls>
      </m>
      <n v="6261.5">
        <tpls c="3">
          <tpl fld="2" item="0"/>
          <tpl fld="0" item="90"/>
          <tpl fld="1" item="3"/>
        </tpls>
      </n>
      <m>
        <tpls c="3">
          <tpl fld="2" item="0"/>
          <tpl fld="0" item="146"/>
          <tpl fld="1" item="2"/>
        </tpls>
      </m>
      <m>
        <tpls c="3">
          <tpl fld="2" item="0"/>
          <tpl fld="0" item="202"/>
          <tpl fld="1" item="0"/>
        </tpls>
      </m>
      <m>
        <tpls c="3">
          <tpl fld="2" item="1"/>
          <tpl fld="0" item="20"/>
          <tpl fld="1" item="0"/>
        </tpls>
      </m>
      <m>
        <tpls c="3">
          <tpl fld="2" item="1"/>
          <tpl fld="0" item="324"/>
          <tpl fld="1" item="0"/>
        </tpls>
      </m>
      <m>
        <tpls c="3">
          <tpl fld="2" item="0"/>
          <tpl fld="0" item="203"/>
          <tpl fld="1" item="0"/>
        </tpls>
      </m>
      <m>
        <tpls c="3">
          <tpl fld="2" item="1"/>
          <tpl fld="0" item="259"/>
          <tpl fld="1" item="1"/>
        </tpls>
      </m>
      <n v="0">
        <tpls c="2">
          <tpl fld="2" item="0"/>
          <tpl fld="0" item="259"/>
        </tpls>
      </n>
      <n v="4">
        <tpls c="2">
          <tpl fld="2" item="1"/>
          <tpl fld="0" item="346"/>
        </tpls>
      </n>
      <m>
        <tpls c="3">
          <tpl fld="2" item="0"/>
          <tpl fld="0" item="360"/>
          <tpl fld="1" item="3"/>
        </tpls>
      </m>
      <n v="113">
        <tpls c="2">
          <tpl fld="2" item="1"/>
          <tpl fld="0" item="372"/>
        </tpls>
      </n>
      <n v="0">
        <tpls c="3">
          <tpl fld="2" item="1"/>
          <tpl fld="0" item="35"/>
          <tpl fld="1" item="1"/>
        </tpls>
      </n>
      <n v="0">
        <tpls c="2">
          <tpl fld="2" item="0"/>
          <tpl fld="0" item="35"/>
        </tpls>
      </n>
      <n v="1">
        <tpls c="2">
          <tpl fld="2" item="1"/>
          <tpl fld="0" item="91"/>
        </tpls>
      </n>
      <m>
        <tpls c="3">
          <tpl fld="2" item="0"/>
          <tpl fld="0" item="147"/>
          <tpl fld="1" item="3"/>
        </tpls>
      </m>
      <m>
        <tpls c="3">
          <tpl fld="2" item="1"/>
          <tpl fld="0" item="204"/>
          <tpl fld="1" item="0"/>
        </tpls>
      </m>
      <n v="650">
        <tpls c="3">
          <tpl fld="2" item="0"/>
          <tpl fld="0" item="260"/>
          <tpl fld="1" item="1"/>
        </tpls>
      </n>
      <n v="650">
        <tpls c="2">
          <tpl fld="2" item="0"/>
          <tpl fld="0" item="260"/>
        </tpls>
      </n>
      <n v="0">
        <tpls c="2">
          <tpl fld="2" item="1"/>
          <tpl fld="0" item="426"/>
        </tpls>
      </n>
      <n v="1606">
        <tpls c="2">
          <tpl fld="2" item="1"/>
          <tpl fld="0" item="386"/>
        </tpls>
      </n>
      <n v="1373">
        <tpls c="3">
          <tpl fld="2" item="1"/>
          <tpl fld="0" item="292"/>
          <tpl fld="1" item="3"/>
        </tpls>
      </n>
      <m>
        <tpls c="3">
          <tpl fld="2" item="0"/>
          <tpl fld="0" item="36"/>
          <tpl fld="1" item="2"/>
        </tpls>
      </m>
      <m>
        <tpls c="3">
          <tpl fld="2" item="0"/>
          <tpl fld="0" item="36"/>
          <tpl fld="1" item="0"/>
        </tpls>
      </m>
      <n v="34090.629999999997">
        <tpls c="3">
          <tpl fld="2" item="0"/>
          <tpl fld="0" item="92"/>
          <tpl fld="1" item="3"/>
        </tpls>
      </n>
      <n v="387">
        <tpls c="3">
          <tpl fld="2" item="1"/>
          <tpl fld="0" item="148"/>
          <tpl fld="1" item="2"/>
        </tpls>
      </n>
      <n v="10">
        <tpls c="3">
          <tpl fld="2" item="0"/>
          <tpl fld="0" item="205"/>
          <tpl fld="1" item="2"/>
        </tpls>
      </n>
      <n v="1691">
        <tpls c="2">
          <tpl fld="2" item="1"/>
          <tpl fld="0" item="261"/>
        </tpls>
      </n>
      <n v="1647">
        <tpls c="3">
          <tpl fld="2" item="1"/>
          <tpl fld="0" item="261"/>
          <tpl fld="1" item="3"/>
        </tpls>
      </n>
      <n v="14653">
        <tpls c="3">
          <tpl fld="2" item="0"/>
          <tpl fld="0" item="398"/>
          <tpl fld="1" item="3"/>
        </tpls>
      </n>
      <m>
        <tpls c="3">
          <tpl fld="2" item="0"/>
          <tpl fld="0" item="315"/>
          <tpl fld="1" item="2"/>
        </tpls>
      </m>
      <m>
        <tpls c="3">
          <tpl fld="2" item="0"/>
          <tpl fld="0" item="440"/>
          <tpl fld="1" item="2"/>
        </tpls>
      </m>
      <m>
        <tpls c="3">
          <tpl fld="2" item="1"/>
          <tpl fld="0" item="37"/>
          <tpl fld="1" item="1"/>
        </tpls>
      </m>
      <m>
        <tpls c="3">
          <tpl fld="2" item="0"/>
          <tpl fld="0" item="93"/>
          <tpl fld="1" item="0"/>
        </tpls>
      </m>
      <n v="26">
        <tpls c="3">
          <tpl fld="2" item="0"/>
          <tpl fld="0" item="149"/>
          <tpl fld="1" item="1"/>
        </tpls>
      </n>
      <n v="11371">
        <tpls c="2">
          <tpl fld="2" item="0"/>
          <tpl fld="0" item="149"/>
        </tpls>
      </n>
      <n v="25">
        <tpls c="3">
          <tpl fld="2" item="1"/>
          <tpl fld="0" item="206"/>
          <tpl fld="1" item="1"/>
        </tpls>
      </n>
      <n v="73">
        <tpls c="3">
          <tpl fld="2" item="1"/>
          <tpl fld="0" item="262"/>
          <tpl fld="1" item="3"/>
        </tpls>
      </n>
      <n v="5088">
        <tpls c="2">
          <tpl fld="2" item="0"/>
          <tpl fld="0" item="434"/>
        </tpls>
      </n>
      <m>
        <tpls c="3">
          <tpl fld="2" item="1"/>
          <tpl fld="0" item="347"/>
          <tpl fld="1" item="0"/>
        </tpls>
      </m>
      <m>
        <tpls c="3">
          <tpl fld="2" item="1"/>
          <tpl fld="0" item="361"/>
          <tpl fld="1" item="0"/>
        </tpls>
      </m>
      <n v="5">
        <tpls c="3">
          <tpl fld="2" item="1"/>
          <tpl fld="0" item="361"/>
          <tpl fld="1" item="1"/>
        </tpls>
      </n>
      <m>
        <tpls c="3">
          <tpl fld="2" item="1"/>
          <tpl fld="0" item="38"/>
          <tpl fld="1" item="0"/>
        </tpls>
      </m>
      <m>
        <tpls c="3">
          <tpl fld="2" item="0"/>
          <tpl fld="0" item="94"/>
          <tpl fld="1" item="2"/>
        </tpls>
      </m>
      <m>
        <tpls c="3">
          <tpl fld="2" item="1"/>
          <tpl fld="0" item="60"/>
          <tpl fld="1" item="2"/>
        </tpls>
      </m>
      <m>
        <tpls c="3">
          <tpl fld="2" item="1"/>
          <tpl fld="0" item="63"/>
          <tpl fld="1" item="3"/>
        </tpls>
      </m>
      <n v="12965.44">
        <tpls c="2">
          <tpl fld="2" item="0"/>
          <tpl fld="0" item="11"/>
        </tpls>
      </n>
      <n v="1100">
        <tpls c="2">
          <tpl fld="2" item="0"/>
          <tpl fld="0" item="125"/>
        </tpls>
      </n>
      <n v="55">
        <tpls c="2">
          <tpl fld="2" item="0"/>
          <tpl fld="0" item="306"/>
        </tpls>
      </n>
      <n v="86492">
        <tpls c="2">
          <tpl fld="2" item="0"/>
          <tpl fld="0" item="184"/>
        </tpls>
      </n>
      <n v="119693.19">
        <tpls c="2">
          <tpl fld="2" item="0"/>
          <tpl fld="0" item="307"/>
        </tpls>
      </n>
      <n v="425466.01">
        <tpls c="3">
          <tpl fld="2" item="0"/>
          <tpl fld="0" item="431"/>
          <tpl fld="1" item="3"/>
        </tpls>
      </n>
      <m>
        <tpls c="3">
          <tpl fld="2" item="1"/>
          <tpl fld="0" item="284"/>
          <tpl fld="1" item="2"/>
        </tpls>
      </m>
      <m>
        <tpls c="3">
          <tpl fld="2" item="0"/>
          <tpl fld="0" item="419"/>
          <tpl fld="1" item="1"/>
        </tpls>
      </m>
      <m>
        <tpls c="3">
          <tpl fld="2" item="0"/>
          <tpl fld="0" item="189"/>
          <tpl fld="1" item="0"/>
        </tpls>
      </m>
      <m>
        <tpls c="3">
          <tpl fld="2" item="0"/>
          <tpl fld="0" item="78"/>
          <tpl fld="1" item="3"/>
        </tpls>
      </m>
      <m>
        <tpls c="3">
          <tpl fld="2" item="1"/>
          <tpl fld="0" item="438"/>
          <tpl fld="1" item="1"/>
        </tpls>
      </m>
      <m>
        <tpls c="3">
          <tpl fld="2" item="1"/>
          <tpl fld="0" item="247"/>
          <tpl fld="1" item="2"/>
        </tpls>
      </m>
      <m>
        <tpls c="3">
          <tpl fld="2" item="1"/>
          <tpl fld="0" item="394"/>
          <tpl fld="1" item="3"/>
        </tpls>
      </m>
      <n v="83">
        <tpls c="2">
          <tpl fld="2" item="1"/>
          <tpl fld="0" item="432"/>
        </tpls>
      </n>
      <m>
        <tpls c="3">
          <tpl fld="2" item="0"/>
          <tpl fld="0" item="79"/>
          <tpl fld="1" item="0"/>
        </tpls>
      </m>
      <n v="3">
        <tpls c="3">
          <tpl fld="2" item="1"/>
          <tpl fld="0" item="135"/>
          <tpl fld="1" item="1"/>
        </tpls>
      </n>
      <n v="45">
        <tpls c="2">
          <tpl fld="2" item="1"/>
          <tpl fld="0" item="248"/>
        </tpls>
      </n>
      <m>
        <tpls c="3">
          <tpl fld="2" item="0"/>
          <tpl fld="0" item="342"/>
          <tpl fld="1" item="2"/>
        </tpls>
      </m>
      <n v="143519">
        <tpls c="3">
          <tpl fld="2" item="0"/>
          <tpl fld="0" item="289"/>
          <tpl fld="1" item="2"/>
        </tpls>
      </n>
      <n v="40055">
        <tpls c="2">
          <tpl fld="2" item="0"/>
          <tpl fld="0" item="80"/>
        </tpls>
      </n>
      <n v="5680">
        <tpls c="3">
          <tpl fld="2" item="0"/>
          <tpl fld="0" item="136"/>
          <tpl fld="1" item="1"/>
        </tpls>
      </n>
      <n v="21157">
        <tpls c="2">
          <tpl fld="2" item="0"/>
          <tpl fld="0" item="249"/>
        </tpls>
      </n>
      <m>
        <tpls c="3">
          <tpl fld="2" item="0"/>
          <tpl fld="0" item="310"/>
          <tpl fld="1" item="2"/>
        </tpls>
      </m>
      <m>
        <tpls c="3">
          <tpl fld="2" item="1"/>
          <tpl fld="0" item="369"/>
          <tpl fld="1" item="0"/>
        </tpls>
      </m>
      <m>
        <tpls c="3">
          <tpl fld="2" item="0"/>
          <tpl fld="0" item="81"/>
          <tpl fld="1" item="0"/>
        </tpls>
      </m>
      <n v="46">
        <tpls c="2">
          <tpl fld="2" item="1"/>
          <tpl fld="0" item="137"/>
        </tpls>
      </n>
      <m>
        <tpls c="3">
          <tpl fld="2" item="1"/>
          <tpl fld="0" item="250"/>
          <tpl fld="1" item="1"/>
        </tpls>
      </m>
      <n v="2980.06">
        <tpls c="3">
          <tpl fld="2" item="0"/>
          <tpl fld="0" item="383"/>
          <tpl fld="1" item="3"/>
        </tpls>
      </n>
      <n v="353">
        <tpls c="2">
          <tpl fld="2" item="1"/>
          <tpl fld="0" item="26"/>
        </tpls>
      </n>
      <m>
        <tpls c="3">
          <tpl fld="2" item="0"/>
          <tpl fld="0" item="138"/>
          <tpl fld="1" item="1"/>
        </tpls>
      </m>
      <n v="48">
        <tpls c="3">
          <tpl fld="2" item="1"/>
          <tpl fld="0" item="173"/>
          <tpl fld="1" item="3"/>
        </tpls>
      </n>
      <n v="1">
        <tpls c="2">
          <tpl fld="2" item="1"/>
          <tpl fld="0" item="343"/>
        </tpls>
      </n>
      <m>
        <tpls c="3">
          <tpl fld="2" item="1"/>
          <tpl fld="0" item="358"/>
          <tpl fld="1" item="3"/>
        </tpls>
      </m>
      <m>
        <tpls c="3">
          <tpl fld="2" item="1"/>
          <tpl fld="0" item="83"/>
          <tpl fld="1" item="2"/>
        </tpls>
      </m>
      <m>
        <tpls c="3">
          <tpl fld="2" item="1"/>
          <tpl fld="0" item="195"/>
          <tpl fld="1" item="3"/>
        </tpls>
      </m>
      <n v="1040">
        <tpls c="3">
          <tpl fld="2" item="0"/>
          <tpl fld="0" item="251"/>
          <tpl fld="1" item="1"/>
        </tpls>
      </n>
      <m>
        <tpls c="3">
          <tpl fld="2" item="0"/>
          <tpl fld="0" item="420"/>
          <tpl fld="1" item="2"/>
        </tpls>
      </m>
      <m>
        <tpls c="3">
          <tpl fld="2" item="1"/>
          <tpl fld="0" item="384"/>
          <tpl fld="1" item="3"/>
        </tpls>
      </m>
      <n v="4">
        <tpls c="3">
          <tpl fld="2" item="1"/>
          <tpl fld="0" item="84"/>
          <tpl fld="1" item="2"/>
        </tpls>
      </n>
      <m>
        <tpls c="3">
          <tpl fld="2" item="0"/>
          <tpl fld="0" item="196"/>
          <tpl fld="1" item="2"/>
        </tpls>
      </m>
      <n v="6633">
        <tpls c="3">
          <tpl fld="2" item="0"/>
          <tpl fld="0" item="252"/>
          <tpl fld="1" item="1"/>
        </tpls>
      </n>
      <n v="1193298.49">
        <tpls c="2">
          <tpl fld="2" item="0"/>
          <tpl fld="0" item="396"/>
        </tpls>
      </n>
      <m>
        <tpls c="3">
          <tpl fld="2" item="0"/>
          <tpl fld="0" item="312"/>
          <tpl fld="1" item="1"/>
        </tpls>
      </m>
      <n v="255277.22">
        <tpls c="3">
          <tpl fld="2" item="0"/>
          <tpl fld="0" item="85"/>
          <tpl fld="1" item="3"/>
        </tpls>
      </n>
      <m>
        <tpls c="3">
          <tpl fld="2" item="1"/>
          <tpl fld="0" item="197"/>
          <tpl fld="1" item="0"/>
        </tpls>
      </m>
      <n v="168">
        <tpls c="3">
          <tpl fld="2" item="1"/>
          <tpl fld="0" item="253"/>
          <tpl fld="1" item="3"/>
        </tpls>
      </n>
      <n v="48">
        <tpls c="3">
          <tpl fld="2" item="1"/>
          <tpl fld="0" item="439"/>
          <tpl fld="1" item="3"/>
        </tpls>
      </n>
      <m>
        <tpls c="3">
          <tpl fld="2" item="0"/>
          <tpl fld="0" item="30"/>
          <tpl fld="1" item="2"/>
        </tpls>
      </m>
      <m>
        <tpls c="3">
          <tpl fld="2" item="0"/>
          <tpl fld="0" item="142"/>
          <tpl fld="1" item="0"/>
        </tpls>
      </m>
      <m>
        <tpls c="3">
          <tpl fld="2" item="0"/>
          <tpl fld="0" item="68"/>
          <tpl fld="1" item="0"/>
        </tpls>
      </m>
      <m>
        <tpls c="3">
          <tpl fld="2" item="0"/>
          <tpl fld="0" item="229"/>
          <tpl fld="1" item="0"/>
        </tpls>
      </m>
      <m>
        <tpls c="3">
          <tpl fld="2" item="1"/>
          <tpl fld="0" item="313"/>
          <tpl fld="1" item="0"/>
        </tpls>
      </m>
      <m>
        <tpls c="3">
          <tpl fld="2" item="1"/>
          <tpl fld="0" item="31"/>
          <tpl fld="1" item="0"/>
        </tpls>
      </m>
      <m>
        <tpls c="3">
          <tpl fld="2" item="0"/>
          <tpl fld="0" item="87"/>
          <tpl fld="1" item="3"/>
        </tpls>
      </m>
      <m>
        <tpls c="3">
          <tpl fld="2" item="1"/>
          <tpl fld="0" item="143"/>
          <tpl fld="1" item="3"/>
        </tpls>
      </m>
      <m>
        <tpls c="3">
          <tpl fld="2" item="0"/>
          <tpl fld="0" item="199"/>
          <tpl fld="1" item="3"/>
        </tpls>
      </m>
      <n v="56">
        <tpls c="2">
          <tpl fld="2" item="1"/>
          <tpl fld="0" item="256"/>
        </tpls>
      </n>
      <n v="6">
        <tpls c="2">
          <tpl fld="2" item="1"/>
          <tpl fld="0" item="397"/>
        </tpls>
      </n>
      <n v="0">
        <tpls c="2">
          <tpl fld="2" item="1"/>
          <tpl fld="0" item="405"/>
        </tpls>
      </n>
      <n v="315295.89">
        <tpls c="3">
          <tpl fld="2" item="0"/>
          <tpl fld="0" item="409"/>
          <tpl fld="1" item="3"/>
        </tpls>
      </n>
      <m>
        <tpls c="3">
          <tpl fld="2" item="0"/>
          <tpl fld="0" item="32"/>
          <tpl fld="1" item="1"/>
        </tpls>
      </m>
      <m>
        <tpls c="3">
          <tpl fld="2" item="0"/>
          <tpl fld="0" item="88"/>
          <tpl fld="1" item="0"/>
        </tpls>
      </m>
      <n v="637">
        <tpls c="3">
          <tpl fld="2" item="0"/>
          <tpl fld="0" item="88"/>
          <tpl fld="1" item="1"/>
        </tpls>
      </n>
      <m>
        <tpls c="3">
          <tpl fld="2" item="0"/>
          <tpl fld="0" item="144"/>
          <tpl fld="1" item="2"/>
        </tpls>
      </m>
      <m>
        <tpls c="3">
          <tpl fld="2" item="0"/>
          <tpl fld="0" item="200"/>
          <tpl fld="1" item="0"/>
        </tpls>
      </m>
      <m>
        <tpls c="3">
          <tpl fld="2" item="1"/>
          <tpl fld="0" item="257"/>
          <tpl fld="1" item="2"/>
        </tpls>
      </m>
      <n v="1816">
        <tpls c="3">
          <tpl fld="2" item="0"/>
          <tpl fld="0" item="345"/>
          <tpl fld="1" item="1"/>
        </tpls>
      </n>
      <n v="33">
        <tpls c="3">
          <tpl fld="2" item="1"/>
          <tpl fld="0" item="345"/>
          <tpl fld="1" item="1"/>
        </tpls>
      </n>
      <m>
        <tpls c="3">
          <tpl fld="2" item="1"/>
          <tpl fld="0" item="291"/>
          <tpl fld="1" item="0"/>
        </tpls>
      </m>
      <n v="0">
        <tpls c="3">
          <tpl fld="2" item="1"/>
          <tpl fld="0" item="359"/>
          <tpl fld="1" item="1"/>
        </tpls>
      </n>
      <n v="22991.01">
        <tpls c="3">
          <tpl fld="2" item="0"/>
          <tpl fld="0" item="33"/>
          <tpl fld="1" item="3"/>
        </tpls>
      </n>
      <n v="13777">
        <tpls c="3">
          <tpl fld="2" item="0"/>
          <tpl fld="0" item="89"/>
          <tpl fld="1" item="1"/>
        </tpls>
      </n>
      <n v="1436">
        <tpls c="3">
          <tpl fld="2" item="1"/>
          <tpl fld="0" item="89"/>
          <tpl fld="1" item="3"/>
        </tpls>
      </n>
      <m>
        <tpls c="3">
          <tpl fld="2" item="1"/>
          <tpl fld="0" item="145"/>
          <tpl fld="1" item="1"/>
        </tpls>
      </m>
      <n v="56">
        <tpls c="3">
          <tpl fld="2" item="1"/>
          <tpl fld="0" item="201"/>
          <tpl fld="1" item="3"/>
        </tpls>
      </n>
      <n v="19">
        <tpls c="3">
          <tpl fld="2" item="1"/>
          <tpl fld="0" item="258"/>
          <tpl fld="1" item="1"/>
        </tpls>
      </n>
      <n v="7453">
        <tpls c="3">
          <tpl fld="2" item="0"/>
          <tpl fld="0" item="314"/>
          <tpl fld="1" item="3"/>
        </tpls>
      </n>
      <n v="7350.01">
        <tpls c="3">
          <tpl fld="2" item="0"/>
          <tpl fld="0" item="371"/>
          <tpl fld="1" item="3"/>
        </tpls>
      </n>
      <n v="160">
        <tpls c="3">
          <tpl fld="2" item="1"/>
          <tpl fld="0" item="371"/>
          <tpl fld="1" item="3"/>
        </tpls>
      </n>
      <m>
        <tpls c="3">
          <tpl fld="2" item="0"/>
          <tpl fld="0" item="412"/>
          <tpl fld="1" item="0"/>
        </tpls>
      </m>
      <n v="25">
        <tpls c="2">
          <tpl fld="2" item="1"/>
          <tpl fld="0" item="34"/>
        </tpls>
      </n>
      <n v="10">
        <tpls c="3">
          <tpl fld="2" item="0"/>
          <tpl fld="0" item="90"/>
          <tpl fld="1" item="2"/>
        </tpls>
      </n>
      <n v="430">
        <tpls c="2">
          <tpl fld="2" item="0"/>
          <tpl fld="0" item="146"/>
        </tpls>
      </n>
      <n v="221">
        <tpls c="3">
          <tpl fld="2" item="0"/>
          <tpl fld="0" item="202"/>
          <tpl fld="1" item="3"/>
        </tpls>
      </n>
      <m>
        <tpls c="3">
          <tpl fld="2" item="1"/>
          <tpl fld="0" item="124"/>
          <tpl fld="1" item="0"/>
        </tpls>
      </m>
      <m>
        <tpls c="3">
          <tpl fld="2" item="1"/>
          <tpl fld="0" item="229"/>
          <tpl fld="1" item="0"/>
        </tpls>
      </m>
      <m>
        <tpls c="3">
          <tpl fld="2" item="1"/>
          <tpl fld="0" item="203"/>
          <tpl fld="1" item="3"/>
        </tpls>
      </m>
      <m>
        <tpls c="3">
          <tpl fld="2" item="0"/>
          <tpl fld="0" item="259"/>
          <tpl fld="1" item="1"/>
        </tpls>
      </m>
      <n v="2005">
        <tpls c="3">
          <tpl fld="2" item="0"/>
          <tpl fld="0" item="346"/>
          <tpl fld="1" item="1"/>
        </tpls>
      </n>
      <m>
        <tpls c="3">
          <tpl fld="2" item="0"/>
          <tpl fld="0" item="346"/>
          <tpl fld="1" item="2"/>
        </tpls>
      </m>
      <m>
        <tpls c="3">
          <tpl fld="2" item="1"/>
          <tpl fld="0" item="360"/>
          <tpl fld="1" item="2"/>
        </tpls>
      </m>
      <n v="113">
        <tpls c="3">
          <tpl fld="2" item="1"/>
          <tpl fld="0" item="372"/>
          <tpl fld="1" item="1"/>
        </tpls>
      </n>
      <n v="0">
        <tpls c="3">
          <tpl fld="2" item="0"/>
          <tpl fld="0" item="35"/>
          <tpl fld="1" item="1"/>
        </tpls>
      </n>
      <m>
        <tpls c="3">
          <tpl fld="2" item="1"/>
          <tpl fld="0" item="91"/>
          <tpl fld="1" item="3"/>
        </tpls>
      </m>
      <n v="10">
        <tpls c="3">
          <tpl fld="2" item="0"/>
          <tpl fld="0" item="91"/>
          <tpl fld="1" item="2"/>
        </tpls>
      </n>
      <m>
        <tpls c="3">
          <tpl fld="2" item="1"/>
          <tpl fld="0" item="147"/>
          <tpl fld="1" item="2"/>
        </tpls>
      </m>
      <m>
        <tpls c="3">
          <tpl fld="2" item="0"/>
          <tpl fld="0" item="204"/>
          <tpl fld="1" item="0"/>
        </tpls>
      </m>
      <m>
        <tpls c="3">
          <tpl fld="2" item="1"/>
          <tpl fld="0" item="260"/>
          <tpl fld="1" item="3"/>
        </tpls>
      </m>
      <n v="0">
        <tpls c="3">
          <tpl fld="2" item="0"/>
          <tpl fld="0" item="426"/>
          <tpl fld="1" item="1"/>
        </tpls>
      </n>
      <m>
        <tpls c="3">
          <tpl fld="2" item="0"/>
          <tpl fld="0" item="426"/>
          <tpl fld="1" item="2"/>
        </tpls>
      </m>
      <n v="162214">
        <tpls c="3">
          <tpl fld="2" item="0"/>
          <tpl fld="0" item="386"/>
          <tpl fld="1" item="2"/>
        </tpls>
      </n>
      <n v="81">
        <tpls c="3">
          <tpl fld="2" item="1"/>
          <tpl fld="0" item="292"/>
          <tpl fld="1" item="2"/>
        </tpls>
      </n>
      <n v="229">
        <tpls c="3">
          <tpl fld="2" item="1"/>
          <tpl fld="0" item="36"/>
          <tpl fld="1" item="3"/>
        </tpls>
      </n>
      <m>
        <tpls c="3">
          <tpl fld="2" item="0"/>
          <tpl fld="0" item="92"/>
          <tpl fld="1" item="2"/>
        </tpls>
      </m>
      <m>
        <tpls c="3">
          <tpl fld="2" item="1"/>
          <tpl fld="0" item="92"/>
          <tpl fld="1" item="2"/>
        </tpls>
      </m>
      <n v="19070">
        <tpls c="2">
          <tpl fld="2" item="1"/>
          <tpl fld="0" item="148"/>
        </tpls>
      </n>
      <n v="273943.43">
        <tpls c="2">
          <tpl fld="2" item="0"/>
          <tpl fld="0" item="205"/>
        </tpls>
      </n>
      <m>
        <tpls c="3">
          <tpl fld="2" item="1"/>
          <tpl fld="0" item="0"/>
          <tpl fld="1" item="2"/>
        </tpls>
      </m>
      <m>
        <tpls c="3">
          <tpl fld="2" item="1"/>
          <tpl fld="0" item="403"/>
          <tpl fld="1" item="0"/>
        </tpls>
      </m>
      <n v="12965.44">
        <tpls c="3">
          <tpl fld="2" item="0"/>
          <tpl fld="0" item="11"/>
          <tpl fld="1" item="3"/>
        </tpls>
      </n>
      <m>
        <tpls c="3">
          <tpl fld="2" item="1"/>
          <tpl fld="0" item="415"/>
          <tpl fld="1" item="0"/>
        </tpls>
      </m>
      <n v="0">
        <tpls c="3">
          <tpl fld="2" item="0"/>
          <tpl fld="0" item="15"/>
          <tpl fld="1" item="1"/>
        </tpls>
      </n>
      <m>
        <tpls c="3">
          <tpl fld="2" item="1"/>
          <tpl fld="0" item="184"/>
          <tpl fld="1" item="1"/>
        </tpls>
      </m>
      <m>
        <tpls c="3">
          <tpl fld="2" item="1"/>
          <tpl fld="0" item="393"/>
          <tpl fld="1" item="2"/>
        </tpls>
      </m>
      <n v="656">
        <tpls c="2">
          <tpl fld="2" item="1"/>
          <tpl fld="0" item="340"/>
        </tpls>
      </n>
      <m>
        <tpls c="3">
          <tpl fld="2" item="1"/>
          <tpl fld="0" item="76"/>
          <tpl fld="1" item="2"/>
        </tpls>
      </m>
      <n v="1">
        <tpls c="3">
          <tpl fld="2" item="1"/>
          <tpl fld="0" item="424"/>
          <tpl fld="1" item="2"/>
        </tpls>
      </n>
      <m>
        <tpls c="3">
          <tpl fld="2" item="0"/>
          <tpl fld="0" item="245"/>
          <tpl fld="1" item="3"/>
        </tpls>
      </m>
      <m>
        <tpls c="3">
          <tpl fld="2" item="1"/>
          <tpl fld="0" item="134"/>
          <tpl fld="1" item="2"/>
        </tpls>
      </m>
      <m>
        <tpls c="3">
          <tpl fld="2" item="0"/>
          <tpl fld="0" item="438"/>
          <tpl fld="1" item="1"/>
        </tpls>
      </m>
      <n v="20">
        <tpls c="2">
          <tpl fld="2" item="1"/>
          <tpl fld="0" item="247"/>
        </tpls>
      </n>
      <m>
        <tpls c="3">
          <tpl fld="2" item="0"/>
          <tpl fld="0" item="394"/>
          <tpl fld="1" item="0"/>
        </tpls>
      </m>
      <m>
        <tpls c="3">
          <tpl fld="2" item="0"/>
          <tpl fld="0" item="432"/>
          <tpl fld="1" item="2"/>
        </tpls>
      </m>
      <m>
        <tpls c="3">
          <tpl fld="2" item="1"/>
          <tpl fld="0" item="79"/>
          <tpl fld="1" item="3"/>
        </tpls>
      </m>
      <n v="61">
        <tpls c="3">
          <tpl fld="2" item="0"/>
          <tpl fld="0" item="135"/>
          <tpl fld="1" item="1"/>
        </tpls>
      </n>
      <m>
        <tpls c="3">
          <tpl fld="2" item="0"/>
          <tpl fld="0" item="248"/>
          <tpl fld="1" item="3"/>
        </tpls>
      </m>
      <m>
        <tpls c="3">
          <tpl fld="2" item="1"/>
          <tpl fld="0" item="342"/>
          <tpl fld="1" item="2"/>
        </tpls>
      </m>
      <n v="3072699.91">
        <tpls c="2">
          <tpl fld="2" item="0"/>
          <tpl fld="0" item="289"/>
        </tpls>
      </n>
      <m>
        <tpls c="3">
          <tpl fld="2" item="0"/>
          <tpl fld="0" item="80"/>
          <tpl fld="1" item="2"/>
        </tpls>
      </m>
      <m>
        <tpls c="3">
          <tpl fld="2" item="1"/>
          <tpl fld="0" item="136"/>
          <tpl fld="1" item="0"/>
        </tpls>
      </m>
      <n v="52">
        <tpls c="3">
          <tpl fld="2" item="1"/>
          <tpl fld="0" item="249"/>
          <tpl fld="1" item="1"/>
        </tpls>
      </n>
      <m>
        <tpls c="3">
          <tpl fld="2" item="1"/>
          <tpl fld="0" item="310"/>
          <tpl fld="1" item="1"/>
        </tpls>
      </m>
      <m>
        <tpls c="3">
          <tpl fld="2" item="0"/>
          <tpl fld="0" item="369"/>
          <tpl fld="1" item="0"/>
        </tpls>
      </m>
      <n v="10515">
        <tpls c="2">
          <tpl fld="2" item="0"/>
          <tpl fld="0" item="81"/>
        </tpls>
      </n>
      <m>
        <tpls c="3">
          <tpl fld="2" item="0"/>
          <tpl fld="0" item="194"/>
          <tpl fld="1" item="1"/>
        </tpls>
      </m>
      <m>
        <tpls c="3">
          <tpl fld="2" item="1"/>
          <tpl fld="0" item="250"/>
          <tpl fld="1" item="0"/>
        </tpls>
      </m>
      <m>
        <tpls c="3">
          <tpl fld="2" item="1"/>
          <tpl fld="0" item="383"/>
          <tpl fld="1" item="2"/>
        </tpls>
      </m>
      <m>
        <tpls c="3">
          <tpl fld="2" item="0"/>
          <tpl fld="0" item="26"/>
          <tpl fld="1" item="2"/>
        </tpls>
      </m>
      <m>
        <tpls c="3">
          <tpl fld="2" item="0"/>
          <tpl fld="0" item="138"/>
          <tpl fld="1" item="0"/>
        </tpls>
      </m>
      <n v="20">
        <tpls c="3">
          <tpl fld="2" item="1"/>
          <tpl fld="0" item="117"/>
          <tpl fld="1" item="3"/>
        </tpls>
      </n>
      <n v="50">
        <tpls c="3">
          <tpl fld="2" item="0"/>
          <tpl fld="0" item="343"/>
          <tpl fld="1" item="2"/>
        </tpls>
      </n>
      <m>
        <tpls c="3">
          <tpl fld="2" item="0"/>
          <tpl fld="0" item="358"/>
          <tpl fld="1" item="3"/>
        </tpls>
      </m>
      <n v="56">
        <tpls c="2">
          <tpl fld="2" item="1"/>
          <tpl fld="0" item="83"/>
        </tpls>
      </n>
      <m>
        <tpls c="3">
          <tpl fld="2" item="0"/>
          <tpl fld="0" item="195"/>
          <tpl fld="1" item="1"/>
        </tpls>
      </m>
      <m>
        <tpls c="3">
          <tpl fld="2" item="0"/>
          <tpl fld="0" item="251"/>
          <tpl fld="1" item="0"/>
        </tpls>
      </m>
      <n v="0">
        <tpls c="3">
          <tpl fld="2" item="1"/>
          <tpl fld="0" item="420"/>
          <tpl fld="1" item="1"/>
        </tpls>
      </n>
      <m>
        <tpls c="3">
          <tpl fld="2" item="0"/>
          <tpl fld="0" item="384"/>
          <tpl fld="1" item="3"/>
        </tpls>
      </m>
      <n v="447">
        <tpls c="2">
          <tpl fld="2" item="1"/>
          <tpl fld="0" item="84"/>
        </tpls>
      </n>
      <m>
        <tpls c="3">
          <tpl fld="2" item="1"/>
          <tpl fld="0" item="196"/>
          <tpl fld="1" item="2"/>
        </tpls>
      </m>
      <m>
        <tpls c="3">
          <tpl fld="2" item="1"/>
          <tpl fld="0" item="252"/>
          <tpl fld="1" item="0"/>
        </tpls>
      </m>
      <n v="65210.77">
        <tpls c="3">
          <tpl fld="2" item="0"/>
          <tpl fld="0" item="396"/>
          <tpl fld="1" item="1"/>
        </tpls>
      </n>
      <m>
        <tpls c="3">
          <tpl fld="2" item="1"/>
          <tpl fld="0" item="312"/>
          <tpl fld="1" item="0"/>
        </tpls>
      </m>
      <n v="57">
        <tpls c="3">
          <tpl fld="2" item="1"/>
          <tpl fld="0" item="85"/>
          <tpl fld="1" item="2"/>
        </tpls>
      </n>
      <n v="75">
        <tpls c="3">
          <tpl fld="2" item="1"/>
          <tpl fld="0" item="197"/>
          <tpl fld="1" item="3"/>
        </tpls>
      </n>
      <n v="280">
        <tpls c="3">
          <tpl fld="2" item="0"/>
          <tpl fld="0" item="425"/>
          <tpl fld="1" item="0"/>
        </tpls>
      </n>
      <n v="2596">
        <tpls c="3">
          <tpl fld="2" item="0"/>
          <tpl fld="0" item="439"/>
          <tpl fld="1" item="3"/>
        </tpls>
      </n>
      <n v="1395">
        <tpls c="2">
          <tpl fld="2" item="0"/>
          <tpl fld="0" item="30"/>
        </tpls>
      </n>
      <m>
        <tpls c="3">
          <tpl fld="2" item="1"/>
          <tpl fld="0" item="198"/>
          <tpl fld="1" item="0"/>
        </tpls>
      </m>
      <m>
        <tpls c="3">
          <tpl fld="2" item="0"/>
          <tpl fld="0" item="305"/>
          <tpl fld="1" item="0"/>
        </tpls>
      </m>
      <m>
        <tpls c="3">
          <tpl fld="2" item="0"/>
          <tpl fld="0" item="173"/>
          <tpl fld="1" item="0"/>
        </tpls>
      </m>
      <m>
        <tpls c="3">
          <tpl fld="2" item="0"/>
          <tpl fld="0" item="433"/>
          <tpl fld="1" item="3"/>
        </tpls>
      </m>
      <m>
        <tpls c="3">
          <tpl fld="2" item="0"/>
          <tpl fld="0" item="313"/>
          <tpl fld="1" item="0"/>
        </tpls>
      </m>
      <m>
        <tpls c="3">
          <tpl fld="2" item="0"/>
          <tpl fld="0" item="31"/>
          <tpl fld="1" item="3"/>
        </tpls>
      </m>
      <n v="94">
        <tpls c="2">
          <tpl fld="2" item="1"/>
          <tpl fld="0" item="87"/>
        </tpls>
      </n>
      <n v="4">
        <tpls c="2">
          <tpl fld="2" item="1"/>
          <tpl fld="0" item="143"/>
        </tpls>
      </n>
      <n v="0">
        <tpls c="2">
          <tpl fld="2" item="1"/>
          <tpl fld="0" item="199"/>
        </tpls>
      </n>
      <n v="2059">
        <tpls c="3">
          <tpl fld="2" item="0"/>
          <tpl fld="0" item="256"/>
          <tpl fld="1" item="2"/>
        </tpls>
      </n>
      <n v="211">
        <tpls c="2">
          <tpl fld="2" item="0"/>
          <tpl fld="0" item="397"/>
        </tpls>
      </n>
      <m>
        <tpls c="3">
          <tpl fld="2" item="0"/>
          <tpl fld="0" item="405"/>
          <tpl fld="1" item="2"/>
        </tpls>
      </m>
      <n v="7">
        <tpls c="2">
          <tpl fld="2" item="1"/>
          <tpl fld="0" item="330"/>
        </tpls>
      </n>
      <n v="0">
        <tpls c="3">
          <tpl fld="2" item="1"/>
          <tpl fld="0" item="176"/>
          <tpl fld="1" item="1"/>
        </tpls>
      </n>
      <m>
        <tpls c="3">
          <tpl fld="2" item="1"/>
          <tpl fld="0" item="178"/>
          <tpl fld="1" item="2"/>
        </tpls>
      </m>
      <n v="0">
        <tpls c="2">
          <tpl fld="2" item="1"/>
          <tpl fld="0" item="415"/>
        </tpls>
      </n>
      <n v="470">
        <tpls c="2">
          <tpl fld="2" item="0"/>
          <tpl fld="0" item="127"/>
        </tpls>
      </n>
      <m>
        <tpls c="3">
          <tpl fld="2" item="0"/>
          <tpl fld="0" item="423"/>
          <tpl fld="1" item="0"/>
        </tpls>
      </m>
      <m>
        <tpls c="3">
          <tpl fld="2" item="0"/>
          <tpl fld="0" item="393"/>
          <tpl fld="1" item="2"/>
        </tpls>
      </m>
      <n v="149">
        <tpls c="2">
          <tpl fld="2" item="1"/>
          <tpl fld="0" item="19"/>
        </tpls>
      </n>
      <n v="10">
        <tpls c="2">
          <tpl fld="2" item="1"/>
          <tpl fld="0" item="132"/>
        </tpls>
      </n>
      <m>
        <tpls c="3">
          <tpl fld="2" item="0"/>
          <tpl fld="0" item="424"/>
          <tpl fld="1" item="1"/>
        </tpls>
      </m>
      <m>
        <tpls c="3">
          <tpl fld="2" item="0"/>
          <tpl fld="0" item="341"/>
          <tpl fld="1" item="0"/>
        </tpls>
      </m>
      <m>
        <tpls c="3">
          <tpl fld="2" item="0"/>
          <tpl fld="0" item="190"/>
          <tpl fld="1" item="2"/>
        </tpls>
      </m>
      <m>
        <tpls c="3">
          <tpl fld="2" item="0"/>
          <tpl fld="0" item="191"/>
          <tpl fld="1" item="0"/>
        </tpls>
      </m>
      <n v="20">
        <tpls c="3">
          <tpl fld="2" item="1"/>
          <tpl fld="0" item="247"/>
          <tpl fld="1" item="1"/>
        </tpls>
      </n>
      <m>
        <tpls c="3">
          <tpl fld="2" item="1"/>
          <tpl fld="0" item="394"/>
          <tpl fld="1" item="2"/>
        </tpls>
      </m>
      <n v="37">
        <tpls c="3">
          <tpl fld="2" item="1"/>
          <tpl fld="0" item="23"/>
          <tpl fld="1" item="1"/>
        </tpls>
      </n>
      <n v="0">
        <tpls c="2">
          <tpl fld="2" item="1"/>
          <tpl fld="0" item="79"/>
        </tpls>
      </n>
      <m>
        <tpls c="3">
          <tpl fld="2" item="0"/>
          <tpl fld="0" item="192"/>
          <tpl fld="1" item="0"/>
        </tpls>
      </m>
      <n v="45">
        <tpls c="3">
          <tpl fld="2" item="1"/>
          <tpl fld="0" item="248"/>
          <tpl fld="1" item="1"/>
        </tpls>
      </n>
      <n v="0">
        <tpls c="2">
          <tpl fld="2" item="0"/>
          <tpl fld="0" item="342"/>
        </tpls>
      </n>
      <m>
        <tpls c="3">
          <tpl fld="2" item="0"/>
          <tpl fld="0" item="24"/>
          <tpl fld="1" item="0"/>
        </tpls>
      </m>
      <n v="235">
        <tpls c="2">
          <tpl fld="2" item="1"/>
          <tpl fld="0" item="80"/>
        </tpls>
      </n>
      <n v="5212">
        <tpls c="3">
          <tpl fld="2" item="0"/>
          <tpl fld="0" item="193"/>
          <tpl fld="1" item="0"/>
        </tpls>
      </n>
      <m>
        <tpls c="3">
          <tpl fld="2" item="0"/>
          <tpl fld="0" item="249"/>
          <tpl fld="1" item="0"/>
        </tpls>
      </m>
      <m>
        <tpls c="3">
          <tpl fld="2" item="1"/>
          <tpl fld="0" item="310"/>
          <tpl fld="1" item="0"/>
        </tpls>
      </m>
      <n v="369842.25">
        <tpls c="3">
          <tpl fld="2" item="0"/>
          <tpl fld="0" item="25"/>
          <tpl fld="1" item="3"/>
        </tpls>
      </n>
      <n v="191">
        <tpls c="3">
          <tpl fld="2" item="1"/>
          <tpl fld="0" item="81"/>
          <tpl fld="1" item="3"/>
        </tpls>
      </n>
      <m>
        <tpls c="3">
          <tpl fld="2" item="1"/>
          <tpl fld="0" item="194"/>
          <tpl fld="1" item="0"/>
        </tpls>
      </m>
      <n v="2095.2600000000002">
        <tpls c="3">
          <tpl fld="2" item="0"/>
          <tpl fld="0" item="408"/>
          <tpl fld="1" item="3"/>
        </tpls>
      </n>
      <n v="3025.06">
        <tpls c="2">
          <tpl fld="2" item="0"/>
          <tpl fld="0" item="383"/>
        </tpls>
      </n>
      <m>
        <tpls c="3">
          <tpl fld="2" item="0"/>
          <tpl fld="0" item="82"/>
          <tpl fld="1" item="2"/>
        </tpls>
      </m>
      <n v="111">
        <tpls c="3">
          <tpl fld="2" item="1"/>
          <tpl fld="0" item="236"/>
          <tpl fld="1" item="3"/>
        </tpls>
      </n>
      <m>
        <tpls c="3">
          <tpl fld="2" item="1"/>
          <tpl fld="0" item="311"/>
          <tpl fld="1" item="1"/>
        </tpls>
      </m>
      <m>
        <tpls c="3">
          <tpl fld="2" item="1"/>
          <tpl fld="0" item="343"/>
          <tpl fld="1" item="0"/>
        </tpls>
      </m>
      <n v="2670">
        <tpls c="2">
          <tpl fld="2" item="0"/>
          <tpl fld="0" item="27"/>
        </tpls>
      </n>
      <m>
        <tpls c="3">
          <tpl fld="2" item="0"/>
          <tpl fld="0" item="83"/>
          <tpl fld="1" item="0"/>
        </tpls>
      </m>
      <n v="15">
        <tpls c="3">
          <tpl fld="2" item="1"/>
          <tpl fld="0" item="195"/>
          <tpl fld="1" item="2"/>
        </tpls>
      </n>
      <m>
        <tpls c="3">
          <tpl fld="2" item="1"/>
          <tpl fld="0" item="370"/>
          <tpl fld="1" item="2"/>
        </tpls>
      </m>
      <n v="0">
        <tpls c="3">
          <tpl fld="2" item="0"/>
          <tpl fld="0" item="420"/>
          <tpl fld="1" item="1"/>
        </tpls>
      </n>
      <n v="1052110.8700000001">
        <tpls c="3">
          <tpl fld="2" item="0"/>
          <tpl fld="0" item="28"/>
          <tpl fld="1" item="3"/>
        </tpls>
      </n>
      <m>
        <tpls c="3">
          <tpl fld="2" item="1"/>
          <tpl fld="0" item="84"/>
          <tpl fld="1" item="0"/>
        </tpls>
      </m>
      <n v="376">
        <tpls c="2">
          <tpl fld="2" item="1"/>
          <tpl fld="0" item="196"/>
        </tpls>
      </n>
      <n v="127">
        <tpls c="2">
          <tpl fld="2" item="1"/>
          <tpl fld="0" item="290"/>
        </tpls>
      </n>
      <n v="12168">
        <tpls c="3">
          <tpl fld="2" item="1"/>
          <tpl fld="0" item="396"/>
          <tpl fld="1" item="3"/>
        </tpls>
      </n>
      <n v="1575">
        <tpls c="3">
          <tpl fld="2" item="1"/>
          <tpl fld="0" item="29"/>
          <tpl fld="1" item="3"/>
        </tpls>
      </n>
      <n v="266599.21999999997">
        <tpls c="2">
          <tpl fld="2" item="0"/>
          <tpl fld="0" item="85"/>
        </tpls>
      </n>
      <m>
        <tpls c="3">
          <tpl fld="2" item="0"/>
          <tpl fld="0" item="197"/>
          <tpl fld="1" item="2"/>
        </tpls>
      </m>
      <n v="7638">
        <tpls c="3">
          <tpl fld="2" item="1"/>
          <tpl fld="0" item="425"/>
          <tpl fld="1" item="3"/>
        </tpls>
      </n>
      <m>
        <tpls c="3">
          <tpl fld="2" item="0"/>
          <tpl fld="0" item="344"/>
          <tpl fld="1" item="2"/>
        </tpls>
      </m>
      <m>
        <tpls c="3">
          <tpl fld="2" item="1"/>
          <tpl fld="0" item="86"/>
          <tpl fld="1" item="1"/>
        </tpls>
      </m>
      <n v="353">
        <tpls c="3">
          <tpl fld="2" item="0"/>
          <tpl fld="0" item="198"/>
          <tpl fld="1" item="3"/>
        </tpls>
      </n>
      <m>
        <tpls c="3">
          <tpl fld="2" item="0"/>
          <tpl fld="0" item="366"/>
          <tpl fld="1" item="0"/>
        </tpls>
      </m>
      <n v="0">
        <tpls c="2">
          <tpl fld="2" item="1"/>
          <tpl fld="0" item="255"/>
        </tpls>
      </n>
      <m>
        <tpls c="3">
          <tpl fld="2" item="1"/>
          <tpl fld="0" item="433"/>
          <tpl fld="1" item="1"/>
        </tpls>
      </m>
      <n v="2">
        <tpls c="2">
          <tpl fld="2" item="1"/>
          <tpl fld="0" item="385"/>
        </tpls>
      </n>
      <m>
        <tpls c="3">
          <tpl fld="2" item="1"/>
          <tpl fld="0" item="31"/>
          <tpl fld="1" item="3"/>
        </tpls>
      </m>
      <n v="6141.99">
        <tpls c="2">
          <tpl fld="2" item="0"/>
          <tpl fld="0" item="87"/>
        </tpls>
      </n>
      <n v="80">
        <tpls c="3">
          <tpl fld="2" item="0"/>
          <tpl fld="0" item="143"/>
          <tpl fld="1" item="2"/>
        </tpls>
      </n>
      <n v="0">
        <tpls c="2">
          <tpl fld="2" item="0"/>
          <tpl fld="0" item="199"/>
        </tpls>
      </n>
      <n v="2255">
        <tpls c="2">
          <tpl fld="2" item="0"/>
          <tpl fld="0" item="256"/>
        </tpls>
      </n>
      <n v="211">
        <tpls c="3">
          <tpl fld="2" item="0"/>
          <tpl fld="0" item="397"/>
          <tpl fld="1" item="1"/>
        </tpls>
      </n>
      <m>
        <tpls c="3">
          <tpl fld="2" item="1"/>
          <tpl fld="0" item="405"/>
          <tpl fld="1" item="0"/>
        </tpls>
      </m>
      <n v="5389">
        <tpls c="2">
          <tpl fld="2" item="1"/>
          <tpl fld="0" item="409"/>
        </tpls>
      </n>
      <m>
        <tpls c="3">
          <tpl fld="2" item="1"/>
          <tpl fld="0" item="32"/>
          <tpl fld="1" item="1"/>
        </tpls>
      </m>
      <n v="1968">
        <tpls c="3">
          <tpl fld="2" item="1"/>
          <tpl fld="0" item="88"/>
          <tpl fld="1" item="3"/>
        </tpls>
      </n>
      <m>
        <tpls c="3">
          <tpl fld="2" item="0"/>
          <tpl fld="0" item="144"/>
          <tpl fld="1" item="0"/>
        </tpls>
      </m>
      <m>
        <tpls c="3">
          <tpl fld="2" item="1"/>
          <tpl fld="0" item="144"/>
          <tpl fld="1" item="1"/>
        </tpls>
      </m>
      <n v="26360">
        <tpls c="3">
          <tpl fld="2" item="0"/>
          <tpl fld="0" item="200"/>
          <tpl fld="1" item="3"/>
        </tpls>
      </n>
      <m>
        <tpls c="3">
          <tpl fld="2" item="0"/>
          <tpl fld="0" item="257"/>
          <tpl fld="1" item="2"/>
        </tpls>
      </m>
      <n v="691">
        <tpls c="3">
          <tpl fld="2" item="1"/>
          <tpl fld="0" item="345"/>
          <tpl fld="1" item="3"/>
        </tpls>
      </n>
      <n v="386">
        <tpls c="2">
          <tpl fld="2" item="1"/>
          <tpl fld="0" item="291"/>
        </tpls>
      </n>
      <n v="349">
        <tpls c="3">
          <tpl fld="2" item="1"/>
          <tpl fld="0" item="291"/>
          <tpl fld="1" item="3"/>
        </tpls>
      </n>
      <m>
        <tpls c="3">
          <tpl fld="2" item="1"/>
          <tpl fld="0" item="359"/>
          <tpl fld="1" item="0"/>
        </tpls>
      </m>
      <n v="175">
        <tpls c="2">
          <tpl fld="2" item="1"/>
          <tpl fld="0" item="33"/>
        </tpls>
      </n>
      <n v="120577.92">
        <tpls c="2">
          <tpl fld="2" item="0"/>
          <tpl fld="0" item="89"/>
        </tpls>
      </n>
      <m>
        <tpls c="3">
          <tpl fld="2" item="0"/>
          <tpl fld="0" item="145"/>
          <tpl fld="1" item="0"/>
        </tpls>
      </m>
      <m>
        <tpls c="3">
          <tpl fld="2" item="1"/>
          <tpl fld="0" item="145"/>
          <tpl fld="1" item="0"/>
        </tpls>
      </m>
      <m>
        <tpls c="3">
          <tpl fld="2" item="1"/>
          <tpl fld="0" item="201"/>
          <tpl fld="1" item="2"/>
        </tpls>
      </m>
      <n v="66">
        <tpls c="3">
          <tpl fld="2" item="1"/>
          <tpl fld="0" item="258"/>
          <tpl fld="1" item="3"/>
        </tpls>
      </n>
      <n v="106">
        <tpls c="3">
          <tpl fld="2" item="1"/>
          <tpl fld="0" item="314"/>
          <tpl fld="1" item="3"/>
        </tpls>
      </n>
      <m>
        <tpls c="3">
          <tpl fld="2" item="1"/>
          <tpl fld="0" item="371"/>
          <tpl fld="1" item="2"/>
        </tpls>
      </m>
      <n v="193">
        <tpls c="2">
          <tpl fld="2" item="1"/>
          <tpl fld="0" item="412"/>
        </tpls>
      </n>
      <m>
        <tpls c="3">
          <tpl fld="2" item="0"/>
          <tpl fld="0" item="34"/>
          <tpl fld="1" item="1"/>
        </tpls>
      </m>
      <n v="986">
        <tpls c="2">
          <tpl fld="2" item="0"/>
          <tpl fld="0" item="34"/>
        </tpls>
      </n>
      <m>
        <tpls c="3">
          <tpl fld="2" item="1"/>
          <tpl fld="0" item="146"/>
          <tpl fld="1" item="1"/>
        </tpls>
      </m>
      <n v="16">
        <tpls c="2">
          <tpl fld="2" item="1"/>
          <tpl fld="0" item="202"/>
        </tpls>
      </n>
      <m>
        <tpls c="3">
          <tpl fld="2" item="1"/>
          <tpl fld="0" item="308"/>
          <tpl fld="1" item="0"/>
        </tpls>
      </m>
      <m>
        <tpls c="3">
          <tpl fld="2" item="1"/>
          <tpl fld="0" item="286"/>
          <tpl fld="1" item="0"/>
        </tpls>
      </m>
      <m>
        <tpls c="3">
          <tpl fld="2" item="1"/>
          <tpl fld="0" item="117"/>
          <tpl fld="1" item="0"/>
        </tpls>
      </m>
      <m>
        <tpls c="3">
          <tpl fld="2" item="1"/>
          <tpl fld="0" item="203"/>
          <tpl fld="1" item="2"/>
        </tpls>
      </m>
      <m>
        <tpls c="3">
          <tpl fld="2" item="1"/>
          <tpl fld="0" item="259"/>
          <tpl fld="1" item="3"/>
        </tpls>
      </m>
      <n v="4">
        <tpls c="3">
          <tpl fld="2" item="1"/>
          <tpl fld="0" item="346"/>
          <tpl fld="1" item="1"/>
        </tpls>
      </n>
      <n v="36157">
        <tpls c="3">
          <tpl fld="2" item="0"/>
          <tpl fld="0" item="360"/>
          <tpl fld="1" item="1"/>
        </tpls>
      </n>
      <m>
        <tpls c="3">
          <tpl fld="2" item="0"/>
          <tpl fld="0" item="360"/>
          <tpl fld="1" item="2"/>
        </tpls>
      </m>
      <m>
        <tpls c="3">
          <tpl fld="2" item="1"/>
          <tpl fld="0" item="372"/>
          <tpl fld="1" item="3"/>
        </tpls>
      </m>
      <m>
        <tpls c="3">
          <tpl fld="2" item="0"/>
          <tpl fld="0" item="35"/>
          <tpl fld="1" item="0"/>
        </tpls>
      </m>
      <m>
        <tpls c="3">
          <tpl fld="2" item="1"/>
          <tpl fld="0" item="91"/>
          <tpl fld="1" item="1"/>
        </tpls>
      </m>
      <n v="7">
        <tpls c="3">
          <tpl fld="2" item="1"/>
          <tpl fld="0" item="147"/>
          <tpl fld="1" item="1"/>
        </tpls>
      </n>
      <m>
        <tpls c="3">
          <tpl fld="2" item="0"/>
          <tpl fld="0" item="147"/>
          <tpl fld="1" item="2"/>
        </tpls>
      </m>
      <m>
        <tpls c="3">
          <tpl fld="2" item="1"/>
          <tpl fld="0" item="204"/>
          <tpl fld="1" item="2"/>
        </tpls>
      </m>
      <m>
        <tpls c="3">
          <tpl fld="2" item="0"/>
          <tpl fld="0" item="260"/>
          <tpl fld="1" item="0"/>
        </tpls>
      </m>
      <m>
        <tpls c="3">
          <tpl fld="2" item="1"/>
          <tpl fld="0" item="426"/>
          <tpl fld="1" item="0"/>
        </tpls>
      </m>
      <m>
        <tpls c="3">
          <tpl fld="2" item="1"/>
          <tpl fld="0" item="386"/>
          <tpl fld="1" item="0"/>
        </tpls>
      </m>
      <n v="592">
        <tpls c="3">
          <tpl fld="2" item="1"/>
          <tpl fld="0" item="386"/>
          <tpl fld="1" item="1"/>
        </tpls>
      </n>
      <n v="7655">
        <tpls c="3">
          <tpl fld="2" item="0"/>
          <tpl fld="0" item="292"/>
          <tpl fld="1" item="2"/>
        </tpls>
      </n>
      <m>
        <tpls c="3">
          <tpl fld="2" item="1"/>
          <tpl fld="0" item="36"/>
          <tpl fld="1" item="2"/>
        </tpls>
      </m>
      <m>
        <tpls c="3">
          <tpl fld="2" item="0"/>
          <tpl fld="0" item="92"/>
          <tpl fld="1" item="1"/>
        </tpls>
      </m>
      <n v="0">
        <tpls c="3">
          <tpl fld="2" item="1"/>
          <tpl fld="0" item="148"/>
          <tpl fld="1" item="0"/>
        </tpls>
      </n>
      <n v="2036606.27">
        <tpls c="2">
          <tpl fld="2" item="0"/>
          <tpl fld="0" item="148"/>
        </tpls>
      </n>
      <n v="29501.01">
        <tpls c="3">
          <tpl fld="2" item="0"/>
          <tpl fld="0" item="205"/>
          <tpl fld="1" item="1"/>
        </tpls>
      </n>
      <n v="125">
        <tpls c="2">
          <tpl fld="2" item="1"/>
          <tpl fld="0" item="171"/>
        </tpls>
      </n>
      <n v="0">
        <tpls c="3">
          <tpl fld="2" item="0"/>
          <tpl fld="0" item="232"/>
          <tpl fld="1" item="0"/>
        </tpls>
      </n>
      <m>
        <tpls c="3">
          <tpl fld="2" item="1"/>
          <tpl fld="0" item="366"/>
          <tpl fld="1" item="2"/>
        </tpls>
      </m>
      <m>
        <tpls c="3">
          <tpl fld="2" item="0"/>
          <tpl fld="0" item="14"/>
          <tpl fld="1" item="3"/>
        </tpls>
      </m>
      <m>
        <tpls c="3">
          <tpl fld="2" item="1"/>
          <tpl fld="0" item="183"/>
          <tpl fld="1" item="0"/>
        </tpls>
      </m>
      <m>
        <tpls c="3">
          <tpl fld="2" item="0"/>
          <tpl fld="0" item="381"/>
          <tpl fld="1" item="2"/>
        </tpls>
      </m>
      <n v="103">
        <tpls c="3">
          <tpl fld="2" item="1"/>
          <tpl fld="0" item="73"/>
          <tpl fld="1" item="3"/>
        </tpls>
      </n>
      <n v="510">
        <tpls c="3">
          <tpl fld="2" item="0"/>
          <tpl fld="0" item="19"/>
          <tpl fld="1" item="1"/>
        </tpls>
      </n>
      <n v="134">
        <tpls c="3">
          <tpl fld="2" item="1"/>
          <tpl fld="0" item="188"/>
          <tpl fld="1" item="1"/>
        </tpls>
      </n>
      <m>
        <tpls c="3">
          <tpl fld="2" item="1"/>
          <tpl fld="0" item="21"/>
          <tpl fld="1" item="0"/>
        </tpls>
      </m>
      <m>
        <tpls c="3">
          <tpl fld="2" item="0"/>
          <tpl fld="0" item="341"/>
          <tpl fld="1" item="3"/>
        </tpls>
      </m>
      <n v="0">
        <tpls c="2">
          <tpl fld="2" item="1"/>
          <tpl fld="0" item="246"/>
        </tpls>
      </n>
      <m>
        <tpls c="3">
          <tpl fld="2" item="0"/>
          <tpl fld="0" item="191"/>
          <tpl fld="1" item="3"/>
        </tpls>
      </m>
      <n v="1431">
        <tpls c="3">
          <tpl fld="2" item="0"/>
          <tpl fld="0" item="247"/>
          <tpl fld="1" item="1"/>
        </tpls>
      </n>
      <n v="37">
        <tpls c="2">
          <tpl fld="2" item="1"/>
          <tpl fld="0" item="394"/>
        </tpls>
      </n>
      <m>
        <tpls c="3">
          <tpl fld="2" item="0"/>
          <tpl fld="0" item="23"/>
          <tpl fld="1" item="0"/>
        </tpls>
      </m>
      <n v="0">
        <tpls c="3">
          <tpl fld="2" item="0"/>
          <tpl fld="0" item="79"/>
          <tpl fld="1" item="2"/>
        </tpls>
      </n>
      <m>
        <tpls c="3">
          <tpl fld="2" item="1"/>
          <tpl fld="0" item="192"/>
          <tpl fld="1" item="3"/>
        </tpls>
      </m>
      <n v="1286">
        <tpls c="3">
          <tpl fld="2" item="0"/>
          <tpl fld="0" item="248"/>
          <tpl fld="1" item="1"/>
        </tpls>
      </n>
      <n v="0">
        <tpls c="3">
          <tpl fld="2" item="1"/>
          <tpl fld="0" item="342"/>
          <tpl fld="1" item="1"/>
        </tpls>
      </n>
      <m>
        <tpls c="3">
          <tpl fld="2" item="1"/>
          <tpl fld="0" item="24"/>
          <tpl fld="1" item="0"/>
        </tpls>
      </m>
      <m>
        <tpls c="3">
          <tpl fld="2" item="1"/>
          <tpl fld="0" item="80"/>
          <tpl fld="1" item="1"/>
        </tpls>
      </m>
      <n v="19959">
        <tpls c="3">
          <tpl fld="2" item="1"/>
          <tpl fld="0" item="193"/>
          <tpl fld="1" item="3"/>
        </tpls>
      </n>
      <n v="286">
        <tpls c="3">
          <tpl fld="2" item="1"/>
          <tpl fld="0" item="249"/>
          <tpl fld="1" item="3"/>
        </tpls>
      </n>
      <m>
        <tpls c="3">
          <tpl fld="2" item="0"/>
          <tpl fld="0" item="310"/>
          <tpl fld="1" item="0"/>
        </tpls>
      </m>
      <n v="5109">
        <tpls c="3">
          <tpl fld="2" item="1"/>
          <tpl fld="0" item="25"/>
          <tpl fld="1" item="3"/>
        </tpls>
      </n>
      <n v="10487">
        <tpls c="3">
          <tpl fld="2" item="0"/>
          <tpl fld="0" item="81"/>
          <tpl fld="1" item="3"/>
        </tpls>
      </n>
      <n v="112">
        <tpls c="3">
          <tpl fld="2" item="1"/>
          <tpl fld="0" item="194"/>
          <tpl fld="1" item="3"/>
        </tpls>
      </n>
      <n v="75">
        <tpls c="2">
          <tpl fld="2" item="1"/>
          <tpl fld="0" item="408"/>
        </tpls>
      </n>
      <n v="19">
        <tpls c="3">
          <tpl fld="2" item="1"/>
          <tpl fld="0" item="395"/>
          <tpl fld="1" item="0"/>
        </tpls>
      </n>
      <m>
        <tpls c="3">
          <tpl fld="2" item="1"/>
          <tpl fld="0" item="82"/>
          <tpl fld="1" item="1"/>
        </tpls>
      </m>
      <n v="9">
        <tpls c="3">
          <tpl fld="2" item="1"/>
          <tpl fld="0" item="180"/>
          <tpl fld="1" item="3"/>
        </tpls>
      </n>
      <n v="0">
        <tpls c="3">
          <tpl fld="2" item="1"/>
          <tpl fld="0" item="311"/>
          <tpl fld="1" item="2"/>
        </tpls>
      </n>
      <m>
        <tpls c="3">
          <tpl fld="2" item="0"/>
          <tpl fld="0" item="343"/>
          <tpl fld="1" item="0"/>
        </tpls>
      </m>
      <m>
        <tpls c="3">
          <tpl fld="2" item="1"/>
          <tpl fld="0" item="27"/>
          <tpl fld="1" item="2"/>
        </tpls>
      </m>
      <m>
        <tpls c="3">
          <tpl fld="2" item="0"/>
          <tpl fld="0" item="83"/>
          <tpl fld="1" item="3"/>
        </tpls>
      </m>
      <n v="452">
        <tpls c="3">
          <tpl fld="2" item="0"/>
          <tpl fld="0" item="195"/>
          <tpl fld="1" item="2"/>
        </tpls>
      </n>
      <m>
        <tpls c="3">
          <tpl fld="2" item="0"/>
          <tpl fld="0" item="370"/>
          <tpl fld="1" item="2"/>
        </tpls>
      </m>
      <m>
        <tpls c="3">
          <tpl fld="2" item="0"/>
          <tpl fld="0" item="420"/>
          <tpl fld="1" item="0"/>
        </tpls>
      </m>
      <n v="3863">
        <tpls c="3">
          <tpl fld="2" item="1"/>
          <tpl fld="0" item="28"/>
          <tpl fld="1" item="3"/>
        </tpls>
      </n>
      <m>
        <tpls c="3">
          <tpl fld="2" item="0"/>
          <tpl fld="0" item="84"/>
          <tpl fld="1" item="0"/>
        </tpls>
      </m>
      <n v="41000">
        <tpls c="2">
          <tpl fld="2" item="0"/>
          <tpl fld="0" item="196"/>
        </tpls>
      </n>
      <m>
        <tpls c="3">
          <tpl fld="2" item="1"/>
          <tpl fld="0" item="290"/>
          <tpl fld="1" item="2"/>
        </tpls>
      </m>
      <n v="1103429.7">
        <tpls c="3">
          <tpl fld="2" item="0"/>
          <tpl fld="0" item="396"/>
          <tpl fld="1" item="3"/>
        </tpls>
      </n>
      <n v="129780.75">
        <tpls c="3">
          <tpl fld="2" item="0"/>
          <tpl fld="0" item="29"/>
          <tpl fld="1" item="3"/>
        </tpls>
      </n>
      <m>
        <tpls c="3">
          <tpl fld="2" item="0"/>
          <tpl fld="0" item="141"/>
          <tpl fld="1" item="1"/>
        </tpls>
      </m>
      <n v="4856">
        <tpls c="2">
          <tpl fld="2" item="0"/>
          <tpl fld="0" item="197"/>
        </tpls>
      </n>
      <n v="16">
        <tpls c="3">
          <tpl fld="2" item="1"/>
          <tpl fld="0" item="425"/>
          <tpl fld="1" item="2"/>
        </tpls>
      </n>
      <n v="905">
        <tpls c="3">
          <tpl fld="2" item="0"/>
          <tpl fld="0" item="344"/>
          <tpl fld="1" item="1"/>
        </tpls>
      </n>
      <m>
        <tpls c="3">
          <tpl fld="2" item="0"/>
          <tpl fld="0" item="86"/>
          <tpl fld="1" item="1"/>
        </tpls>
      </m>
      <m>
        <tpls c="3">
          <tpl fld="2" item="0"/>
          <tpl fld="0" item="198"/>
          <tpl fld="1" item="2"/>
        </tpls>
      </m>
      <m>
        <tpls c="3">
          <tpl fld="2" item="0"/>
          <tpl fld="0" item="235"/>
          <tpl fld="1" item="0"/>
        </tpls>
      </m>
      <m>
        <tpls c="3">
          <tpl fld="2" item="1"/>
          <tpl fld="0" item="255"/>
          <tpl fld="1" item="2"/>
        </tpls>
      </m>
      <m>
        <tpls c="3">
          <tpl fld="2" item="0"/>
          <tpl fld="0" item="433"/>
          <tpl fld="1" item="1"/>
        </tpls>
      </m>
      <m>
        <tpls c="3">
          <tpl fld="2" item="1"/>
          <tpl fld="0" item="385"/>
          <tpl fld="1" item="3"/>
        </tpls>
      </m>
      <m>
        <tpls c="3">
          <tpl fld="2" item="0"/>
          <tpl fld="0" item="31"/>
          <tpl fld="1" item="2"/>
        </tpls>
      </m>
      <m>
        <tpls c="3">
          <tpl fld="2" item="0"/>
          <tpl fld="0" item="87"/>
          <tpl fld="1" item="2"/>
        </tpls>
      </m>
      <n v="80">
        <tpls c="2">
          <tpl fld="2" item="0"/>
          <tpl fld="0" item="143"/>
        </tpls>
      </n>
      <n v="0">
        <tpls c="3">
          <tpl fld="2" item="0"/>
          <tpl fld="0" item="199"/>
          <tpl fld="1" item="1"/>
        </tpls>
      </n>
      <m>
        <tpls c="3">
          <tpl fld="2" item="1"/>
          <tpl fld="0" item="256"/>
          <tpl fld="1" item="0"/>
        </tpls>
      </m>
      <m>
        <tpls c="3">
          <tpl fld="2" item="1"/>
          <tpl fld="0" item="397"/>
          <tpl fld="1" item="0"/>
        </tpls>
      </m>
      <m>
        <tpls c="3">
          <tpl fld="2" item="0"/>
          <tpl fld="0" item="405"/>
          <tpl fld="1" item="0"/>
        </tpls>
      </m>
      <n v="140824">
        <tpls c="3">
          <tpl fld="2" item="0"/>
          <tpl fld="0" item="409"/>
          <tpl fld="1" item="2"/>
        </tpls>
      </n>
      <m>
        <tpls c="3">
          <tpl fld="2" item="1"/>
          <tpl fld="0" item="32"/>
          <tpl fld="1" item="0"/>
        </tpls>
      </m>
      <n v="41">
        <tpls c="3">
          <tpl fld="2" item="1"/>
          <tpl fld="0" item="88"/>
          <tpl fld="1" item="2"/>
        </tpls>
      </n>
      <n v="964">
        <tpls c="2">
          <tpl fld="2" item="1"/>
          <tpl fld="0" item="144"/>
        </tpls>
      </n>
      <n v="27">
        <tpls c="3">
          <tpl fld="2" item="1"/>
          <tpl fld="0" item="200"/>
          <tpl fld="1" item="1"/>
        </tpls>
      </n>
      <m>
        <tpls c="3">
          <tpl fld="2" item="1"/>
          <tpl fld="0" item="200"/>
          <tpl fld="1" item="2"/>
        </tpls>
      </m>
      <n v="200131.36">
        <tpls c="2">
          <tpl fld="2" item="0"/>
          <tpl fld="0" item="257"/>
        </tpls>
      </n>
      <n v="57012">
        <tpls c="3">
          <tpl fld="2" item="0"/>
          <tpl fld="0" item="345"/>
          <tpl fld="1" item="3"/>
        </tpls>
      </n>
      <n v="32281">
        <tpls c="3">
          <tpl fld="2" item="0"/>
          <tpl fld="0" item="291"/>
          <tpl fld="1" item="3"/>
        </tpls>
      </n>
      <n v="261">
        <tpls c="2">
          <tpl fld="2" item="1"/>
          <tpl fld="0" item="359"/>
        </tpls>
      </n>
      <m>
        <tpls c="3">
          <tpl fld="2" item="0"/>
          <tpl fld="0" item="359"/>
          <tpl fld="1" item="0"/>
        </tpls>
      </m>
      <m>
        <tpls c="3">
          <tpl fld="2" item="0"/>
          <tpl fld="0" item="33"/>
          <tpl fld="1" item="2"/>
        </tpls>
      </m>
      <n v="6">
        <tpls c="3">
          <tpl fld="2" item="1"/>
          <tpl fld="0" item="89"/>
          <tpl fld="1" item="2"/>
        </tpls>
      </n>
      <n v="5322">
        <tpls c="3">
          <tpl fld="2" item="0"/>
          <tpl fld="0" item="145"/>
          <tpl fld="1" item="3"/>
        </tpls>
      </n>
      <n v="3775.5">
        <tpls c="2">
          <tpl fld="2" item="0"/>
          <tpl fld="0" item="201"/>
        </tpls>
      </n>
      <n v="56">
        <tpls c="2">
          <tpl fld="2" item="1"/>
          <tpl fld="0" item="201"/>
        </tpls>
      </n>
      <n v="2954">
        <tpls c="3">
          <tpl fld="2" item="0"/>
          <tpl fld="0" item="258"/>
          <tpl fld="1" item="3"/>
        </tpls>
      </n>
      <m>
        <tpls c="3">
          <tpl fld="2" item="1"/>
          <tpl fld="0" item="314"/>
          <tpl fld="1" item="2"/>
        </tpls>
      </m>
      <m>
        <tpls c="3">
          <tpl fld="2" item="0"/>
          <tpl fld="0" item="371"/>
          <tpl fld="1" item="2"/>
        </tpls>
      </m>
      <m>
        <tpls c="3">
          <tpl fld="2" item="0"/>
          <tpl fld="0" item="412"/>
          <tpl fld="1" item="2"/>
        </tpls>
      </m>
      <m>
        <tpls c="3">
          <tpl fld="2" item="1"/>
          <tpl fld="0" item="34"/>
          <tpl fld="1" item="0"/>
        </tpls>
      </m>
      <n v="1">
        <tpls c="3">
          <tpl fld="2" item="1"/>
          <tpl fld="0" item="90"/>
          <tpl fld="1" item="2"/>
        </tpls>
      </n>
      <n v="14">
        <tpls c="3">
          <tpl fld="2" item="1"/>
          <tpl fld="0" item="146"/>
          <tpl fld="1" item="3"/>
        </tpls>
      </n>
      <n v="221">
        <tpls c="2">
          <tpl fld="2" item="0"/>
          <tpl fld="0" item="202"/>
        </tpls>
      </n>
      <m>
        <tpls c="3">
          <tpl fld="2" item="1"/>
          <tpl fld="0" item="68"/>
          <tpl fld="1" item="0"/>
        </tpls>
      </m>
      <m>
        <tpls c="3">
          <tpl fld="2" item="1"/>
          <tpl fld="0" item="61"/>
          <tpl fld="1" item="0"/>
        </tpls>
      </m>
      <m>
        <tpls c="3">
          <tpl fld="2" item="1"/>
          <tpl fld="0" item="60"/>
          <tpl fld="1" item="0"/>
        </tpls>
      </m>
      <n v="6">
        <tpls c="2">
          <tpl fld="2" item="1"/>
          <tpl fld="0" item="203"/>
        </tpls>
      </n>
      <m>
        <tpls c="3">
          <tpl fld="2" item="0"/>
          <tpl fld="0" item="259"/>
          <tpl fld="1" item="3"/>
        </tpls>
      </m>
      <m>
        <tpls c="3">
          <tpl fld="2" item="0"/>
          <tpl fld="0" item="346"/>
          <tpl fld="1" item="0"/>
        </tpls>
      </m>
      <m>
        <tpls c="3">
          <tpl fld="2" item="1"/>
          <tpl fld="0" item="360"/>
          <tpl fld="1" item="0"/>
        </tpls>
      </m>
      <n v="36157">
        <tpls c="2">
          <tpl fld="2" item="0"/>
          <tpl fld="0" item="360"/>
        </tpls>
      </n>
      <m>
        <tpls c="3">
          <tpl fld="2" item="0"/>
          <tpl fld="0" item="372"/>
          <tpl fld="1" item="3"/>
        </tpls>
      </m>
      <n v="0">
        <tpls c="2">
          <tpl fld="2" item="1"/>
          <tpl fld="0" item="35"/>
        </tpls>
      </n>
      <m>
        <tpls c="3">
          <tpl fld="2" item="1"/>
          <tpl fld="0" item="91"/>
          <tpl fld="1" item="0"/>
        </tpls>
      </m>
      <n v="413">
        <tpls c="3">
          <tpl fld="2" item="0"/>
          <tpl fld="0" item="147"/>
          <tpl fld="1" item="1"/>
        </tpls>
      </n>
      <n v="413">
        <tpls c="2">
          <tpl fld="2" item="0"/>
          <tpl fld="0" item="147"/>
        </tpls>
      </n>
      <n v="8">
        <tpls c="2">
          <tpl fld="2" item="1"/>
          <tpl fld="0" item="204"/>
        </tpls>
      </n>
      <m>
        <tpls c="3">
          <tpl fld="2" item="0"/>
          <tpl fld="0" item="260"/>
          <tpl fld="1" item="3"/>
        </tpls>
      </m>
      <m>
        <tpls c="3">
          <tpl fld="2" item="0"/>
          <tpl fld="0" item="426"/>
          <tpl fld="1" item="0"/>
        </tpls>
      </m>
      <m>
        <tpls c="3">
          <tpl fld="2" item="0"/>
          <tpl fld="0" item="386"/>
          <tpl fld="1" item="0"/>
        </tpls>
      </m>
      <n v="204990.5">
        <tpls c="3">
          <tpl fld="2" item="0"/>
          <tpl fld="0" item="386"/>
          <tpl fld="1" item="1"/>
        </tpls>
      </n>
      <n v="346598.83">
        <tpls c="2">
          <tpl fld="2" item="0"/>
          <tpl fld="0" item="292"/>
        </tpls>
      </n>
      <n v="229">
        <tpls c="2">
          <tpl fld="2" item="1"/>
          <tpl fld="0" item="36"/>
        </tpls>
      </n>
      <m>
        <tpls c="3">
          <tpl fld="2" item="0"/>
          <tpl fld="0" item="92"/>
          <tpl fld="1" item="0"/>
        </tpls>
      </m>
      <n v="56690.82">
        <tpls c="3">
          <tpl fld="2" item="0"/>
          <tpl fld="0" item="148"/>
          <tpl fld="1" item="1"/>
        </tpls>
      </n>
      <n v="747">
        <tpls c="3">
          <tpl fld="2" item="1"/>
          <tpl fld="0" item="148"/>
          <tpl fld="1" item="1"/>
        </tpls>
      </n>
      <m>
        <tpls c="3">
          <tpl fld="2" item="1"/>
          <tpl fld="0" item="205"/>
          <tpl fld="1" item="0"/>
        </tpls>
      </m>
      <n v="0">
        <tpls c="3">
          <tpl fld="2" item="1"/>
          <tpl fld="0" item="430"/>
          <tpl fld="1" item="1"/>
        </tpls>
      </n>
      <n v="194">
        <tpls c="3">
          <tpl fld="2" item="1"/>
          <tpl fld="0" item="121"/>
          <tpl fld="1" item="3"/>
        </tpls>
      </n>
      <m>
        <tpls c="3">
          <tpl fld="2" item="1"/>
          <tpl fld="0" item="123"/>
          <tpl fld="1" item="2"/>
        </tpls>
      </m>
      <n v="10">
        <tpls c="3">
          <tpl fld="2" item="1"/>
          <tpl fld="0" item="126"/>
          <tpl fld="1" item="2"/>
        </tpls>
      </n>
      <n v="0">
        <tpls c="3">
          <tpl fld="2" item="0"/>
          <tpl fld="0" item="367"/>
          <tpl fld="1" item="1"/>
        </tpls>
      </n>
      <m>
        <tpls c="3">
          <tpl fld="2" item="0"/>
          <tpl fld="0" item="129"/>
          <tpl fld="1" item="1"/>
        </tpls>
      </m>
      <m>
        <tpls c="3">
          <tpl fld="2" item="0"/>
          <tpl fld="0" item="186"/>
          <tpl fld="1" item="2"/>
        </tpls>
      </m>
      <n v="731">
        <tpls c="3">
          <tpl fld="2" item="0"/>
          <tpl fld="0" item="287"/>
          <tpl fld="1" item="1"/>
        </tpls>
      </n>
      <m>
        <tpls c="3">
          <tpl fld="2" item="0"/>
          <tpl fld="0" item="244"/>
          <tpl fld="1" item="2"/>
        </tpls>
      </m>
      <m>
        <tpls c="3">
          <tpl fld="2" item="1"/>
          <tpl fld="0" item="77"/>
          <tpl fld="1" item="0"/>
        </tpls>
      </m>
      <m>
        <tpls c="3">
          <tpl fld="2" item="1"/>
          <tpl fld="0" item="368"/>
          <tpl fld="1" item="3"/>
        </tpls>
      </m>
      <m>
        <tpls c="3">
          <tpl fld="2" item="1"/>
          <tpl fld="0" item="288"/>
          <tpl fld="1" item="0"/>
        </tpls>
      </m>
      <n v="0">
        <tpls c="2">
          <tpl fld="2" item="0"/>
          <tpl fld="0" item="191"/>
        </tpls>
      </n>
      <m>
        <tpls c="3">
          <tpl fld="2" item="0"/>
          <tpl fld="0" item="382"/>
          <tpl fld="1" item="3"/>
        </tpls>
      </m>
      <n v="4635">
        <tpls c="3">
          <tpl fld="2" item="0"/>
          <tpl fld="0" item="394"/>
          <tpl fld="1" item="1"/>
        </tpls>
      </n>
      <n v="0">
        <tpls c="3">
          <tpl fld="2" item="1"/>
          <tpl fld="0" item="23"/>
          <tpl fld="1" item="2"/>
        </tpls>
      </n>
      <m>
        <tpls c="3">
          <tpl fld="2" item="1"/>
          <tpl fld="0" item="135"/>
          <tpl fld="1" item="0"/>
        </tpls>
      </m>
      <n v="0">
        <tpls c="2">
          <tpl fld="2" item="0"/>
          <tpl fld="0" item="192"/>
        </tpls>
      </n>
      <m>
        <tpls c="3">
          <tpl fld="2" item="0"/>
          <tpl fld="0" item="404"/>
          <tpl fld="1" item="0"/>
        </tpls>
      </m>
      <m>
        <tpls c="3">
          <tpl fld="2" item="0"/>
          <tpl fld="0" item="342"/>
          <tpl fld="1" item="3"/>
        </tpls>
      </m>
      <n v="613">
        <tpls c="2">
          <tpl fld="2" item="1"/>
          <tpl fld="0" item="24"/>
        </tpls>
      </n>
      <m>
        <tpls c="3">
          <tpl fld="2" item="0"/>
          <tpl fld="0" item="136"/>
          <tpl fld="1" item="0"/>
        </tpls>
      </m>
      <n v="11357">
        <tpls c="3">
          <tpl fld="2" item="0"/>
          <tpl fld="0" item="193"/>
          <tpl fld="1" item="2"/>
        </tpls>
      </n>
      <n v="12879">
        <tpls c="3">
          <tpl fld="2" item="0"/>
          <tpl fld="0" item="357"/>
          <tpl fld="1" item="2"/>
        </tpls>
      </n>
      <n v="47">
        <tpls c="2">
          <tpl fld="2" item="1"/>
          <tpl fld="0" item="310"/>
        </tpls>
      </n>
      <n v="392319.8">
        <tpls c="2">
          <tpl fld="2" item="0"/>
          <tpl fld="0" item="25"/>
        </tpls>
      </n>
      <m>
        <tpls c="3">
          <tpl fld="2" item="0"/>
          <tpl fld="0" item="137"/>
          <tpl fld="1" item="1"/>
        </tpls>
      </m>
      <n v="6653">
        <tpls c="2">
          <tpl fld="2" item="0"/>
          <tpl fld="0" item="194"/>
        </tpls>
      </n>
      <m>
        <tpls c="3">
          <tpl fld="2" item="1"/>
          <tpl fld="0" item="408"/>
          <tpl fld="1" item="1"/>
        </tpls>
      </m>
      <n v="19">
        <tpls c="3">
          <tpl fld="2" item="1"/>
          <tpl fld="0" item="395"/>
          <tpl fld="1" item="2"/>
        </tpls>
      </n>
      <n v="5976.5">
        <tpls c="3">
          <tpl fld="2" item="0"/>
          <tpl fld="0" item="82"/>
          <tpl fld="1" item="3"/>
        </tpls>
      </n>
      <n v="80">
        <tpls c="3">
          <tpl fld="2" item="1"/>
          <tpl fld="0" item="305"/>
          <tpl fld="1" item="3"/>
        </tpls>
      </n>
      <m>
        <tpls c="3">
          <tpl fld="2" item="0"/>
          <tpl fld="0" item="311"/>
          <tpl fld="1" item="1"/>
        </tpls>
      </m>
      <n v="9">
        <tpls c="3">
          <tpl fld="2" item="1"/>
          <tpl fld="0" item="358"/>
          <tpl fld="1" item="1"/>
        </tpls>
      </n>
      <m>
        <tpls c="3">
          <tpl fld="2" item="0"/>
          <tpl fld="0" item="27"/>
          <tpl fld="1" item="0"/>
        </tpls>
      </m>
      <m>
        <tpls c="3">
          <tpl fld="2" item="1"/>
          <tpl fld="0" item="139"/>
          <tpl fld="1" item="3"/>
        </tpls>
      </m>
      <m>
        <tpls c="3">
          <tpl fld="2" item="0"/>
          <tpl fld="0" item="195"/>
          <tpl fld="1" item="3"/>
        </tpls>
      </m>
      <n v="270">
        <tpls c="2">
          <tpl fld="2" item="0"/>
          <tpl fld="0" item="370"/>
        </tpls>
      </n>
      <n v="162">
        <tpls c="2">
          <tpl fld="2" item="0"/>
          <tpl fld="0" item="384"/>
        </tpls>
      </n>
      <n v="1052715.8700000001">
        <tpls c="2">
          <tpl fld="2" item="0"/>
          <tpl fld="0" item="28"/>
        </tpls>
      </n>
      <n v="18">
        <tpls c="3">
          <tpl fld="2" item="1"/>
          <tpl fld="0" item="140"/>
          <tpl fld="1" item="0"/>
        </tpls>
      </n>
      <n v="376">
        <tpls c="3">
          <tpl fld="2" item="1"/>
          <tpl fld="0" item="196"/>
          <tpl fld="1" item="3"/>
        </tpls>
      </n>
      <n v="27">
        <tpls c="3">
          <tpl fld="2" item="1"/>
          <tpl fld="0" item="290"/>
          <tpl fld="1" item="1"/>
        </tpls>
      </n>
      <m>
        <tpls c="3">
          <tpl fld="2" item="0"/>
          <tpl fld="0" item="312"/>
          <tpl fld="1" item="0"/>
        </tpls>
      </m>
      <n v="133086.75">
        <tpls c="2">
          <tpl fld="2" item="0"/>
          <tpl fld="0" item="29"/>
        </tpls>
      </n>
      <n v="104">
        <tpls c="3">
          <tpl fld="2" item="1"/>
          <tpl fld="0" item="141"/>
          <tpl fld="1" item="3"/>
        </tpls>
      </n>
      <n v="9342">
        <tpls c="3">
          <tpl fld="2" item="0"/>
          <tpl fld="0" item="253"/>
          <tpl fld="1" item="3"/>
        </tpls>
      </n>
      <n v="8">
        <tpls c="3">
          <tpl fld="2" item="1"/>
          <tpl fld="0" item="425"/>
          <tpl fld="1" item="0"/>
        </tpls>
      </n>
      <n v="4917">
        <tpls c="3">
          <tpl fld="2" item="0"/>
          <tpl fld="0" item="344"/>
          <tpl fld="1" item="3"/>
        </tpls>
      </n>
      <n v="1142">
        <tpls c="3">
          <tpl fld="2" item="0"/>
          <tpl fld="0" item="86"/>
          <tpl fld="1" item="3"/>
        </tpls>
      </n>
      <m>
        <tpls c="3">
          <tpl fld="2" item="1"/>
          <tpl fld="0" item="254"/>
          <tpl fld="1" item="0"/>
        </tpls>
      </m>
      <m>
        <tpls c="3">
          <tpl fld="2" item="0"/>
          <tpl fld="0" item="73"/>
          <tpl fld="1" item="0"/>
        </tpls>
      </m>
      <n v="0">
        <tpls c="2">
          <tpl fld="2" item="0"/>
          <tpl fld="0" item="255"/>
        </tpls>
      </n>
      <m>
        <tpls c="3">
          <tpl fld="2" item="0"/>
          <tpl fld="0" item="313"/>
          <tpl fld="1" item="3"/>
        </tpls>
      </m>
      <n v="26">
        <tpls c="3">
          <tpl fld="2" item="0"/>
          <tpl fld="0" item="385"/>
          <tpl fld="1" item="1"/>
        </tpls>
      </n>
      <n v="1758">
        <tpls c="3">
          <tpl fld="2" item="0"/>
          <tpl fld="0" item="31"/>
          <tpl fld="1" item="1"/>
        </tpls>
      </n>
      <n v="6141.99">
        <tpls c="3">
          <tpl fld="2" item="0"/>
          <tpl fld="0" item="87"/>
          <tpl fld="1" item="1"/>
        </tpls>
      </n>
      <m>
        <tpls c="3">
          <tpl fld="2" item="0"/>
          <tpl fld="0" item="143"/>
          <tpl fld="1" item="0"/>
        </tpls>
      </m>
      <n v="10">
        <tpls c="3">
          <tpl fld="2" item="1"/>
          <tpl fld="0" item="256"/>
          <tpl fld="1" item="1"/>
        </tpls>
      </n>
      <n v="6">
        <tpls c="3">
          <tpl fld="2" item="1"/>
          <tpl fld="0" item="397"/>
          <tpl fld="1" item="1"/>
        </tpls>
      </n>
      <n v="0">
        <tpls c="3">
          <tpl fld="2" item="1"/>
          <tpl fld="0" item="405"/>
          <tpl fld="1" item="1"/>
        </tpls>
      </n>
      <n v="1429">
        <tpls c="3">
          <tpl fld="2" item="0"/>
          <tpl fld="0" item="409"/>
          <tpl fld="1" item="1"/>
        </tpls>
      </n>
      <n v="231543.12">
        <tpls c="2">
          <tpl fld="2" item="0"/>
          <tpl fld="0" item="32"/>
        </tpls>
      </n>
      <n v="1281">
        <tpls c="3">
          <tpl fld="2" item="1"/>
          <tpl fld="0" item="32"/>
          <tpl fld="1" item="3"/>
        </tpls>
      </n>
      <n v="1705">
        <tpls c="3">
          <tpl fld="2" item="0"/>
          <tpl fld="0" item="88"/>
          <tpl fld="1" item="2"/>
        </tpls>
      </n>
      <m>
        <tpls c="3">
          <tpl fld="2" item="0"/>
          <tpl fld="0" item="144"/>
          <tpl fld="1" item="1"/>
        </tpls>
      </m>
      <n v="28770">
        <tpls c="2">
          <tpl fld="2" item="0"/>
          <tpl fld="0" item="200"/>
        </tpls>
      </n>
      <n v="2571">
        <tpls c="3">
          <tpl fld="2" item="1"/>
          <tpl fld="0" item="257"/>
          <tpl fld="1" item="3"/>
        </tpls>
      </n>
      <m>
        <tpls c="3">
          <tpl fld="2" item="0"/>
          <tpl fld="0" item="257"/>
          <tpl fld="1" item="1"/>
        </tpls>
      </m>
      <n v="724">
        <tpls c="2">
          <tpl fld="2" item="1"/>
          <tpl fld="0" item="345"/>
        </tpls>
      </n>
      <n v="35345">
        <tpls c="2">
          <tpl fld="2" item="0"/>
          <tpl fld="0" item="291"/>
        </tpls>
      </n>
      <n v="22591.16">
        <tpls c="2">
          <tpl fld="2" item="0"/>
          <tpl fld="0" item="359"/>
        </tpls>
      </n>
      <m>
        <tpls c="3">
          <tpl fld="2" item="0"/>
          <tpl fld="0" item="33"/>
          <tpl fld="1" item="0"/>
        </tpls>
      </m>
      <m>
        <tpls c="3">
          <tpl fld="2" item="1"/>
          <tpl fld="0" item="33"/>
          <tpl fld="1" item="1"/>
        </tpls>
      </m>
      <n v="173">
        <tpls c="3">
          <tpl fld="2" item="1"/>
          <tpl fld="0" item="89"/>
          <tpl fld="1" item="1"/>
        </tpls>
      </n>
      <n v="105">
        <tpls c="3">
          <tpl fld="2" item="1"/>
          <tpl fld="0" item="145"/>
          <tpl fld="1" item="3"/>
        </tpls>
      </n>
      <m>
        <tpls c="3">
          <tpl fld="2" item="0"/>
          <tpl fld="0" item="201"/>
          <tpl fld="1" item="1"/>
        </tpls>
      </m>
      <n v="895">
        <tpls c="3">
          <tpl fld="2" item="0"/>
          <tpl fld="0" item="258"/>
          <tpl fld="1" item="1"/>
        </tpls>
      </n>
      <n v="85">
        <tpls c="2">
          <tpl fld="2" item="1"/>
          <tpl fld="0" item="258"/>
        </tpls>
      </n>
      <m>
        <tpls c="3">
          <tpl fld="2" item="0"/>
          <tpl fld="0" item="314"/>
          <tpl fld="1" item="2"/>
        </tpls>
      </m>
      <n v="170">
        <tpls c="2">
          <tpl fld="2" item="1"/>
          <tpl fld="0" item="371"/>
        </tpls>
      </n>
      <m>
        <tpls c="3">
          <tpl fld="2" item="1"/>
          <tpl fld="0" item="412"/>
          <tpl fld="1" item="1"/>
        </tpls>
      </m>
      <n v="25">
        <tpls c="3">
          <tpl fld="2" item="1"/>
          <tpl fld="0" item="34"/>
          <tpl fld="1" item="3"/>
        </tpls>
      </n>
      <m>
        <tpls c="3">
          <tpl fld="2" item="0"/>
          <tpl fld="0" item="90"/>
          <tpl fld="1" item="0"/>
        </tpls>
      </m>
      <m>
        <tpls c="3">
          <tpl fld="2" item="1"/>
          <tpl fld="0" item="146"/>
          <tpl fld="1" item="2"/>
        </tpls>
      </m>
      <m>
        <tpls c="3">
          <tpl fld="2" item="0"/>
          <tpl fld="0" item="202"/>
          <tpl fld="1" item="1"/>
        </tpls>
      </m>
      <m>
        <tpls c="3">
          <tpl fld="2" item="1"/>
          <tpl fld="0" item="305"/>
          <tpl fld="1" item="0"/>
        </tpls>
      </m>
      <m>
        <tpls c="3">
          <tpl fld="2" item="1"/>
          <tpl fld="0" item="352"/>
          <tpl fld="1" item="0"/>
        </tpls>
      </m>
      <n v="6">
        <tpls c="3">
          <tpl fld="2" item="1"/>
          <tpl fld="0" item="203"/>
          <tpl fld="1" item="1"/>
        </tpls>
      </n>
      <n v="1800">
        <tpls c="2">
          <tpl fld="2" item="0"/>
          <tpl fld="0" item="203"/>
        </tpls>
      </n>
      <n v="0">
        <tpls c="2">
          <tpl fld="2" item="1"/>
          <tpl fld="0" item="259"/>
        </tpls>
      </n>
      <m>
        <tpls c="3">
          <tpl fld="2" item="0"/>
          <tpl fld="0" item="346"/>
          <tpl fld="1" item="3"/>
        </tpls>
      </m>
      <m>
        <tpls c="3">
          <tpl fld="2" item="0"/>
          <tpl fld="0" item="360"/>
          <tpl fld="1" item="0"/>
        </tpls>
      </m>
      <n v="9460">
        <tpls c="3">
          <tpl fld="2" item="0"/>
          <tpl fld="0" item="372"/>
          <tpl fld="1" item="1"/>
        </tpls>
      </n>
      <n v="9460">
        <tpls c="2">
          <tpl fld="2" item="0"/>
          <tpl fld="0" item="372"/>
        </tpls>
      </n>
      <m>
        <tpls c="3">
          <tpl fld="2" item="0"/>
          <tpl fld="0" item="35"/>
          <tpl fld="1" item="3"/>
        </tpls>
      </m>
      <m>
        <tpls c="3">
          <tpl fld="2" item="0"/>
          <tpl fld="0" item="91"/>
          <tpl fld="1" item="3"/>
        </tpls>
      </m>
      <m>
        <tpls c="3">
          <tpl fld="2" item="1"/>
          <tpl fld="0" item="147"/>
          <tpl fld="1" item="0"/>
        </tpls>
      </m>
      <n v="113">
        <tpls c="3">
          <tpl fld="2" item="0"/>
          <tpl fld="0" item="204"/>
          <tpl fld="1" item="1"/>
        </tpls>
      </n>
      <n v="113">
        <tpls c="2">
          <tpl fld="2" item="0"/>
          <tpl fld="0" item="204"/>
        </tpls>
      </n>
      <n v="14">
        <tpls c="2">
          <tpl fld="2" item="1"/>
          <tpl fld="0" item="260"/>
        </tpls>
      </n>
      <m>
        <tpls c="3">
          <tpl fld="2" item="0"/>
          <tpl fld="0" item="426"/>
          <tpl fld="1" item="3"/>
        </tpls>
      </m>
      <n v="813">
        <tpls c="3">
          <tpl fld="2" item="1"/>
          <tpl fld="0" item="386"/>
          <tpl fld="1" item="3"/>
        </tpls>
      </n>
      <m>
        <tpls c="3">
          <tpl fld="2" item="1"/>
          <tpl fld="0" item="292"/>
          <tpl fld="1" item="0"/>
        </tpls>
      </m>
      <n v="9194.69">
        <tpls c="3">
          <tpl fld="2" item="0"/>
          <tpl fld="0" item="292"/>
          <tpl fld="1" item="1"/>
        </tpls>
      </n>
      <m>
        <tpls c="3">
          <tpl fld="2" item="0"/>
          <tpl fld="0" item="36"/>
          <tpl fld="1" item="1"/>
        </tpls>
      </m>
      <n v="34090.629999999997">
        <tpls c="2">
          <tpl fld="2" item="0"/>
          <tpl fld="0" item="92"/>
        </tpls>
      </n>
      <n v="17936">
        <tpls c="3">
          <tpl fld="2" item="1"/>
          <tpl fld="0" item="148"/>
          <tpl fld="1" item="3"/>
        </tpls>
      </n>
      <n v="3382">
        <tpls c="2">
          <tpl fld="2" item="1"/>
          <tpl fld="0" item="205"/>
        </tpls>
      </n>
      <m>
        <tpls c="3">
          <tpl fld="2" item="1"/>
          <tpl fld="0" item="187"/>
          <tpl fld="1" item="1"/>
        </tpls>
      </m>
      <m>
        <tpls c="3">
          <tpl fld="2" item="0"/>
          <tpl fld="0" item="23"/>
          <tpl fld="1" item="3"/>
        </tpls>
      </m>
      <n v="11500">
        <tpls c="3">
          <tpl fld="2" item="0"/>
          <tpl fld="0" item="357"/>
          <tpl fld="1" item="3"/>
        </tpls>
      </n>
      <n v="20">
        <tpls c="3">
          <tpl fld="2" item="1"/>
          <tpl fld="0" item="13"/>
          <tpl fld="1" item="3"/>
        </tpls>
      </n>
      <n v="605">
        <tpls c="3">
          <tpl fld="2" item="0"/>
          <tpl fld="0" item="28"/>
          <tpl fld="1" item="2"/>
        </tpls>
      </n>
      <n v="16397.900000000001">
        <tpls c="3">
          <tpl fld="2" item="0"/>
          <tpl fld="0" item="425"/>
          <tpl fld="1" item="1"/>
        </tpls>
      </n>
      <n v="1758">
        <tpls c="2">
          <tpl fld="2" item="0"/>
          <tpl fld="0" item="31"/>
        </tpls>
      </n>
      <n v="457548.89">
        <tpls c="2">
          <tpl fld="2" item="0"/>
          <tpl fld="0" item="409"/>
        </tpls>
      </n>
      <m>
        <tpls c="3">
          <tpl fld="2" item="0"/>
          <tpl fld="0" item="200"/>
          <tpl fld="1" item="2"/>
        </tpls>
      </m>
      <m>
        <tpls c="3">
          <tpl fld="2" item="0"/>
          <tpl fld="0" item="291"/>
          <tpl fld="1" item="2"/>
        </tpls>
      </m>
      <n v="1615">
        <tpls c="2">
          <tpl fld="2" item="1"/>
          <tpl fld="0" item="89"/>
        </tpls>
      </n>
      <m>
        <tpls c="3">
          <tpl fld="2" item="1"/>
          <tpl fld="0" item="258"/>
          <tpl fld="1" item="2"/>
        </tpls>
      </m>
      <m>
        <tpls c="3">
          <tpl fld="2" item="0"/>
          <tpl fld="0" item="34"/>
          <tpl fld="1" item="0"/>
        </tpls>
      </m>
      <m>
        <tpls c="3">
          <tpl fld="2" item="1"/>
          <tpl fld="0" item="138"/>
          <tpl fld="1" item="0"/>
        </tpls>
      </m>
      <n v="0">
        <tpls c="3">
          <tpl fld="2" item="1"/>
          <tpl fld="0" item="259"/>
          <tpl fld="1" item="2"/>
        </tpls>
      </n>
      <m>
        <tpls c="3">
          <tpl fld="2" item="0"/>
          <tpl fld="0" item="372"/>
          <tpl fld="1" item="2"/>
        </tpls>
      </m>
      <n v="8">
        <tpls c="3">
          <tpl fld="2" item="1"/>
          <tpl fld="0" item="204"/>
          <tpl fld="1" item="1"/>
        </tpls>
      </n>
      <n v="229802.31">
        <tpls c="3">
          <tpl fld="2" item="0"/>
          <tpl fld="0" item="386"/>
          <tpl fld="1" item="3"/>
        </tpls>
      </n>
      <n v="406">
        <tpls c="3">
          <tpl fld="2" item="1"/>
          <tpl fld="0" item="92"/>
          <tpl fld="1" item="3"/>
        </tpls>
      </n>
      <n v="156060.85">
        <tpls c="3">
          <tpl fld="2" item="0"/>
          <tpl fld="0" item="261"/>
          <tpl fld="1" item="3"/>
        </tpls>
      </n>
      <n v="14653">
        <tpls c="2">
          <tpl fld="2" item="0"/>
          <tpl fld="0" item="398"/>
        </tpls>
      </n>
      <n v="17435">
        <tpls c="3">
          <tpl fld="2" item="0"/>
          <tpl fld="0" item="315"/>
          <tpl fld="1" item="3"/>
        </tpls>
      </n>
      <n v="9878.01">
        <tpls c="2">
          <tpl fld="2" item="0"/>
          <tpl fld="0" item="440"/>
        </tpls>
      </n>
      <n v="22645">
        <tpls c="3">
          <tpl fld="2" item="0"/>
          <tpl fld="0" item="37"/>
          <tpl fld="1" item="3"/>
        </tpls>
      </n>
      <n v="4559">
        <tpls c="3">
          <tpl fld="2" item="0"/>
          <tpl fld="0" item="93"/>
          <tpl fld="1" item="3"/>
        </tpls>
      </n>
      <n v="2">
        <tpls c="3">
          <tpl fld="2" item="1"/>
          <tpl fld="0" item="149"/>
          <tpl fld="1" item="1"/>
        </tpls>
      </n>
      <n v="1086">
        <tpls c="3">
          <tpl fld="2" item="1"/>
          <tpl fld="0" item="206"/>
          <tpl fld="1" item="3"/>
        </tpls>
      </n>
      <m>
        <tpls c="3">
          <tpl fld="2" item="1"/>
          <tpl fld="0" item="262"/>
          <tpl fld="1" item="0"/>
        </tpls>
      </m>
      <m>
        <tpls c="3">
          <tpl fld="2" item="0"/>
          <tpl fld="0" item="347"/>
          <tpl fld="1" item="0"/>
        </tpls>
      </m>
      <n v="10984">
        <tpls c="3">
          <tpl fld="2" item="0"/>
          <tpl fld="0" item="361"/>
          <tpl fld="1" item="3"/>
        </tpls>
      </n>
      <n v="150">
        <tpls c="2">
          <tpl fld="2" item="1"/>
          <tpl fld="0" item="38"/>
        </tpls>
      </n>
      <n v="469">
        <tpls c="2">
          <tpl fld="2" item="0"/>
          <tpl fld="0" item="94"/>
        </tpls>
      </n>
      <n v="41">
        <tpls c="3">
          <tpl fld="2" item="1"/>
          <tpl fld="0" item="150"/>
          <tpl fld="1" item="3"/>
        </tpls>
      </n>
      <m>
        <tpls c="3">
          <tpl fld="2" item="1"/>
          <tpl fld="0" item="61"/>
          <tpl fld="1" item="1"/>
        </tpls>
      </m>
      <m>
        <tpls c="3">
          <tpl fld="2" item="1"/>
          <tpl fld="0" item="60"/>
          <tpl fld="1" item="1"/>
        </tpls>
      </m>
      <m>
        <tpls c="3">
          <tpl fld="2" item="0"/>
          <tpl fld="0" item="413"/>
          <tpl fld="1" item="2"/>
        </tpls>
      </m>
      <n v="7">
        <tpls c="3">
          <tpl fld="2" item="1"/>
          <tpl fld="0" item="348"/>
          <tpl fld="1" item="2"/>
        </tpls>
      </n>
      <m>
        <tpls c="3">
          <tpl fld="2" item="1"/>
          <tpl fld="0" item="39"/>
          <tpl fld="1" item="0"/>
        </tpls>
      </m>
      <m>
        <tpls c="3">
          <tpl fld="2" item="0"/>
          <tpl fld="0" item="95"/>
          <tpl fld="1" item="0"/>
        </tpls>
      </m>
      <n v="13">
        <tpls c="3">
          <tpl fld="2" item="1"/>
          <tpl fld="0" item="95"/>
          <tpl fld="1" item="1"/>
        </tpls>
      </n>
      <n v="0">
        <tpls c="2">
          <tpl fld="2" item="1"/>
          <tpl fld="0" item="151"/>
        </tpls>
      </n>
      <m>
        <tpls c="3">
          <tpl fld="2" item="1"/>
          <tpl fld="0" item="207"/>
          <tpl fld="1" item="3"/>
        </tpls>
      </m>
      <m>
        <tpls c="3">
          <tpl fld="2" item="0"/>
          <tpl fld="0" item="263"/>
          <tpl fld="1" item="0"/>
        </tpls>
      </m>
      <m>
        <tpls c="3">
          <tpl fld="2" item="1"/>
          <tpl fld="0" item="293"/>
          <tpl fld="1" item="2"/>
        </tpls>
      </m>
      <n v="0">
        <tpls c="3">
          <tpl fld="2" item="1"/>
          <tpl fld="0" item="293"/>
          <tpl fld="1" item="1"/>
        </tpls>
      </n>
      <m>
        <tpls c="3">
          <tpl fld="2" item="0"/>
          <tpl fld="0" item="362"/>
          <tpl fld="1" item="2"/>
        </tpls>
      </m>
      <m>
        <tpls c="3">
          <tpl fld="2" item="1"/>
          <tpl fld="0" item="316"/>
          <tpl fld="1" item="3"/>
        </tpls>
      </m>
      <n v="0">
        <tpls c="2">
          <tpl fld="2" item="0"/>
          <tpl fld="0" item="40"/>
        </tpls>
      </n>
      <n v="508525.01">
        <tpls c="3">
          <tpl fld="2" item="0"/>
          <tpl fld="0" item="96"/>
          <tpl fld="1" item="3"/>
        </tpls>
      </n>
      <m>
        <tpls c="3">
          <tpl fld="2" item="1"/>
          <tpl fld="0" item="96"/>
          <tpl fld="1" item="0"/>
        </tpls>
      </m>
      <m>
        <tpls c="3">
          <tpl fld="2" item="1"/>
          <tpl fld="0" item="152"/>
          <tpl fld="1" item="2"/>
        </tpls>
      </m>
      <n v="185290.03">
        <tpls c="2">
          <tpl fld="2" item="0"/>
          <tpl fld="0" item="208"/>
        </tpls>
      </n>
      <m>
        <tpls c="3">
          <tpl fld="2" item="1"/>
          <tpl fld="0" item="264"/>
          <tpl fld="1" item="2"/>
        </tpls>
      </m>
      <m>
        <tpls c="3">
          <tpl fld="2" item="1"/>
          <tpl fld="0" item="373"/>
          <tpl fld="1" item="2"/>
        </tpls>
      </m>
      <m>
        <tpls c="3">
          <tpl fld="2" item="0"/>
          <tpl fld="0" item="373"/>
          <tpl fld="1" item="0"/>
        </tpls>
      </m>
      <n v="300">
        <tpls c="3">
          <tpl fld="2" item="1"/>
          <tpl fld="0" item="416"/>
          <tpl fld="1" item="3"/>
        </tpls>
      </n>
      <n v="1355">
        <tpls c="2">
          <tpl fld="2" item="1"/>
          <tpl fld="0" item="387"/>
        </tpls>
      </n>
      <m>
        <tpls c="3">
          <tpl fld="2" item="0"/>
          <tpl fld="0" item="41"/>
          <tpl fld="1" item="0"/>
        </tpls>
      </m>
      <m>
        <tpls c="3">
          <tpl fld="2" item="0"/>
          <tpl fld="0" item="97"/>
          <tpl fld="1" item="2"/>
        </tpls>
      </m>
      <m>
        <tpls c="3">
          <tpl fld="2" item="0"/>
          <tpl fld="0" item="97"/>
          <tpl fld="1" item="0"/>
        </tpls>
      </m>
      <m>
        <tpls c="3">
          <tpl fld="2" item="1"/>
          <tpl fld="0" item="153"/>
          <tpl fld="1" item="2"/>
        </tpls>
      </m>
      <n v="154">
        <tpls c="3">
          <tpl fld="2" item="1"/>
          <tpl fld="0" item="209"/>
          <tpl fld="1" item="3"/>
        </tpls>
      </n>
      <n v="14355.82">
        <tpls c="3">
          <tpl fld="2" item="0"/>
          <tpl fld="0" item="265"/>
          <tpl fld="1" item="3"/>
        </tpls>
      </n>
      <n v="239206.58">
        <tpls c="3">
          <tpl fld="2" item="0"/>
          <tpl fld="0" item="399"/>
          <tpl fld="1" item="3"/>
        </tpls>
      </n>
      <n v="10">
        <tpls c="3">
          <tpl fld="2" item="1"/>
          <tpl fld="0" item="399"/>
          <tpl fld="1" item="0"/>
        </tpls>
      </n>
      <n v="8506.43">
        <tpls c="3">
          <tpl fld="2" item="0"/>
          <tpl fld="0" item="421"/>
          <tpl fld="1" item="3"/>
        </tpls>
      </n>
      <n v="50">
        <tpls c="3">
          <tpl fld="2" item="1"/>
          <tpl fld="0" item="294"/>
          <tpl fld="1" item="3"/>
        </tpls>
      </n>
      <m>
        <tpls c="3">
          <tpl fld="2" item="0"/>
          <tpl fld="0" item="42"/>
          <tpl fld="1" item="2"/>
        </tpls>
      </m>
      <n v="56">
        <tpls c="3">
          <tpl fld="2" item="1"/>
          <tpl fld="0" item="98"/>
          <tpl fld="1" item="1"/>
        </tpls>
      </n>
      <n v="148">
        <tpls c="2">
          <tpl fld="2" item="1"/>
          <tpl fld="0" item="154"/>
        </tpls>
      </n>
      <n v="46">
        <tpls c="3">
          <tpl fld="2" item="1"/>
          <tpl fld="0" item="210"/>
          <tpl fld="1" item="0"/>
        </tpls>
      </n>
      <n v="101">
        <tpls c="3">
          <tpl fld="2" item="0"/>
          <tpl fld="0" item="266"/>
          <tpl fld="1" item="1"/>
        </tpls>
      </n>
      <m>
        <tpls c="3">
          <tpl fld="2" item="1"/>
          <tpl fld="0" item="427"/>
          <tpl fld="1" item="1"/>
        </tpls>
      </m>
      <n v="64">
        <tpls c="2">
          <tpl fld="2" item="0"/>
          <tpl fld="0" item="427"/>
        </tpls>
      </n>
      <n v="13">
        <tpls c="2">
          <tpl fld="2" item="0"/>
          <tpl fld="0" item="61"/>
        </tpls>
      </n>
      <n v="241">
        <tpls c="2">
          <tpl fld="2" item="0"/>
          <tpl fld="0" item="308"/>
        </tpls>
      </n>
      <n v="13151">
        <tpls c="2">
          <tpl fld="2" item="0"/>
          <tpl fld="0" item="302"/>
        </tpls>
      </n>
      <m>
        <tpls c="3">
          <tpl fld="2" item="0"/>
          <tpl fld="0" item="435"/>
          <tpl fld="1" item="2"/>
        </tpls>
      </m>
      <m>
        <tpls c="3">
          <tpl fld="2" item="1"/>
          <tpl fld="0" item="406"/>
          <tpl fld="1" item="2"/>
        </tpls>
      </m>
      <m>
        <tpls c="3">
          <tpl fld="2" item="0"/>
          <tpl fld="0" item="406"/>
          <tpl fld="1" item="3"/>
        </tpls>
      </m>
      <m>
        <tpls c="3">
          <tpl fld="2" item="0"/>
          <tpl fld="0" item="43"/>
          <tpl fld="1" item="0"/>
        </tpls>
      </m>
      <m>
        <tpls c="3">
          <tpl fld="2" item="0"/>
          <tpl fld="0" item="99"/>
          <tpl fld="1" item="1"/>
        </tpls>
      </m>
      <m>
        <tpls c="3">
          <tpl fld="2" item="0"/>
          <tpl fld="0" item="155"/>
          <tpl fld="1" item="2"/>
        </tpls>
      </m>
      <n v="0">
        <tpls c="3">
          <tpl fld="2" item="1"/>
          <tpl fld="0" item="211"/>
          <tpl fld="1" item="1"/>
        </tpls>
      </n>
      <m>
        <tpls c="3">
          <tpl fld="2" item="0"/>
          <tpl fld="0" item="211"/>
          <tpl fld="1" item="3"/>
        </tpls>
      </m>
      <m>
        <tpls c="3">
          <tpl fld="2" item="0"/>
          <tpl fld="0" item="267"/>
          <tpl fld="1" item="0"/>
        </tpls>
      </m>
      <n v="460">
        <tpls c="2">
          <tpl fld="2" item="0"/>
          <tpl fld="0" item="349"/>
        </tpls>
      </n>
      <n v="1">
        <tpls c="3">
          <tpl fld="2" item="1"/>
          <tpl fld="0" item="363"/>
          <tpl fld="1" item="1"/>
        </tpls>
      </n>
      <m>
        <tpls c="3">
          <tpl fld="2" item="0"/>
          <tpl fld="0" item="374"/>
          <tpl fld="1" item="0"/>
        </tpls>
      </m>
      <m>
        <tpls c="3">
          <tpl fld="2" item="0"/>
          <tpl fld="0" item="374"/>
          <tpl fld="1" item="3"/>
        </tpls>
      </m>
      <m>
        <tpls c="3">
          <tpl fld="2" item="0"/>
          <tpl fld="0" item="44"/>
          <tpl fld="1" item="0"/>
        </tpls>
      </m>
      <m>
        <tpls c="3">
          <tpl fld="2" item="1"/>
          <tpl fld="0" item="100"/>
          <tpl fld="1" item="1"/>
        </tpls>
      </m>
      <n v="1104">
        <tpls c="3">
          <tpl fld="2" item="1"/>
          <tpl fld="0" item="156"/>
          <tpl fld="1" item="3"/>
        </tpls>
      </n>
      <m>
        <tpls c="3">
          <tpl fld="2" item="0"/>
          <tpl fld="0" item="212"/>
          <tpl fld="1" item="0"/>
        </tpls>
      </m>
      <m>
        <tpls c="3">
          <tpl fld="2" item="0"/>
          <tpl fld="0" item="212"/>
          <tpl fld="1" item="1"/>
        </tpls>
      </m>
      <m>
        <tpls c="3">
          <tpl fld="2" item="1"/>
          <tpl fld="0" item="268"/>
          <tpl fld="1" item="2"/>
        </tpls>
      </m>
      <m>
        <tpls c="3">
          <tpl fld="2" item="0"/>
          <tpl fld="0" item="295"/>
          <tpl fld="1" item="2"/>
        </tpls>
      </m>
      <n v="78">
        <tpls c="3">
          <tpl fld="2" item="1"/>
          <tpl fld="0" item="410"/>
          <tpl fld="1" item="3"/>
        </tpls>
      </n>
      <n v="229">
        <tpls c="2">
          <tpl fld="2" item="1"/>
          <tpl fld="0" item="317"/>
        </tpls>
      </n>
      <n v="229">
        <tpls c="3">
          <tpl fld="2" item="1"/>
          <tpl fld="0" item="317"/>
          <tpl fld="1" item="3"/>
        </tpls>
      </n>
      <m>
        <tpls c="3">
          <tpl fld="2" item="1"/>
          <tpl fld="0" item="45"/>
          <tpl fld="1" item="0"/>
        </tpls>
      </m>
      <n v="10013">
        <tpls c="2">
          <tpl fld="2" item="0"/>
          <tpl fld="0" item="101"/>
        </tpls>
      </n>
      <n v="1359">
        <tpls c="2">
          <tpl fld="2" item="1"/>
          <tpl fld="0" item="157"/>
        </tpls>
      </n>
      <m>
        <tpls c="3">
          <tpl fld="2" item="0"/>
          <tpl fld="0" item="213"/>
          <tpl fld="1" item="0"/>
        </tpls>
      </m>
      <m>
        <tpls c="3">
          <tpl fld="2" item="1"/>
          <tpl fld="0" item="213"/>
          <tpl fld="1" item="0"/>
        </tpls>
      </m>
      <n v="498654.58">
        <tpls c="3">
          <tpl fld="2" item="0"/>
          <tpl fld="0" item="269"/>
          <tpl fld="1" item="3"/>
        </tpls>
      </n>
      <n v="306">
        <tpls c="3">
          <tpl fld="2" item="1"/>
          <tpl fld="0" item="388"/>
          <tpl fld="1" item="3"/>
        </tpls>
      </n>
      <n v="131">
        <tpls c="3">
          <tpl fld="2" item="1"/>
          <tpl fld="0" item="400"/>
          <tpl fld="1" item="3"/>
        </tpls>
      </n>
      <n v="10961.99">
        <tpls c="2">
          <tpl fld="2" item="0"/>
          <tpl fld="0" item="414"/>
        </tpls>
      </n>
      <n v="41">
        <tpls c="3">
          <tpl fld="2" item="1"/>
          <tpl fld="0" item="46"/>
          <tpl fld="1" item="3"/>
        </tpls>
      </n>
      <m>
        <tpls c="3">
          <tpl fld="2" item="1"/>
          <tpl fld="0" item="46"/>
          <tpl fld="1" item="0"/>
        </tpls>
      </m>
      <m>
        <tpls c="3">
          <tpl fld="2" item="1"/>
          <tpl fld="0" item="102"/>
          <tpl fld="1" item="2"/>
        </tpls>
      </m>
      <n v="529">
        <tpls c="3">
          <tpl fld="2" item="1"/>
          <tpl fld="0" item="158"/>
          <tpl fld="1" item="3"/>
        </tpls>
      </n>
      <n v="307">
        <tpls c="3">
          <tpl fld="2" item="1"/>
          <tpl fld="0" item="337"/>
          <tpl fld="1" item="3"/>
        </tpls>
      </n>
      <n v="42096.42">
        <tpls c="3">
          <tpl fld="2" item="0"/>
          <tpl fld="0" item="188"/>
          <tpl fld="1" item="2"/>
        </tpls>
      </n>
      <m>
        <tpls c="3">
          <tpl fld="2" item="1"/>
          <tpl fld="0" item="135"/>
          <tpl fld="1" item="2"/>
        </tpls>
      </m>
      <m>
        <tpls c="3">
          <tpl fld="2" item="1"/>
          <tpl fld="0" item="310"/>
          <tpl fld="1" item="2"/>
        </tpls>
      </m>
      <n v="0">
        <tpls c="2">
          <tpl fld="2" item="0"/>
          <tpl fld="0" item="311"/>
        </tpls>
      </n>
      <n v="7950">
        <tpls c="3">
          <tpl fld="2" item="0"/>
          <tpl fld="0" item="140"/>
          <tpl fld="1" item="0"/>
        </tpls>
      </n>
      <n v="96">
        <tpls c="3">
          <tpl fld="2" item="1"/>
          <tpl fld="0" item="344"/>
          <tpl fld="1" item="3"/>
        </tpls>
      </n>
      <n v="94">
        <tpls c="3">
          <tpl fld="2" item="1"/>
          <tpl fld="0" item="87"/>
          <tpl fld="1" item="1"/>
        </tpls>
      </n>
      <n v="1281">
        <tpls c="2">
          <tpl fld="2" item="1"/>
          <tpl fld="0" item="32"/>
        </tpls>
      </n>
      <n v="131">
        <tpls c="3">
          <tpl fld="2" item="1"/>
          <tpl fld="0" item="200"/>
          <tpl fld="1" item="3"/>
        </tpls>
      </n>
      <m>
        <tpls c="3">
          <tpl fld="2" item="0"/>
          <tpl fld="0" item="291"/>
          <tpl fld="1" item="0"/>
        </tpls>
      </m>
      <m>
        <tpls c="3">
          <tpl fld="2" item="0"/>
          <tpl fld="0" item="145"/>
          <tpl fld="1" item="2"/>
        </tpls>
      </m>
      <n v="14">
        <tpls c="3">
          <tpl fld="2" item="1"/>
          <tpl fld="0" item="314"/>
          <tpl fld="1" item="0"/>
        </tpls>
      </n>
      <m>
        <tpls c="3">
          <tpl fld="2" item="0"/>
          <tpl fld="0" item="34"/>
          <tpl fld="1" item="2"/>
        </tpls>
      </m>
      <m>
        <tpls c="3">
          <tpl fld="2" item="1"/>
          <tpl fld="0" item="243"/>
          <tpl fld="1" item="0"/>
        </tpls>
      </m>
      <m>
        <tpls c="3">
          <tpl fld="2" item="1"/>
          <tpl fld="0" item="346"/>
          <tpl fld="1" item="0"/>
        </tpls>
      </m>
      <m>
        <tpls c="3">
          <tpl fld="2" item="1"/>
          <tpl fld="0" item="35"/>
          <tpl fld="1" item="0"/>
        </tpls>
      </m>
      <m>
        <tpls c="3">
          <tpl fld="2" item="0"/>
          <tpl fld="0" item="204"/>
          <tpl fld="1" item="3"/>
        </tpls>
      </m>
      <n v="597006.81000000006">
        <tpls c="2">
          <tpl fld="2" item="0"/>
          <tpl fld="0" item="386"/>
        </tpls>
      </n>
      <n v="406">
        <tpls c="2">
          <tpl fld="2" item="1"/>
          <tpl fld="0" item="92"/>
        </tpls>
      </n>
      <n v="0">
        <tpls c="3">
          <tpl fld="2" item="0"/>
          <tpl fld="0" item="261"/>
          <tpl fld="1" item="2"/>
        </tpls>
      </n>
      <m>
        <tpls c="3">
          <tpl fld="2" item="0"/>
          <tpl fld="0" item="398"/>
          <tpl fld="1" item="1"/>
        </tpls>
      </m>
      <n v="95">
        <tpls c="2">
          <tpl fld="2" item="1"/>
          <tpl fld="0" item="315"/>
        </tpls>
      </n>
      <n v="38">
        <tpls c="3">
          <tpl fld="2" item="1"/>
          <tpl fld="0" item="440"/>
          <tpl fld="1" item="1"/>
        </tpls>
      </n>
      <m>
        <tpls c="3">
          <tpl fld="2" item="1"/>
          <tpl fld="0" item="37"/>
          <tpl fld="1" item="2"/>
        </tpls>
      </m>
      <m>
        <tpls c="3">
          <tpl fld="2" item="1"/>
          <tpl fld="0" item="93"/>
          <tpl fld="1" item="2"/>
        </tpls>
      </m>
      <n v="37735.85">
        <tpls c="3">
          <tpl fld="2" item="0"/>
          <tpl fld="0" item="206"/>
          <tpl fld="1" item="3"/>
        </tpls>
      </n>
      <n v="4135">
        <tpls c="2">
          <tpl fld="2" item="0"/>
          <tpl fld="0" item="262"/>
        </tpls>
      </n>
      <m>
        <tpls c="3">
          <tpl fld="2" item="1"/>
          <tpl fld="0" item="434"/>
          <tpl fld="1" item="0"/>
        </tpls>
      </m>
      <n v="27">
        <tpls c="3">
          <tpl fld="2" item="1"/>
          <tpl fld="0" item="347"/>
          <tpl fld="1" item="3"/>
        </tpls>
      </n>
      <m>
        <tpls c="3">
          <tpl fld="2" item="1"/>
          <tpl fld="0" item="361"/>
          <tpl fld="1" item="2"/>
        </tpls>
      </m>
      <n v="6">
        <tpls c="3">
          <tpl fld="2" item="1"/>
          <tpl fld="0" item="38"/>
          <tpl fld="1" item="1"/>
        </tpls>
      </n>
      <m>
        <tpls c="3">
          <tpl fld="2" item="1"/>
          <tpl fld="0" item="94"/>
          <tpl fld="1" item="1"/>
        </tpls>
      </m>
      <n v="1496">
        <tpls c="3">
          <tpl fld="2" item="0"/>
          <tpl fld="0" item="150"/>
          <tpl fld="1" item="3"/>
        </tpls>
      </n>
      <n v="3">
        <tpls c="3">
          <tpl fld="2" item="1"/>
          <tpl fld="0" item="6"/>
          <tpl fld="1" item="1"/>
        </tpls>
      </n>
      <m>
        <tpls c="3">
          <tpl fld="2" item="1"/>
          <tpl fld="0" item="5"/>
          <tpl fld="1" item="1"/>
        </tpls>
      </m>
      <n v="645">
        <tpls c="2">
          <tpl fld="2" item="0"/>
          <tpl fld="0" item="413"/>
        </tpls>
      </n>
      <n v="7">
        <tpls c="2">
          <tpl fld="2" item="1"/>
          <tpl fld="0" item="348"/>
        </tpls>
      </n>
      <m>
        <tpls c="3">
          <tpl fld="2" item="0"/>
          <tpl fld="0" item="39"/>
          <tpl fld="1" item="3"/>
        </tpls>
      </m>
      <m>
        <tpls c="3">
          <tpl fld="2" item="1"/>
          <tpl fld="0" item="95"/>
          <tpl fld="1" item="3"/>
        </tpls>
      </m>
      <n v="357">
        <tpls c="3">
          <tpl fld="2" item="0"/>
          <tpl fld="0" item="95"/>
          <tpl fld="1" item="1"/>
        </tpls>
      </n>
      <m>
        <tpls c="3">
          <tpl fld="2" item="0"/>
          <tpl fld="0" item="151"/>
          <tpl fld="1" item="2"/>
        </tpls>
      </m>
      <n v="2">
        <tpls c="3">
          <tpl fld="2" item="1"/>
          <tpl fld="0" item="207"/>
          <tpl fld="1" item="2"/>
        </tpls>
      </n>
      <m>
        <tpls c="3">
          <tpl fld="2" item="1"/>
          <tpl fld="0" item="263"/>
          <tpl fld="1" item="3"/>
        </tpls>
      </m>
      <m>
        <tpls c="3">
          <tpl fld="2" item="1"/>
          <tpl fld="0" item="293"/>
          <tpl fld="1" item="0"/>
        </tpls>
      </m>
      <n v="0">
        <tpls c="3">
          <tpl fld="2" item="0"/>
          <tpl fld="0" item="293"/>
          <tpl fld="1" item="1"/>
        </tpls>
      </n>
      <n v="32">
        <tpls c="2">
          <tpl fld="2" item="0"/>
          <tpl fld="0" item="362"/>
        </tpls>
      </n>
      <n v="12">
        <tpls c="2">
          <tpl fld="2" item="1"/>
          <tpl fld="0" item="316"/>
        </tpls>
      </n>
      <m>
        <tpls c="3">
          <tpl fld="2" item="1"/>
          <tpl fld="0" item="40"/>
          <tpl fld="1" item="2"/>
        </tpls>
      </m>
      <n v="2051">
        <tpls c="3">
          <tpl fld="2" item="1"/>
          <tpl fld="0" item="96"/>
          <tpl fld="1" item="3"/>
        </tpls>
      </n>
      <m>
        <tpls c="3">
          <tpl fld="2" item="0"/>
          <tpl fld="0" item="96"/>
          <tpl fld="1" item="0"/>
        </tpls>
      </m>
      <n v="350">
        <tpls c="2">
          <tpl fld="2" item="1"/>
          <tpl fld="0" item="152"/>
        </tpls>
      </n>
      <n v="166">
        <tpls c="3">
          <tpl fld="2" item="1"/>
          <tpl fld="0" item="208"/>
          <tpl fld="1" item="1"/>
        </tpls>
      </n>
      <n v="276">
        <tpls c="3">
          <tpl fld="2" item="0"/>
          <tpl fld="0" item="264"/>
          <tpl fld="1" item="1"/>
        </tpls>
      </n>
      <n v="794">
        <tpls c="2">
          <tpl fld="2" item="1"/>
          <tpl fld="0" item="373"/>
        </tpls>
      </n>
      <n v="686">
        <tpls c="3">
          <tpl fld="2" item="1"/>
          <tpl fld="0" item="373"/>
          <tpl fld="1" item="3"/>
        </tpls>
      </n>
      <n v="39737.22">
        <tpls c="3">
          <tpl fld="2" item="0"/>
          <tpl fld="0" item="416"/>
          <tpl fld="1" item="3"/>
        </tpls>
      </n>
      <m>
        <tpls c="3">
          <tpl fld="2" item="0"/>
          <tpl fld="0" item="387"/>
          <tpl fld="1" item="2"/>
        </tpls>
      </m>
      <n v="131">
        <tpls c="3">
          <tpl fld="2" item="1"/>
          <tpl fld="0" item="41"/>
          <tpl fld="1" item="3"/>
        </tpls>
      </n>
      <m>
        <tpls c="3">
          <tpl fld="2" item="1"/>
          <tpl fld="0" item="97"/>
          <tpl fld="1" item="2"/>
        </tpls>
      </m>
      <n v="95">
        <tpls c="3">
          <tpl fld="2" item="1"/>
          <tpl fld="0" item="97"/>
          <tpl fld="1" item="3"/>
        </tpls>
      </n>
      <n v="70">
        <tpls c="2">
          <tpl fld="2" item="1"/>
          <tpl fld="0" item="153"/>
        </tpls>
      </n>
      <m>
        <tpls c="3">
          <tpl fld="2" item="1"/>
          <tpl fld="0" item="209"/>
          <tpl fld="1" item="2"/>
        </tpls>
      </m>
      <n v="15250.82">
        <tpls c="2">
          <tpl fld="2" item="0"/>
          <tpl fld="0" item="265"/>
        </tpls>
      </n>
      <n v="251515.58">
        <tpls c="2">
          <tpl fld="2" item="0"/>
          <tpl fld="0" item="399"/>
        </tpls>
      </n>
      <n v="25">
        <tpls c="3">
          <tpl fld="2" item="0"/>
          <tpl fld="0" item="421"/>
          <tpl fld="1" item="2"/>
        </tpls>
      </n>
      <n v="1">
        <tpls c="3">
          <tpl fld="2" item="1"/>
          <tpl fld="0" item="421"/>
          <tpl fld="1" item="2"/>
        </tpls>
      </n>
      <n v="2876">
        <tpls c="3">
          <tpl fld="2" item="0"/>
          <tpl fld="0" item="294"/>
          <tpl fld="1" item="3"/>
        </tpls>
      </n>
      <n v="8435.1">
        <tpls c="2">
          <tpl fld="2" item="0"/>
          <tpl fld="0" item="42"/>
        </tpls>
      </n>
      <n v="1473">
        <tpls c="3">
          <tpl fld="2" item="0"/>
          <tpl fld="0" item="98"/>
          <tpl fld="1" item="1"/>
        </tpls>
      </n>
      <m>
        <tpls c="3">
          <tpl fld="2" item="0"/>
          <tpl fld="0" item="154"/>
          <tpl fld="1" item="2"/>
        </tpls>
      </m>
      <n v="1437">
        <tpls c="3">
          <tpl fld="2" item="0"/>
          <tpl fld="0" item="210"/>
          <tpl fld="1" item="0"/>
        </tpls>
      </n>
      <n v="281">
        <tpls c="2">
          <tpl fld="2" item="1"/>
          <tpl fld="0" item="266"/>
        </tpls>
      </n>
      <m>
        <tpls c="3">
          <tpl fld="2" item="1"/>
          <tpl fld="0" item="427"/>
          <tpl fld="1" item="0"/>
        </tpls>
      </m>
      <m>
        <tpls c="3">
          <tpl fld="2" item="0"/>
          <tpl fld="0" item="427"/>
          <tpl fld="1" item="1"/>
        </tpls>
      </m>
      <n v="764">
        <tpls c="2">
          <tpl fld="2" item="0"/>
          <tpl fld="0" item="324"/>
        </tpls>
      </n>
      <n v="8079.44">
        <tpls c="2">
          <tpl fld="2" item="0"/>
          <tpl fld="0" item="355"/>
        </tpls>
      </n>
      <n v="3938">
        <tpls c="2">
          <tpl fld="2" item="0"/>
          <tpl fld="0" item="172"/>
        </tpls>
      </n>
      <n v="376">
        <tpls c="2">
          <tpl fld="2" item="0"/>
          <tpl fld="0" item="435"/>
        </tpls>
      </n>
      <n v="125">
        <tpls c="2">
          <tpl fld="2" item="1"/>
          <tpl fld="0" item="406"/>
        </tpls>
      </n>
      <n v="30112">
        <tpls c="3">
          <tpl fld="2" item="0"/>
          <tpl fld="0" item="43"/>
          <tpl fld="1" item="2"/>
        </tpls>
      </n>
      <m>
        <tpls c="3">
          <tpl fld="2" item="1"/>
          <tpl fld="0" item="43"/>
          <tpl fld="1" item="3"/>
        </tpls>
      </m>
      <m>
        <tpls c="3">
          <tpl fld="2" item="1"/>
          <tpl fld="0" item="99"/>
          <tpl fld="1" item="0"/>
        </tpls>
      </m>
      <m>
        <tpls c="3">
          <tpl fld="2" item="1"/>
          <tpl fld="0" item="155"/>
          <tpl fld="1" item="2"/>
        </tpls>
      </m>
      <n v="0">
        <tpls c="2">
          <tpl fld="2" item="1"/>
          <tpl fld="0" item="211"/>
        </tpls>
      </n>
      <m>
        <tpls c="3">
          <tpl fld="2" item="1"/>
          <tpl fld="0" item="267"/>
          <tpl fld="1" item="2"/>
        </tpls>
      </m>
      <m>
        <tpls c="3">
          <tpl fld="2" item="1"/>
          <tpl fld="0" item="267"/>
          <tpl fld="1" item="3"/>
        </tpls>
      </m>
      <n v="460">
        <tpls c="3">
          <tpl fld="2" item="0"/>
          <tpl fld="0" item="349"/>
          <tpl fld="1" item="1"/>
        </tpls>
      </n>
      <n v="1">
        <tpls c="2">
          <tpl fld="2" item="1"/>
          <tpl fld="0" item="363"/>
        </tpls>
      </n>
      <n v="75">
        <tpls c="2">
          <tpl fld="2" item="0"/>
          <tpl fld="0" item="374"/>
        </tpls>
      </n>
      <n v="138">
        <tpls c="2">
          <tpl fld="2" item="0"/>
          <tpl fld="0" item="44"/>
        </tpls>
      </n>
      <m>
        <tpls c="3">
          <tpl fld="2" item="1"/>
          <tpl fld="0" item="44"/>
          <tpl fld="1" item="3"/>
        </tpls>
      </m>
      <m>
        <tpls c="3">
          <tpl fld="2" item="1"/>
          <tpl fld="0" item="100"/>
          <tpl fld="1" item="0"/>
        </tpls>
      </m>
      <n v="6">
        <tpls c="3">
          <tpl fld="2" item="1"/>
          <tpl fld="0" item="156"/>
          <tpl fld="1" item="2"/>
        </tpls>
      </n>
      <n v="54116.28">
        <tpls c="3">
          <tpl fld="2" item="0"/>
          <tpl fld="0" item="212"/>
          <tpl fld="1" item="3"/>
        </tpls>
      </n>
      <n v="237">
        <tpls c="3">
          <tpl fld="2" item="1"/>
          <tpl fld="0" item="268"/>
          <tpl fld="1" item="3"/>
        </tpls>
      </n>
      <n v="244">
        <tpls c="2">
          <tpl fld="2" item="1"/>
          <tpl fld="0" item="268"/>
        </tpls>
      </n>
      <n v="22542">
        <tpls c="2">
          <tpl fld="2" item="0"/>
          <tpl fld="0" item="295"/>
        </tpls>
      </n>
      <n v="17482">
        <tpls c="3">
          <tpl fld="2" item="0"/>
          <tpl fld="0" item="410"/>
          <tpl fld="1" item="3"/>
        </tpls>
      </n>
      <n v="12929.35">
        <tpls c="3">
          <tpl fld="2" item="0"/>
          <tpl fld="0" item="317"/>
          <tpl fld="1" item="3"/>
        </tpls>
      </n>
      <n v="8226">
        <tpls c="2">
          <tpl fld="2" item="1"/>
          <tpl fld="0" item="45"/>
        </tpls>
      </n>
      <m>
        <tpls c="3">
          <tpl fld="2" item="0"/>
          <tpl fld="0" item="45"/>
          <tpl fld="1" item="0"/>
        </tpls>
      </m>
      <n v="119">
        <tpls c="3">
          <tpl fld="2" item="1"/>
          <tpl fld="0" item="101"/>
          <tpl fld="1" item="3"/>
        </tpls>
      </n>
      <n v="289">
        <tpls c="3">
          <tpl fld="2" item="1"/>
          <tpl fld="0" item="157"/>
          <tpl fld="1" item="1"/>
        </tpls>
      </n>
      <n v="10977">
        <tpls c="3">
          <tpl fld="2" item="0"/>
          <tpl fld="0" item="213"/>
          <tpl fld="1" item="3"/>
        </tpls>
      </n>
      <n v="334">
        <tpls c="3">
          <tpl fld="2" item="0"/>
          <tpl fld="0" item="269"/>
          <tpl fld="1" item="2"/>
        </tpls>
      </n>
      <n v="9">
        <tpls c="3">
          <tpl fld="2" item="1"/>
          <tpl fld="0" item="269"/>
          <tpl fld="1" item="2"/>
        </tpls>
      </n>
      <n v="25962.560000000001">
        <tpls c="3">
          <tpl fld="2" item="0"/>
          <tpl fld="0" item="388"/>
          <tpl fld="1" item="3"/>
        </tpls>
      </n>
      <m>
        <tpls c="3">
          <tpl fld="2" item="1"/>
          <tpl fld="0" item="400"/>
          <tpl fld="1" item="2"/>
        </tpls>
      </m>
      <m>
        <tpls c="3">
          <tpl fld="2" item="0"/>
          <tpl fld="0" item="414"/>
          <tpl fld="1" item="2"/>
        </tpls>
      </m>
      <n v="1839">
        <tpls c="3">
          <tpl fld="2" item="0"/>
          <tpl fld="0" item="46"/>
          <tpl fld="1" item="3"/>
        </tpls>
      </n>
      <m>
        <tpls c="3">
          <tpl fld="2" item="0"/>
          <tpl fld="0" item="46"/>
          <tpl fld="1" item="0"/>
        </tpls>
      </m>
      <n v="30">
        <tpls c="2">
          <tpl fld="2" item="1"/>
          <tpl fld="0" item="102"/>
        </tpls>
      </n>
      <n v="21748.31">
        <tpls c="3">
          <tpl fld="2" item="0"/>
          <tpl fld="0" item="158"/>
          <tpl fld="1" item="3"/>
        </tpls>
      </n>
      <n v="10">
        <tpls c="3">
          <tpl fld="2" item="1"/>
          <tpl fld="0" item="214"/>
          <tpl fld="1" item="3"/>
        </tpls>
      </n>
      <n v="112">
        <tpls c="2">
          <tpl fld="2" item="1"/>
          <tpl fld="0" item="270"/>
        </tpls>
      </n>
      <m>
        <tpls c="3">
          <tpl fld="2" item="1"/>
          <tpl fld="0" item="417"/>
          <tpl fld="1" item="2"/>
        </tpls>
      </m>
      <n v="183">
        <tpls c="2">
          <tpl fld="2" item="1"/>
          <tpl fld="0" item="90"/>
        </tpls>
      </n>
      <n v="2201">
        <tpls c="2">
          <tpl fld="2" item="1"/>
          <tpl fld="0" item="75"/>
        </tpls>
      </n>
      <n v="4265">
        <tpls c="2">
          <tpl fld="2" item="1"/>
          <tpl fld="0" item="74"/>
        </tpls>
      </n>
      <n v="248">
        <tpls c="2">
          <tpl fld="2" item="1"/>
          <tpl fld="0" item="380"/>
        </tpls>
      </n>
      <n v="27">
        <tpls c="3">
          <tpl fld="2" item="1"/>
          <tpl fld="0" item="428"/>
          <tpl fld="1" item="1"/>
        </tpls>
      </n>
      <m>
        <tpls c="3">
          <tpl fld="2" item="0"/>
          <tpl fld="0" item="296"/>
          <tpl fld="1" item="2"/>
        </tpls>
      </m>
      <m>
        <tpls c="3">
          <tpl fld="2" item="0"/>
          <tpl fld="0" item="441"/>
          <tpl fld="1" item="3"/>
        </tpls>
      </m>
      <n v="0">
        <tpls c="2">
          <tpl fld="2" item="1"/>
          <tpl fld="0" item="47"/>
        </tpls>
      </n>
      <m>
        <tpls c="3">
          <tpl fld="2" item="1"/>
          <tpl fld="0" item="47"/>
          <tpl fld="1" item="0"/>
        </tpls>
      </m>
      <n v="8315.01">
        <tpls c="2">
          <tpl fld="2" item="0"/>
          <tpl fld="0" item="103"/>
        </tpls>
      </n>
      <m>
        <tpls c="3">
          <tpl fld="2" item="1"/>
          <tpl fld="0" item="159"/>
          <tpl fld="1" item="2"/>
        </tpls>
      </m>
      <m>
        <tpls c="3">
          <tpl fld="2" item="0"/>
          <tpl fld="0" item="126"/>
          <tpl fld="1" item="0"/>
        </tpls>
      </m>
      <m>
        <tpls c="3">
          <tpl fld="2" item="0"/>
          <tpl fld="0" item="246"/>
          <tpl fld="1" item="2"/>
        </tpls>
      </m>
      <m>
        <tpls c="3">
          <tpl fld="2" item="1"/>
          <tpl fld="0" item="342"/>
          <tpl fld="1" item="3"/>
        </tpls>
      </m>
      <m>
        <tpls c="3">
          <tpl fld="2" item="0"/>
          <tpl fld="0" item="194"/>
          <tpl fld="1" item="2"/>
        </tpls>
      </m>
      <n v="1358">
        <tpls c="3">
          <tpl fld="2" item="0"/>
          <tpl fld="0" item="139"/>
          <tpl fld="1" item="1"/>
        </tpls>
      </n>
      <n v="118">
        <tpls c="3">
          <tpl fld="2" item="1"/>
          <tpl fld="0" item="312"/>
          <tpl fld="1" item="3"/>
        </tpls>
      </n>
      <m>
        <tpls c="3">
          <tpl fld="2" item="0"/>
          <tpl fld="0" item="411"/>
          <tpl fld="1" item="0"/>
        </tpls>
      </m>
      <m>
        <tpls c="3">
          <tpl fld="2" item="0"/>
          <tpl fld="0" item="256"/>
          <tpl fld="1" item="0"/>
        </tpls>
      </m>
      <n v="2035">
        <tpls c="2">
          <tpl fld="2" item="1"/>
          <tpl fld="0" item="88"/>
        </tpls>
      </n>
      <m>
        <tpls c="3">
          <tpl fld="2" item="1"/>
          <tpl fld="0" item="257"/>
          <tpl fld="1" item="1"/>
        </tpls>
      </m>
      <n v="261">
        <tpls c="3">
          <tpl fld="2" item="1"/>
          <tpl fld="0" item="359"/>
          <tpl fld="1" item="3"/>
        </tpls>
      </n>
      <m>
        <tpls c="3">
          <tpl fld="2" item="0"/>
          <tpl fld="0" item="201"/>
          <tpl fld="1" item="2"/>
        </tpls>
      </m>
      <n v="10">
        <tpls c="3">
          <tpl fld="2" item="1"/>
          <tpl fld="0" item="371"/>
          <tpl fld="1" item="1"/>
        </tpls>
      </n>
      <n v="430">
        <tpls c="3">
          <tpl fld="2" item="0"/>
          <tpl fld="0" item="146"/>
          <tpl fld="1" item="3"/>
        </tpls>
      </n>
      <m>
        <tpls c="3">
          <tpl fld="2" item="1"/>
          <tpl fld="0" item="203"/>
          <tpl fld="1" item="0"/>
        </tpls>
      </m>
      <n v="447">
        <tpls c="3">
          <tpl fld="2" item="1"/>
          <tpl fld="0" item="360"/>
          <tpl fld="1" item="1"/>
        </tpls>
      </n>
      <m>
        <tpls c="3">
          <tpl fld="2" item="0"/>
          <tpl fld="0" item="91"/>
          <tpl fld="1" item="0"/>
        </tpls>
      </m>
      <m>
        <tpls c="3">
          <tpl fld="2" item="1"/>
          <tpl fld="0" item="260"/>
          <tpl fld="1" item="2"/>
        </tpls>
      </m>
      <n v="139">
        <tpls c="3">
          <tpl fld="2" item="1"/>
          <tpl fld="0" item="292"/>
          <tpl fld="1" item="1"/>
        </tpls>
      </n>
      <n v="1">
        <tpls c="3">
          <tpl fld="2" item="1"/>
          <tpl fld="0" item="205"/>
          <tpl fld="1" item="2"/>
        </tpls>
      </n>
      <n v="2130">
        <tpls c="3">
          <tpl fld="2" item="0"/>
          <tpl fld="0" item="261"/>
          <tpl fld="1" item="1"/>
        </tpls>
      </n>
      <m>
        <tpls c="3">
          <tpl fld="2" item="1"/>
          <tpl fld="0" item="398"/>
          <tpl fld="1" item="2"/>
        </tpls>
      </m>
      <m>
        <tpls c="3">
          <tpl fld="2" item="0"/>
          <tpl fld="0" item="315"/>
          <tpl fld="1" item="1"/>
        </tpls>
      </m>
      <m>
        <tpls c="3">
          <tpl fld="2" item="0"/>
          <tpl fld="0" item="440"/>
          <tpl fld="1" item="0"/>
        </tpls>
      </m>
      <n v="4559">
        <tpls c="2">
          <tpl fld="2" item="0"/>
          <tpl fld="0" item="93"/>
        </tpls>
      </n>
      <m>
        <tpls c="3">
          <tpl fld="2" item="1"/>
          <tpl fld="0" item="149"/>
          <tpl fld="1" item="0"/>
        </tpls>
      </m>
      <n v="1136">
        <tpls c="3">
          <tpl fld="2" item="0"/>
          <tpl fld="0" item="206"/>
          <tpl fld="1" item="1"/>
        </tpls>
      </n>
      <m>
        <tpls c="3">
          <tpl fld="2" item="1"/>
          <tpl fld="0" item="262"/>
          <tpl fld="1" item="2"/>
        </tpls>
      </m>
      <n v="109">
        <tpls c="3">
          <tpl fld="2" item="1"/>
          <tpl fld="0" item="434"/>
          <tpl fld="1" item="3"/>
        </tpls>
      </n>
      <n v="27">
        <tpls c="2">
          <tpl fld="2" item="1"/>
          <tpl fld="0" item="347"/>
        </tpls>
      </n>
      <n v="345">
        <tpls c="3">
          <tpl fld="2" item="0"/>
          <tpl fld="0" item="361"/>
          <tpl fld="1" item="1"/>
        </tpls>
      </n>
      <m>
        <tpls c="3">
          <tpl fld="2" item="1"/>
          <tpl fld="0" item="94"/>
          <tpl fld="1" item="0"/>
        </tpls>
      </m>
      <n v="0">
        <tpls c="3">
          <tpl fld="2" item="1"/>
          <tpl fld="0" item="150"/>
          <tpl fld="1" item="2"/>
        </tpls>
      </n>
      <m>
        <tpls c="3">
          <tpl fld="2" item="1"/>
          <tpl fld="0" item="327"/>
          <tpl fld="1" item="1"/>
        </tpls>
      </m>
      <m>
        <tpls c="3">
          <tpl fld="2" item="1"/>
          <tpl fld="0" item="324"/>
          <tpl fld="1" item="1"/>
        </tpls>
      </m>
      <m>
        <tpls c="3">
          <tpl fld="2" item="0"/>
          <tpl fld="0" item="413"/>
          <tpl fld="1" item="0"/>
        </tpls>
      </m>
      <m>
        <tpls c="3">
          <tpl fld="2" item="1"/>
          <tpl fld="0" item="348"/>
          <tpl fld="1" item="3"/>
        </tpls>
      </m>
      <m>
        <tpls c="3">
          <tpl fld="2" item="1"/>
          <tpl fld="0" item="348"/>
          <tpl fld="1" item="1"/>
        </tpls>
      </m>
      <m>
        <tpls c="3">
          <tpl fld="2" item="0"/>
          <tpl fld="0" item="39"/>
          <tpl fld="1" item="2"/>
        </tpls>
      </m>
      <m>
        <tpls c="3">
          <tpl fld="2" item="1"/>
          <tpl fld="0" item="95"/>
          <tpl fld="1" item="2"/>
        </tpls>
      </m>
      <n v="0">
        <tpls c="3">
          <tpl fld="2" item="1"/>
          <tpl fld="0" item="151"/>
          <tpl fld="1" item="1"/>
        </tpls>
      </n>
      <m>
        <tpls c="3">
          <tpl fld="2" item="0"/>
          <tpl fld="0" item="207"/>
          <tpl fld="1" item="3"/>
        </tpls>
      </m>
      <n v="2">
        <tpls c="2">
          <tpl fld="2" item="0"/>
          <tpl fld="0" item="207"/>
        </tpls>
      </n>
      <m>
        <tpls c="3">
          <tpl fld="2" item="0"/>
          <tpl fld="0" item="263"/>
          <tpl fld="1" item="2"/>
        </tpls>
      </m>
      <n v="0">
        <tpls c="2">
          <tpl fld="2" item="1"/>
          <tpl fld="0" item="293"/>
        </tpls>
      </n>
      <m>
        <tpls c="3">
          <tpl fld="2" item="0"/>
          <tpl fld="0" item="362"/>
          <tpl fld="1" item="0"/>
        </tpls>
      </m>
      <m>
        <tpls c="3">
          <tpl fld="2" item="1"/>
          <tpl fld="0" item="316"/>
          <tpl fld="1" item="2"/>
        </tpls>
      </m>
      <n v="12">
        <tpls c="3">
          <tpl fld="2" item="1"/>
          <tpl fld="0" item="316"/>
          <tpl fld="1" item="1"/>
        </tpls>
      </n>
      <m>
        <tpls c="3">
          <tpl fld="2" item="1"/>
          <tpl fld="0" item="40"/>
          <tpl fld="1" item="3"/>
        </tpls>
      </m>
      <m>
        <tpls c="3">
          <tpl fld="2" item="1"/>
          <tpl fld="0" item="96"/>
          <tpl fld="1" item="2"/>
        </tpls>
      </m>
      <m>
        <tpls c="3">
          <tpl fld="2" item="0"/>
          <tpl fld="0" item="152"/>
          <tpl fld="1" item="0"/>
        </tpls>
      </m>
      <n v="21420">
        <tpls c="3">
          <tpl fld="2" item="0"/>
          <tpl fld="0" item="208"/>
          <tpl fld="1" item="2"/>
        </tpls>
      </n>
      <n v="1118">
        <tpls c="3">
          <tpl fld="2" item="1"/>
          <tpl fld="0" item="208"/>
          <tpl fld="1" item="3"/>
        </tpls>
      </n>
      <n v="343">
        <tpls c="3">
          <tpl fld="2" item="1"/>
          <tpl fld="0" item="264"/>
          <tpl fld="1" item="3"/>
        </tpls>
      </n>
      <n v="63146.34">
        <tpls c="2">
          <tpl fld="2" item="0"/>
          <tpl fld="0" item="373"/>
        </tpls>
      </n>
      <n v="45130.22">
        <tpls c="2">
          <tpl fld="2" item="0"/>
          <tpl fld="0" item="416"/>
        </tpls>
      </n>
      <n v="1215">
        <tpls c="3">
          <tpl fld="2" item="1"/>
          <tpl fld="0" item="387"/>
          <tpl fld="1" item="3"/>
        </tpls>
      </n>
      <n v="11951.48">
        <tpls c="3">
          <tpl fld="2" item="0"/>
          <tpl fld="0" item="387"/>
          <tpl fld="1" item="1"/>
        </tpls>
      </n>
      <n v="131">
        <tpls c="2">
          <tpl fld="2" item="1"/>
          <tpl fld="0" item="41"/>
        </tpls>
      </n>
      <n v="9170">
        <tpls c="3">
          <tpl fld="2" item="0"/>
          <tpl fld="0" item="97"/>
          <tpl fld="1" item="3"/>
        </tpls>
      </n>
      <m>
        <tpls c="3">
          <tpl fld="2" item="1"/>
          <tpl fld="0" item="153"/>
          <tpl fld="1" item="0"/>
        </tpls>
      </m>
      <m>
        <tpls c="3">
          <tpl fld="2" item="0"/>
          <tpl fld="0" item="209"/>
          <tpl fld="1" item="1"/>
        </tpls>
      </m>
      <n v="12504.84">
        <tpls c="2">
          <tpl fld="2" item="0"/>
          <tpl fld="0" item="209"/>
        </tpls>
      </n>
      <n v="25">
        <tpls c="3">
          <tpl fld="2" item="1"/>
          <tpl fld="0" item="265"/>
          <tpl fld="1" item="1"/>
        </tpls>
      </n>
      <n v="0">
        <tpls c="3">
          <tpl fld="2" item="1"/>
          <tpl fld="0" item="399"/>
          <tpl fld="1" item="2"/>
        </tpls>
      </n>
      <n v="9351.43">
        <tpls c="2">
          <tpl fld="2" item="0"/>
          <tpl fld="0" item="421"/>
        </tpls>
      </n>
      <n v="10">
        <tpls c="3">
          <tpl fld="2" item="0"/>
          <tpl fld="0" item="294"/>
          <tpl fld="1" item="1"/>
        </tpls>
      </n>
      <n v="230">
        <tpls c="3">
          <tpl fld="2" item="1"/>
          <tpl fld="0" item="42"/>
          <tpl fld="1" item="3"/>
        </tpls>
      </n>
      <n v="11">
        <tpls c="3">
          <tpl fld="2" item="1"/>
          <tpl fld="0" item="98"/>
          <tpl fld="1" item="2"/>
        </tpls>
      </n>
      <n v="1036">
        <tpls c="3">
          <tpl fld="2" item="1"/>
          <tpl fld="0" item="98"/>
          <tpl fld="1" item="3"/>
        </tpls>
      </n>
      <n v="301">
        <tpls c="3">
          <tpl fld="2" item="0"/>
          <tpl fld="0" item="154"/>
          <tpl fld="1" item="1"/>
        </tpls>
      </n>
      <n v="595">
        <tpls c="3">
          <tpl fld="2" item="0"/>
          <tpl fld="0" item="210"/>
          <tpl fld="1" item="2"/>
        </tpls>
      </n>
      <n v="268">
        <tpls c="3">
          <tpl fld="2" item="1"/>
          <tpl fld="0" item="266"/>
          <tpl fld="1" item="3"/>
        </tpls>
      </n>
      <n v="64">
        <tpls c="3">
          <tpl fld="2" item="0"/>
          <tpl fld="0" item="427"/>
          <tpl fld="1" item="3"/>
        </tpls>
      </n>
      <n v="423.99">
        <tpls c="2">
          <tpl fld="2" item="0"/>
          <tpl fld="0" item="6"/>
        </tpls>
      </n>
      <n v="103957.56">
        <tpls c="2">
          <tpl fld="2" item="0"/>
          <tpl fld="0" item="116"/>
        </tpls>
      </n>
      <n v="1216">
        <tpls c="2">
          <tpl fld="2" item="0"/>
          <tpl fld="0" item="187"/>
        </tpls>
      </n>
      <n v="5985">
        <tpls c="2">
          <tpl fld="2" item="0"/>
          <tpl fld="0" item="4"/>
        </tpls>
      </n>
      <m>
        <tpls c="3">
          <tpl fld="2" item="0"/>
          <tpl fld="0" item="435"/>
          <tpl fld="1" item="0"/>
        </tpls>
      </m>
      <n v="207741">
        <tpls c="3">
          <tpl fld="2" item="0"/>
          <tpl fld="0" item="406"/>
          <tpl fld="1" item="1"/>
        </tpls>
      </n>
      <n v="67">
        <tpls c="3">
          <tpl fld="2" item="1"/>
          <tpl fld="0" item="43"/>
          <tpl fld="1" item="2"/>
        </tpls>
      </n>
      <m>
        <tpls c="3">
          <tpl fld="2" item="1"/>
          <tpl fld="0" item="99"/>
          <tpl fld="1" item="1"/>
        </tpls>
      </m>
      <m>
        <tpls c="3">
          <tpl fld="2" item="0"/>
          <tpl fld="0" item="99"/>
          <tpl fld="1" item="3"/>
        </tpls>
      </m>
      <m>
        <tpls c="3">
          <tpl fld="2" item="1"/>
          <tpl fld="0" item="155"/>
          <tpl fld="1" item="0"/>
        </tpls>
      </m>
      <n v="0">
        <tpls c="2">
          <tpl fld="2" item="0"/>
          <tpl fld="0" item="211"/>
        </tpls>
      </n>
      <n v="46">
        <tpls c="3">
          <tpl fld="2" item="1"/>
          <tpl fld="0" item="267"/>
          <tpl fld="1" item="1"/>
        </tpls>
      </n>
      <m>
        <tpls c="3">
          <tpl fld="2" item="0"/>
          <tpl fld="0" item="349"/>
          <tpl fld="1" item="2"/>
        </tpls>
      </m>
      <m>
        <tpls c="3">
          <tpl fld="2" item="0"/>
          <tpl fld="0" item="349"/>
          <tpl fld="1" item="3"/>
        </tpls>
      </m>
      <m>
        <tpls c="3">
          <tpl fld="2" item="0"/>
          <tpl fld="0" item="363"/>
          <tpl fld="1" item="0"/>
        </tpls>
      </m>
      <n v="3">
        <tpls c="3">
          <tpl fld="2" item="1"/>
          <tpl fld="0" item="374"/>
          <tpl fld="1" item="1"/>
        </tpls>
      </n>
      <m>
        <tpls c="3">
          <tpl fld="2" item="1"/>
          <tpl fld="0" item="44"/>
          <tpl fld="1" item="2"/>
        </tpls>
      </m>
      <m>
        <tpls c="3">
          <tpl fld="2" item="0"/>
          <tpl fld="0" item="100"/>
          <tpl fld="1" item="2"/>
        </tpls>
      </m>
      <n v="972594.99">
        <tpls c="3">
          <tpl fld="2" item="0"/>
          <tpl fld="0" item="100"/>
          <tpl fld="1" item="3"/>
        </tpls>
      </n>
      <n v="179147.82">
        <tpls c="2">
          <tpl fld="2" item="0"/>
          <tpl fld="0" item="156"/>
        </tpls>
      </n>
      <n v="284">
        <tpls c="2">
          <tpl fld="2" item="1"/>
          <tpl fld="0" item="212"/>
        </tpls>
      </n>
      <n v="32056.5">
        <tpls c="2">
          <tpl fld="2" item="0"/>
          <tpl fld="0" item="268"/>
        </tpls>
      </n>
      <m>
        <tpls c="3">
          <tpl fld="2" item="0"/>
          <tpl fld="0" item="295"/>
          <tpl fld="1" item="0"/>
        </tpls>
      </m>
      <m>
        <tpls c="3">
          <tpl fld="2" item="1"/>
          <tpl fld="0" item="295"/>
          <tpl fld="1" item="0"/>
        </tpls>
      </m>
      <m>
        <tpls c="3">
          <tpl fld="2" item="0"/>
          <tpl fld="0" item="410"/>
          <tpl fld="1" item="2"/>
        </tpls>
      </m>
      <m>
        <tpls c="3">
          <tpl fld="2" item="1"/>
          <tpl fld="0" item="317"/>
          <tpl fld="1" item="1"/>
        </tpls>
      </m>
      <n v="2960">
        <tpls c="3">
          <tpl fld="2" item="0"/>
          <tpl fld="0" item="45"/>
          <tpl fld="1" item="2"/>
        </tpls>
      </n>
      <m>
        <tpls c="3">
          <tpl fld="2" item="1"/>
          <tpl fld="0" item="101"/>
          <tpl fld="1" item="1"/>
        </tpls>
      </m>
      <n v="119">
        <tpls c="2">
          <tpl fld="2" item="1"/>
          <tpl fld="0" item="101"/>
        </tpls>
      </n>
      <m>
        <tpls c="3">
          <tpl fld="2" item="0"/>
          <tpl fld="0" item="157"/>
          <tpl fld="1" item="0"/>
        </tpls>
      </m>
      <m>
        <tpls c="3">
          <tpl fld="2" item="1"/>
          <tpl fld="0" item="213"/>
          <tpl fld="1" item="2"/>
        </tpls>
      </m>
      <n v="508248.41">
        <tpls c="2">
          <tpl fld="2" item="0"/>
          <tpl fld="0" item="269"/>
        </tpls>
      </n>
      <n v="27532.560000000001">
        <tpls c="2">
          <tpl fld="2" item="0"/>
          <tpl fld="0" item="388"/>
        </tpls>
      </n>
      <n v="85">
        <tpls c="3">
          <tpl fld="2" item="0"/>
          <tpl fld="0" item="400"/>
          <tpl fld="1" item="0"/>
        </tpls>
      </n>
      <n v="11290">
        <tpls c="2">
          <tpl fld="2" item="0"/>
          <tpl fld="0" item="400"/>
        </tpls>
      </n>
      <n v="184">
        <tpls c="2">
          <tpl fld="2" item="1"/>
          <tpl fld="0" item="414"/>
        </tpls>
      </n>
      <m>
        <tpls c="3">
          <tpl fld="2" item="0"/>
          <tpl fld="0" item="46"/>
          <tpl fld="1" item="2"/>
        </tpls>
      </m>
      <m>
        <tpls c="3">
          <tpl fld="2" item="1"/>
          <tpl fld="0" item="102"/>
          <tpl fld="1" item="0"/>
        </tpls>
      </m>
      <n v="16">
        <tpls c="3">
          <tpl fld="2" item="1"/>
          <tpl fld="0" item="158"/>
          <tpl fld="1" item="1"/>
        </tpls>
      </n>
      <m>
        <tpls c="3">
          <tpl fld="2" item="0"/>
          <tpl fld="0" item="335"/>
          <tpl fld="1" item="2"/>
        </tpls>
      </m>
      <n v="0">
        <tpls c="3">
          <tpl fld="2" item="0"/>
          <tpl fld="0" item="191"/>
          <tpl fld="1" item="2"/>
        </tpls>
      </n>
      <m>
        <tpls c="3">
          <tpl fld="2" item="1"/>
          <tpl fld="0" item="24"/>
          <tpl fld="1" item="2"/>
        </tpls>
      </m>
      <n v="75">
        <tpls c="3">
          <tpl fld="2" item="1"/>
          <tpl fld="0" item="408"/>
          <tpl fld="1" item="3"/>
        </tpls>
      </n>
      <m>
        <tpls c="3">
          <tpl fld="2" item="0"/>
          <tpl fld="0" item="195"/>
          <tpl fld="1" item="0"/>
        </tpls>
      </m>
      <n v="463">
        <tpls c="3">
          <tpl fld="2" item="0"/>
          <tpl fld="0" item="29"/>
          <tpl fld="1" item="2"/>
        </tpls>
      </n>
      <m>
        <tpls c="3">
          <tpl fld="2" item="0"/>
          <tpl fld="0" item="255"/>
          <tpl fld="1" item="2"/>
        </tpls>
      </m>
      <m>
        <tpls c="3">
          <tpl fld="2" item="1"/>
          <tpl fld="0" item="405"/>
          <tpl fld="1" item="2"/>
        </tpls>
      </m>
      <n v="43296">
        <tpls c="3">
          <tpl fld="2" item="0"/>
          <tpl fld="0" item="144"/>
          <tpl fld="1" item="3"/>
        </tpls>
      </n>
      <m>
        <tpls c="3">
          <tpl fld="2" item="0"/>
          <tpl fld="0" item="345"/>
          <tpl fld="1" item="0"/>
        </tpls>
      </m>
      <m>
        <tpls c="3">
          <tpl fld="2" item="1"/>
          <tpl fld="0" item="33"/>
          <tpl fld="1" item="2"/>
        </tpls>
      </m>
      <n v="3775.5">
        <tpls c="3">
          <tpl fld="2" item="0"/>
          <tpl fld="0" item="201"/>
          <tpl fld="1" item="3"/>
        </tpls>
      </n>
      <m>
        <tpls c="3">
          <tpl fld="2" item="1"/>
          <tpl fld="0" item="412"/>
          <tpl fld="1" item="2"/>
        </tpls>
      </m>
      <m>
        <tpls c="3">
          <tpl fld="2" item="0"/>
          <tpl fld="0" item="146"/>
          <tpl fld="1" item="1"/>
        </tpls>
      </m>
      <m>
        <tpls c="3">
          <tpl fld="2" item="0"/>
          <tpl fld="0" item="203"/>
          <tpl fld="1" item="3"/>
        </tpls>
      </m>
      <n v="447">
        <tpls c="2">
          <tpl fld="2" item="1"/>
          <tpl fld="0" item="360"/>
        </tpls>
      </n>
      <n v="10">
        <tpls c="2">
          <tpl fld="2" item="0"/>
          <tpl fld="0" item="91"/>
        </tpls>
      </n>
      <n v="0">
        <tpls c="3">
          <tpl fld="2" item="1"/>
          <tpl fld="0" item="426"/>
          <tpl fld="1" item="1"/>
        </tpls>
      </n>
      <n v="53771">
        <tpls c="3">
          <tpl fld="2" item="0"/>
          <tpl fld="0" item="36"/>
          <tpl fld="1" item="3"/>
        </tpls>
      </n>
      <n v="384">
        <tpls c="3">
          <tpl fld="2" item="1"/>
          <tpl fld="0" item="205"/>
          <tpl fld="1" item="1"/>
        </tpls>
      </n>
      <m>
        <tpls c="3">
          <tpl fld="2" item="1"/>
          <tpl fld="0" item="261"/>
          <tpl fld="1" item="0"/>
        </tpls>
      </m>
      <n v="79">
        <tpls c="2">
          <tpl fld="2" item="1"/>
          <tpl fld="0" item="398"/>
        </tpls>
      </n>
      <m>
        <tpls c="3">
          <tpl fld="2" item="1"/>
          <tpl fld="0" item="315"/>
          <tpl fld="1" item="0"/>
        </tpls>
      </m>
      <m>
        <tpls c="3">
          <tpl fld="2" item="0"/>
          <tpl fld="0" item="37"/>
          <tpl fld="1" item="0"/>
        </tpls>
      </m>
      <m>
        <tpls c="3">
          <tpl fld="2" item="1"/>
          <tpl fld="0" item="93"/>
          <tpl fld="1" item="1"/>
        </tpls>
      </m>
      <n v="108">
        <tpls c="3">
          <tpl fld="2" item="1"/>
          <tpl fld="0" item="149"/>
          <tpl fld="1" item="3"/>
        </tpls>
      </n>
      <m>
        <tpls c="3">
          <tpl fld="2" item="1"/>
          <tpl fld="0" item="206"/>
          <tpl fld="1" item="2"/>
        </tpls>
      </m>
      <n v="73">
        <tpls c="2">
          <tpl fld="2" item="1"/>
          <tpl fld="0" item="262"/>
        </tpls>
      </n>
      <n v="5019">
        <tpls c="3">
          <tpl fld="2" item="0"/>
          <tpl fld="0" item="434"/>
          <tpl fld="1" item="3"/>
        </tpls>
      </n>
      <m>
        <tpls c="3">
          <tpl fld="2" item="0"/>
          <tpl fld="0" item="347"/>
          <tpl fld="1" item="2"/>
        </tpls>
      </m>
      <m>
        <tpls c="3">
          <tpl fld="2" item="1"/>
          <tpl fld="0" item="38"/>
          <tpl fld="1" item="2"/>
        </tpls>
      </m>
      <n v="31">
        <tpls c="3">
          <tpl fld="2" item="1"/>
          <tpl fld="0" item="94"/>
          <tpl fld="1" item="3"/>
        </tpls>
      </n>
      <m>
        <tpls c="3">
          <tpl fld="2" item="1"/>
          <tpl fld="0" item="150"/>
          <tpl fld="1" item="1"/>
        </tpls>
      </m>
      <m>
        <tpls c="3">
          <tpl fld="2" item="1"/>
          <tpl fld="0" item="68"/>
          <tpl fld="1" item="1"/>
        </tpls>
      </m>
      <m>
        <tpls c="3">
          <tpl fld="2" item="1"/>
          <tpl fld="0" item="229"/>
          <tpl fld="1" item="1"/>
        </tpls>
      </m>
      <m>
        <tpls c="3">
          <tpl fld="2" item="0"/>
          <tpl fld="0" item="413"/>
          <tpl fld="1" item="3"/>
        </tpls>
      </m>
      <m>
        <tpls c="3">
          <tpl fld="2" item="1"/>
          <tpl fld="0" item="348"/>
          <tpl fld="1" item="0"/>
        </tpls>
      </m>
      <m>
        <tpls c="3">
          <tpl fld="2" item="0"/>
          <tpl fld="0" item="348"/>
          <tpl fld="1" item="1"/>
        </tpls>
      </m>
      <n v="0">
        <tpls c="2">
          <tpl fld="2" item="0"/>
          <tpl fld="0" item="39"/>
        </tpls>
      </n>
      <n v="13">
        <tpls c="2">
          <tpl fld="2" item="1"/>
          <tpl fld="0" item="95"/>
        </tpls>
      </n>
      <m>
        <tpls c="3">
          <tpl fld="2" item="1"/>
          <tpl fld="0" item="151"/>
          <tpl fld="1" item="0"/>
        </tpls>
      </m>
      <m>
        <tpls c="3">
          <tpl fld="2" item="1"/>
          <tpl fld="0" item="207"/>
          <tpl fld="1" item="1"/>
        </tpls>
      </m>
      <m>
        <tpls c="3">
          <tpl fld="2" item="0"/>
          <tpl fld="0" item="207"/>
          <tpl fld="1" item="1"/>
        </tpls>
      </m>
      <n v="29">
        <tpls c="2">
          <tpl fld="2" item="0"/>
          <tpl fld="0" item="263"/>
        </tpls>
      </n>
      <m>
        <tpls c="3">
          <tpl fld="2" item="0"/>
          <tpl fld="0" item="293"/>
          <tpl fld="1" item="3"/>
        </tpls>
      </m>
      <m>
        <tpls c="3">
          <tpl fld="2" item="1"/>
          <tpl fld="0" item="362"/>
          <tpl fld="1" item="3"/>
        </tpls>
      </m>
      <m>
        <tpls c="3">
          <tpl fld="2" item="1"/>
          <tpl fld="0" item="316"/>
          <tpl fld="1" item="0"/>
        </tpls>
      </m>
      <n v="350">
        <tpls c="3">
          <tpl fld="2" item="0"/>
          <tpl fld="0" item="316"/>
          <tpl fld="1" item="1"/>
        </tpls>
      </n>
      <m>
        <tpls c="3">
          <tpl fld="2" item="0"/>
          <tpl fld="0" item="40"/>
          <tpl fld="1" item="3"/>
        </tpls>
      </m>
      <n v="2051">
        <tpls c="2">
          <tpl fld="2" item="1"/>
          <tpl fld="0" item="96"/>
        </tpls>
      </n>
      <m>
        <tpls c="3">
          <tpl fld="2" item="1"/>
          <tpl fld="0" item="152"/>
          <tpl fld="1" item="0"/>
        </tpls>
      </m>
      <n v="402">
        <tpls c="3">
          <tpl fld="2" item="1"/>
          <tpl fld="0" item="208"/>
          <tpl fld="1" item="2"/>
        </tpls>
      </n>
      <n v="156948.69">
        <tpls c="3">
          <tpl fld="2" item="0"/>
          <tpl fld="0" item="208"/>
          <tpl fld="1" item="3"/>
        </tpls>
      </n>
      <m>
        <tpls c="3">
          <tpl fld="2" item="0"/>
          <tpl fld="0" item="264"/>
          <tpl fld="1" item="2"/>
        </tpls>
      </m>
      <n v="108">
        <tpls c="3">
          <tpl fld="2" item="1"/>
          <tpl fld="0" item="373"/>
          <tpl fld="1" item="1"/>
        </tpls>
      </n>
      <n v="5393">
        <tpls c="3">
          <tpl fld="2" item="0"/>
          <tpl fld="0" item="416"/>
          <tpl fld="1" item="1"/>
        </tpls>
      </n>
      <n v="2526">
        <tpls c="3">
          <tpl fld="2" item="0"/>
          <tpl fld="0" item="387"/>
          <tpl fld="1" item="0"/>
        </tpls>
      </n>
      <n v="22">
        <tpls c="3">
          <tpl fld="2" item="1"/>
          <tpl fld="0" item="387"/>
          <tpl fld="1" item="0"/>
        </tpls>
      </n>
      <m>
        <tpls c="3">
          <tpl fld="2" item="0"/>
          <tpl fld="0" item="41"/>
          <tpl fld="1" item="2"/>
        </tpls>
      </m>
      <n v="95">
        <tpls c="2">
          <tpl fld="2" item="1"/>
          <tpl fld="0" item="97"/>
        </tpls>
      </n>
      <m>
        <tpls c="3">
          <tpl fld="2" item="0"/>
          <tpl fld="0" item="153"/>
          <tpl fld="1" item="0"/>
        </tpls>
      </m>
      <m>
        <tpls c="3">
          <tpl fld="2" item="0"/>
          <tpl fld="0" item="209"/>
          <tpl fld="1" item="0"/>
        </tpls>
      </m>
      <m>
        <tpls c="3">
          <tpl fld="2" item="1"/>
          <tpl fld="0" item="209"/>
          <tpl fld="1" item="1"/>
        </tpls>
      </m>
      <m>
        <tpls c="3">
          <tpl fld="2" item="1"/>
          <tpl fld="0" item="265"/>
          <tpl fld="1" item="0"/>
        </tpls>
      </m>
      <n v="4208">
        <tpls c="2">
          <tpl fld="2" item="1"/>
          <tpl fld="0" item="399"/>
        </tpls>
      </n>
      <n v="23">
        <tpls c="3">
          <tpl fld="2" item="1"/>
          <tpl fld="0" item="421"/>
          <tpl fld="1" item="1"/>
        </tpls>
      </n>
      <m>
        <tpls c="3">
          <tpl fld="2" item="0"/>
          <tpl fld="0" item="294"/>
          <tpl fld="1" item="0"/>
        </tpls>
      </m>
      <n v="8010.1">
        <tpls c="3">
          <tpl fld="2" item="0"/>
          <tpl fld="0" item="42"/>
          <tpl fld="1" item="3"/>
        </tpls>
      </n>
      <n v="715">
        <tpls c="3">
          <tpl fld="2" item="0"/>
          <tpl fld="0" item="98"/>
          <tpl fld="1" item="2"/>
        </tpls>
      </n>
      <n v="47957.85">
        <tpls c="3">
          <tpl fld="2" item="0"/>
          <tpl fld="0" item="98"/>
          <tpl fld="1" item="3"/>
        </tpls>
      </n>
      <m>
        <tpls c="3">
          <tpl fld="2" item="1"/>
          <tpl fld="0" item="154"/>
          <tpl fld="1" item="0"/>
        </tpls>
      </m>
      <n v="66859.78">
        <tpls c="2">
          <tpl fld="2" item="0"/>
          <tpl fld="0" item="210"/>
        </tpls>
      </n>
      <n v="7637">
        <tpls c="3">
          <tpl fld="2" item="0"/>
          <tpl fld="0" item="266"/>
          <tpl fld="1" item="3"/>
        </tpls>
      </n>
      <m>
        <tpls c="3">
          <tpl fld="2" item="1"/>
          <tpl fld="0" item="427"/>
          <tpl fld="1" item="2"/>
        </tpls>
      </m>
      <n v="2411">
        <tpls c="2">
          <tpl fld="2" item="0"/>
          <tpl fld="0" item="173"/>
        </tpls>
      </n>
      <n v="587756.13">
        <tpls c="2">
          <tpl fld="2" item="0"/>
          <tpl fld="0" item="422"/>
        </tpls>
      </n>
      <n v="10528">
        <tpls c="2">
          <tpl fld="2" item="0"/>
          <tpl fld="0" item="131"/>
        </tpls>
      </n>
      <n v="7">
        <tpls c="3">
          <tpl fld="2" item="1"/>
          <tpl fld="0" item="435"/>
          <tpl fld="1" item="1"/>
        </tpls>
      </n>
      <m>
        <tpls c="3">
          <tpl fld="2" item="1"/>
          <tpl fld="0" item="435"/>
          <tpl fld="1" item="3"/>
        </tpls>
      </m>
      <m>
        <tpls c="3">
          <tpl fld="2" item="1"/>
          <tpl fld="0" item="406"/>
          <tpl fld="1" item="0"/>
        </tpls>
      </m>
      <n v="957">
        <tpls c="2">
          <tpl fld="2" item="1"/>
          <tpl fld="0" item="43"/>
        </tpls>
      </n>
      <n v="1571">
        <tpls c="2">
          <tpl fld="2" item="0"/>
          <tpl fld="0" item="99"/>
        </tpls>
      </n>
      <n v="3">
        <tpls c="3">
          <tpl fld="2" item="1"/>
          <tpl fld="0" item="155"/>
          <tpl fld="1" item="1"/>
        </tpls>
      </n>
      <m>
        <tpls c="3">
          <tpl fld="2" item="0"/>
          <tpl fld="0" item="155"/>
          <tpl fld="1" item="0"/>
        </tpls>
      </m>
      <m>
        <tpls c="3">
          <tpl fld="2" item="1"/>
          <tpl fld="0" item="211"/>
          <tpl fld="1" item="2"/>
        </tpls>
      </m>
      <n v="46">
        <tpls c="2">
          <tpl fld="2" item="1"/>
          <tpl fld="0" item="267"/>
        </tpls>
      </n>
      <m>
        <tpls c="3">
          <tpl fld="2" item="1"/>
          <tpl fld="0" item="349"/>
          <tpl fld="1" item="0"/>
        </tpls>
      </m>
      <m>
        <tpls c="3">
          <tpl fld="2" item="1"/>
          <tpl fld="0" item="363"/>
          <tpl fld="1" item="2"/>
        </tpls>
      </m>
      <m>
        <tpls c="3">
          <tpl fld="2" item="1"/>
          <tpl fld="0" item="363"/>
          <tpl fld="1" item="3"/>
        </tpls>
      </m>
      <m>
        <tpls c="3">
          <tpl fld="2" item="1"/>
          <tpl fld="0" item="374"/>
          <tpl fld="1" item="0"/>
        </tpls>
      </m>
      <n v="8">
        <tpls c="3">
          <tpl fld="2" item="1"/>
          <tpl fld="0" item="44"/>
          <tpl fld="1" item="1"/>
        </tpls>
      </n>
      <m>
        <tpls c="3">
          <tpl fld="2" item="0"/>
          <tpl fld="0" item="100"/>
          <tpl fld="1" item="1"/>
        </tpls>
      </m>
      <n v="159481.82">
        <tpls c="3">
          <tpl fld="2" item="0"/>
          <tpl fld="0" item="156"/>
          <tpl fld="1" item="3"/>
        </tpls>
      </n>
      <n v="205">
        <tpls c="3">
          <tpl fld="2" item="1"/>
          <tpl fld="0" item="156"/>
          <tpl fld="1" item="1"/>
        </tpls>
      </n>
      <m>
        <tpls c="3">
          <tpl fld="2" item="0"/>
          <tpl fld="0" item="212"/>
          <tpl fld="1" item="2"/>
        </tpls>
      </m>
      <m>
        <tpls c="3">
          <tpl fld="2" item="0"/>
          <tpl fld="0" item="268"/>
          <tpl fld="1" item="2"/>
        </tpls>
      </m>
      <n v="22542">
        <tpls c="3">
          <tpl fld="2" item="0"/>
          <tpl fld="0" item="295"/>
          <tpl fld="1" item="3"/>
        </tpls>
      </n>
      <m>
        <tpls c="3">
          <tpl fld="2" item="1"/>
          <tpl fld="0" item="410"/>
          <tpl fld="1" item="0"/>
        </tpls>
      </m>
      <n v="17482">
        <tpls c="2">
          <tpl fld="2" item="0"/>
          <tpl fld="0" item="410"/>
        </tpls>
      </n>
      <m>
        <tpls c="3">
          <tpl fld="2" item="0"/>
          <tpl fld="0" item="317"/>
          <tpl fld="1" item="1"/>
        </tpls>
      </m>
      <n v="170850.6">
        <tpls c="2">
          <tpl fld="2" item="0"/>
          <tpl fld="0" item="45"/>
        </tpls>
      </n>
      <m>
        <tpls c="3">
          <tpl fld="2" item="0"/>
          <tpl fld="0" item="101"/>
          <tpl fld="1" item="1"/>
        </tpls>
      </m>
      <n v="145">
        <tpls c="3">
          <tpl fld="2" item="0"/>
          <tpl fld="0" item="157"/>
          <tpl fld="1" item="2"/>
        </tpls>
      </n>
      <n v="1068">
        <tpls c="3">
          <tpl fld="2" item="1"/>
          <tpl fld="0" item="157"/>
          <tpl fld="1" item="3"/>
        </tpls>
      </n>
      <n v="144">
        <tpls c="2">
          <tpl fld="2" item="1"/>
          <tpl fld="0" item="213"/>
        </tpls>
      </n>
      <n v="180">
        <tpls c="3">
          <tpl fld="2" item="1"/>
          <tpl fld="0" item="269"/>
          <tpl fld="1" item="1"/>
        </tpls>
      </n>
      <m>
        <tpls c="3">
          <tpl fld="2" item="0"/>
          <tpl fld="0" item="388"/>
          <tpl fld="1" item="2"/>
        </tpls>
      </m>
      <n v="10296">
        <tpls c="3">
          <tpl fld="2" item="0"/>
          <tpl fld="0" item="400"/>
          <tpl fld="1" item="3"/>
        </tpls>
      </n>
      <n v="12">
        <tpls c="3">
          <tpl fld="2" item="1"/>
          <tpl fld="0" item="400"/>
          <tpl fld="1" item="1"/>
        </tpls>
      </n>
      <m>
        <tpls c="3">
          <tpl fld="2" item="1"/>
          <tpl fld="0" item="414"/>
          <tpl fld="1" item="0"/>
        </tpls>
      </m>
      <n v="1839">
        <tpls c="2">
          <tpl fld="2" item="0"/>
          <tpl fld="0" item="46"/>
        </tpls>
      </n>
      <m>
        <tpls c="3">
          <tpl fld="2" item="0"/>
          <tpl fld="0" item="102"/>
          <tpl fld="1" item="0"/>
        </tpls>
      </m>
      <n v="414">
        <tpls c="3">
          <tpl fld="2" item="0"/>
          <tpl fld="0" item="158"/>
          <tpl fld="1" item="1"/>
        </tpls>
      </n>
      <n v="22162.31">
        <tpls c="2">
          <tpl fld="2" item="0"/>
          <tpl fld="0" item="158"/>
        </tpls>
      </n>
      <m>
        <tpls c="3">
          <tpl fld="2" item="0"/>
          <tpl fld="0" item="214"/>
          <tpl fld="1" item="2"/>
        </tpls>
      </m>
      <n v="0">
        <tpls c="3">
          <tpl fld="2" item="1"/>
          <tpl fld="0" item="270"/>
          <tpl fld="1" item="0"/>
        </tpls>
      </n>
      <n v="0">
        <tpls c="3">
          <tpl fld="2" item="1"/>
          <tpl fld="0" item="417"/>
          <tpl fld="1" item="1"/>
        </tpls>
      </n>
      <n v="37">
        <tpls c="2">
          <tpl fld="2" item="1"/>
          <tpl fld="0" item="60"/>
        </tpls>
      </n>
      <n v="645">
        <tpls c="2">
          <tpl fld="2" item="1"/>
          <tpl fld="0" item="287"/>
        </tpls>
      </n>
      <n v="11">
        <tpls c="2">
          <tpl fld="2" item="1"/>
          <tpl fld="0" item="124"/>
        </tpls>
      </n>
      <m>
        <tpls c="3">
          <tpl fld="2" item="1"/>
          <tpl fld="0" item="428"/>
          <tpl fld="1" item="3"/>
        </tpls>
      </m>
      <m>
        <tpls c="3">
          <tpl fld="2" item="1"/>
          <tpl fld="0" item="296"/>
          <tpl fld="1" item="2"/>
        </tpls>
      </m>
      <m>
        <tpls c="3">
          <tpl fld="2" item="1"/>
          <tpl fld="0" item="296"/>
          <tpl fld="1" item="0"/>
        </tpls>
      </m>
      <n v="2">
        <tpls c="3">
          <tpl fld="2" item="1"/>
          <tpl fld="0" item="441"/>
          <tpl fld="1" item="1"/>
        </tpls>
      </n>
      <n v="0">
        <tpls c="3">
          <tpl fld="2" item="0"/>
          <tpl fld="0" item="47"/>
          <tpl fld="1" item="2"/>
        </tpls>
      </n>
      <m>
        <tpls c="3">
          <tpl fld="2" item="0"/>
          <tpl fld="0" item="103"/>
          <tpl fld="1" item="3"/>
        </tpls>
      </m>
      <m>
        <tpls c="3">
          <tpl fld="2" item="1"/>
          <tpl fld="0" item="159"/>
          <tpl fld="1" item="3"/>
        </tpls>
      </m>
      <n v="11">
        <tpls c="2">
          <tpl fld="2" item="1"/>
          <tpl fld="0" item="368"/>
        </tpls>
      </n>
      <m>
        <tpls c="3">
          <tpl fld="2" item="0"/>
          <tpl fld="0" item="137"/>
          <tpl fld="1" item="2"/>
        </tpls>
      </m>
      <n v="24046">
        <tpls c="2">
          <tpl fld="2" item="0"/>
          <tpl fld="0" item="290"/>
        </tpls>
      </n>
      <m>
        <tpls c="3">
          <tpl fld="2" item="1"/>
          <tpl fld="0" item="199"/>
          <tpl fld="1" item="0"/>
        </tpls>
      </m>
      <n v="2571">
        <tpls c="2">
          <tpl fld="2" item="1"/>
          <tpl fld="0" item="257"/>
        </tpls>
      </n>
      <m>
        <tpls c="3">
          <tpl fld="2" item="0"/>
          <tpl fld="0" item="145"/>
          <tpl fld="1" item="1"/>
        </tpls>
      </m>
      <n v="6651.5">
        <tpls c="2">
          <tpl fld="2" item="0"/>
          <tpl fld="0" item="90"/>
        </tpls>
      </n>
      <n v="2005">
        <tpls c="2">
          <tpl fld="2" item="0"/>
          <tpl fld="0" item="346"/>
        </tpls>
      </n>
      <m>
        <tpls c="3">
          <tpl fld="2" item="1"/>
          <tpl fld="0" item="260"/>
          <tpl fld="1" item="0"/>
        </tpls>
      </m>
      <n v="66112">
        <tpls c="3">
          <tpl fld="2" item="0"/>
          <tpl fld="0" item="148"/>
          <tpl fld="1" item="2"/>
        </tpls>
      </n>
      <m>
        <tpls c="3">
          <tpl fld="2" item="0"/>
          <tpl fld="0" item="398"/>
          <tpl fld="1" item="0"/>
        </tpls>
      </m>
      <m>
        <tpls c="3">
          <tpl fld="2" item="1"/>
          <tpl fld="0" item="440"/>
          <tpl fld="1" item="0"/>
        </tpls>
      </m>
      <n v="11345">
        <tpls c="3">
          <tpl fld="2" item="0"/>
          <tpl fld="0" item="149"/>
          <tpl fld="1" item="3"/>
        </tpls>
      </n>
      <m>
        <tpls c="3">
          <tpl fld="2" item="0"/>
          <tpl fld="0" item="262"/>
          <tpl fld="1" item="0"/>
        </tpls>
      </m>
      <m>
        <tpls c="3">
          <tpl fld="2" item="1"/>
          <tpl fld="0" item="347"/>
          <tpl fld="1" item="2"/>
        </tpls>
      </m>
      <n v="4342">
        <tpls c="3">
          <tpl fld="2" item="0"/>
          <tpl fld="0" item="38"/>
          <tpl fld="1" item="3"/>
        </tpls>
      </n>
      <n v="1496">
        <tpls c="2">
          <tpl fld="2" item="0"/>
          <tpl fld="0" item="150"/>
        </tpls>
      </n>
      <m>
        <tpls c="3">
          <tpl fld="2" item="1"/>
          <tpl fld="0" item="413"/>
          <tpl fld="1" item="0"/>
        </tpls>
      </m>
      <n v="6019">
        <tpls c="2">
          <tpl fld="2" item="0"/>
          <tpl fld="0" item="348"/>
        </tpls>
      </n>
      <m>
        <tpls c="3">
          <tpl fld="2" item="0"/>
          <tpl fld="0" item="95"/>
          <tpl fld="1" item="3"/>
        </tpls>
      </m>
      <n v="0">
        <tpls c="3">
          <tpl fld="2" item="0"/>
          <tpl fld="0" item="151"/>
          <tpl fld="1" item="1"/>
        </tpls>
      </n>
      <m>
        <tpls c="3">
          <tpl fld="2" item="0"/>
          <tpl fld="0" item="263"/>
          <tpl fld="1" item="3"/>
        </tpls>
      </m>
      <m>
        <tpls c="3">
          <tpl fld="2" item="1"/>
          <tpl fld="0" item="362"/>
          <tpl fld="1" item="0"/>
        </tpls>
      </m>
      <m>
        <tpls c="3">
          <tpl fld="2" item="0"/>
          <tpl fld="0" item="316"/>
          <tpl fld="1" item="3"/>
        </tpls>
      </m>
      <m>
        <tpls c="3">
          <tpl fld="2" item="0"/>
          <tpl fld="0" item="96"/>
          <tpl fld="1" item="2"/>
        </tpls>
      </m>
      <n v="79173">
        <tpls c="2">
          <tpl fld="2" item="0"/>
          <tpl fld="0" item="152"/>
        </tpls>
      </n>
      <m>
        <tpls c="3">
          <tpl fld="2" item="0"/>
          <tpl fld="0" item="264"/>
          <tpl fld="1" item="0"/>
        </tpls>
      </m>
      <m>
        <tpls c="3">
          <tpl fld="2" item="0"/>
          <tpl fld="0" item="416"/>
          <tpl fld="1" item="2"/>
        </tpls>
      </m>
      <n v="118">
        <tpls c="3">
          <tpl fld="2" item="1"/>
          <tpl fld="0" item="387"/>
          <tpl fld="1" item="1"/>
        </tpls>
      </n>
      <m>
        <tpls c="3">
          <tpl fld="2" item="0"/>
          <tpl fld="0" item="97"/>
          <tpl fld="1" item="1"/>
        </tpls>
      </m>
      <n v="7495">
        <tpls c="2">
          <tpl fld="2" item="0"/>
          <tpl fld="0" item="153"/>
        </tpls>
      </n>
      <n v="218">
        <tpls c="2">
          <tpl fld="2" item="1"/>
          <tpl fld="0" item="265"/>
        </tpls>
      </n>
      <n v="45">
        <tpls c="3">
          <tpl fld="2" item="0"/>
          <tpl fld="0" item="421"/>
          <tpl fld="1" item="0"/>
        </tpls>
      </n>
      <n v="51">
        <tpls c="2">
          <tpl fld="2" item="1"/>
          <tpl fld="0" item="294"/>
        </tpls>
      </n>
      <m>
        <tpls c="3">
          <tpl fld="2" item="0"/>
          <tpl fld="0" item="98"/>
          <tpl fld="1" item="0"/>
        </tpls>
      </m>
      <n v="62220.78">
        <tpls c="3">
          <tpl fld="2" item="0"/>
          <tpl fld="0" item="210"/>
          <tpl fld="1" item="3"/>
        </tpls>
      </n>
      <n v="13">
        <tpls c="3">
          <tpl fld="2" item="1"/>
          <tpl fld="0" item="427"/>
          <tpl fld="1" item="3"/>
        </tpls>
      </n>
      <n v="13854.15">
        <tpls c="2">
          <tpl fld="2" item="0"/>
          <tpl fld="0" item="337"/>
        </tpls>
      </n>
      <n v="3670">
        <tpls c="2">
          <tpl fld="2" item="0"/>
          <tpl fld="0" item="228"/>
        </tpls>
      </n>
      <n v="207741">
        <tpls c="2">
          <tpl fld="2" item="0"/>
          <tpl fld="0" item="406"/>
        </tpls>
      </n>
      <n v="1571">
        <tpls c="3">
          <tpl fld="2" item="0"/>
          <tpl fld="0" item="99"/>
          <tpl fld="1" item="2"/>
        </tpls>
      </n>
      <n v="90">
        <tpls c="3">
          <tpl fld="2" item="0"/>
          <tpl fld="0" item="155"/>
          <tpl fld="1" item="1"/>
        </tpls>
      </n>
      <m>
        <tpls c="3">
          <tpl fld="2" item="1"/>
          <tpl fld="0" item="267"/>
          <tpl fld="1" item="0"/>
        </tpls>
      </m>
      <m>
        <tpls c="3">
          <tpl fld="2" item="1"/>
          <tpl fld="0" item="349"/>
          <tpl fld="1" item="3"/>
        </tpls>
      </m>
      <m>
        <tpls c="3">
          <tpl fld="2" item="0"/>
          <tpl fld="0" item="374"/>
          <tpl fld="1" item="2"/>
        </tpls>
      </m>
      <m>
        <tpls c="3">
          <tpl fld="2" item="1"/>
          <tpl fld="0" item="100"/>
          <tpl fld="1" item="2"/>
        </tpls>
      </m>
      <n v="280">
        <tpls c="3">
          <tpl fld="2" item="0"/>
          <tpl fld="0" item="156"/>
          <tpl fld="1" item="2"/>
        </tpls>
      </n>
      <n v="31820.5">
        <tpls c="3">
          <tpl fld="2" item="0"/>
          <tpl fld="0" item="268"/>
          <tpl fld="1" item="3"/>
        </tpls>
      </n>
      <m>
        <tpls c="3">
          <tpl fld="2" item="0"/>
          <tpl fld="0" item="295"/>
          <tpl fld="1" item="1"/>
        </tpls>
      </m>
      <n v="12929.35">
        <tpls c="2">
          <tpl fld="2" item="0"/>
          <tpl fld="0" item="317"/>
        </tpls>
      </n>
      <m>
        <tpls c="3">
          <tpl fld="2" item="0"/>
          <tpl fld="0" item="101"/>
          <tpl fld="1" item="2"/>
        </tpls>
      </m>
      <m>
        <tpls c="3">
          <tpl fld="2" item="1"/>
          <tpl fld="0" item="157"/>
          <tpl fld="1" item="0"/>
        </tpls>
      </m>
      <n v="1772">
        <tpls c="3">
          <tpl fld="2" item="0"/>
          <tpl fld="0" item="269"/>
          <tpl fld="1" item="0"/>
        </tpls>
      </n>
      <n v="352">
        <tpls c="2">
          <tpl fld="2" item="1"/>
          <tpl fld="0" item="388"/>
        </tpls>
      </n>
      <m>
        <tpls c="3">
          <tpl fld="2" item="1"/>
          <tpl fld="0" item="414"/>
          <tpl fld="1" item="2"/>
        </tpls>
      </m>
      <n v="0">
        <tpls c="3">
          <tpl fld="2" item="0"/>
          <tpl fld="0" item="102"/>
          <tpl fld="1" item="1"/>
        </tpls>
      </n>
      <n v="545">
        <tpls c="2">
          <tpl fld="2" item="1"/>
          <tpl fld="0" item="158"/>
        </tpls>
      </n>
      <n v="628">
        <tpls c="2">
          <tpl fld="2" item="0"/>
          <tpl fld="0" item="214"/>
        </tpls>
      </n>
      <n v="165">
        <tpls c="3">
          <tpl fld="2" item="0"/>
          <tpl fld="0" item="417"/>
          <tpl fld="1" item="3"/>
        </tpls>
      </n>
      <n v="31">
        <tpls c="2">
          <tpl fld="2" item="1"/>
          <tpl fld="0" item="6"/>
        </tpls>
      </n>
      <n v="984">
        <tpls c="2">
          <tpl fld="2" item="1"/>
          <tpl fld="0" item="243"/>
        </tpls>
      </n>
      <n v="80">
        <tpls c="2">
          <tpl fld="2" item="1"/>
          <tpl fld="0" item="305"/>
        </tpls>
      </n>
      <m>
        <tpls c="3">
          <tpl fld="2" item="1"/>
          <tpl fld="0" item="428"/>
          <tpl fld="1" item="0"/>
        </tpls>
      </m>
      <m>
        <tpls c="3">
          <tpl fld="2" item="0"/>
          <tpl fld="0" item="296"/>
          <tpl fld="1" item="0"/>
        </tpls>
      </m>
      <m>
        <tpls c="3">
          <tpl fld="2" item="0"/>
          <tpl fld="0" item="441"/>
          <tpl fld="1" item="0"/>
        </tpls>
      </m>
      <m>
        <tpls c="3">
          <tpl fld="2" item="1"/>
          <tpl fld="0" item="103"/>
          <tpl fld="1" item="2"/>
        </tpls>
      </m>
      <m>
        <tpls c="3">
          <tpl fld="2" item="0"/>
          <tpl fld="0" item="159"/>
          <tpl fld="1" item="3"/>
        </tpls>
      </m>
      <n v="5">
        <tpls c="3">
          <tpl fld="2" item="1"/>
          <tpl fld="0" item="215"/>
          <tpl fld="1" item="1"/>
        </tpls>
      </n>
      <m>
        <tpls c="3">
          <tpl fld="2" item="1"/>
          <tpl fld="0" item="215"/>
          <tpl fld="1" item="0"/>
        </tpls>
      </m>
      <n v="10">
        <tpls c="2">
          <tpl fld="2" item="0"/>
          <tpl fld="0" item="271"/>
        </tpls>
      </n>
      <n v="0">
        <tpls c="2">
          <tpl fld="2" item="1"/>
          <tpl fld="0" item="318"/>
        </tpls>
      </n>
      <m>
        <tpls c="3">
          <tpl fld="2" item="0"/>
          <tpl fld="0" item="350"/>
          <tpl fld="1" item="1"/>
        </tpls>
      </m>
      <m>
        <tpls c="3">
          <tpl fld="2" item="1"/>
          <tpl fld="0" item="364"/>
          <tpl fld="1" item="1"/>
        </tpls>
      </m>
      <n v="306">
        <tpls c="3">
          <tpl fld="2" item="0"/>
          <tpl fld="0" item="364"/>
          <tpl fld="1" item="2"/>
        </tpls>
      </n>
      <n v="24354">
        <tpls c="3">
          <tpl fld="2" item="0"/>
          <tpl fld="0" item="48"/>
          <tpl fld="1" item="2"/>
        </tpls>
      </n>
      <m>
        <tpls c="3">
          <tpl fld="2" item="1"/>
          <tpl fld="0" item="104"/>
          <tpl fld="1" item="2"/>
        </tpls>
      </m>
      <n v="49753">
        <tpls c="3">
          <tpl fld="2" item="0"/>
          <tpl fld="0" item="160"/>
          <tpl fld="1" item="1"/>
        </tpls>
      </n>
      <n v="43831">
        <tpls c="3">
          <tpl fld="2" item="1"/>
          <tpl fld="0" item="216"/>
          <tpl fld="1" item="3"/>
        </tpls>
      </n>
      <n v="431">
        <tpls c="3">
          <tpl fld="2" item="1"/>
          <tpl fld="0" item="216"/>
          <tpl fld="1" item="1"/>
        </tpls>
      </n>
      <n v="6616">
        <tpls c="3">
          <tpl fld="2" item="0"/>
          <tpl fld="0" item="272"/>
          <tpl fld="1" item="1"/>
        </tpls>
      </n>
      <n v="17396">
        <tpls c="2">
          <tpl fld="2" item="0"/>
          <tpl fld="0" item="375"/>
        </tpls>
      </n>
      <n v="12571">
        <tpls c="2">
          <tpl fld="2" item="0"/>
          <tpl fld="0" item="436"/>
        </tpls>
      </n>
      <m>
        <tpls c="3">
          <tpl fld="2" item="0"/>
          <tpl fld="0" item="389"/>
          <tpl fld="1" item="0"/>
        </tpls>
      </m>
      <m>
        <tpls c="3">
          <tpl fld="2" item="0"/>
          <tpl fld="0" item="389"/>
          <tpl fld="1" item="1"/>
        </tpls>
      </m>
      <m>
        <tpls c="3">
          <tpl fld="2" item="0"/>
          <tpl fld="0" item="49"/>
          <tpl fld="1" item="0"/>
        </tpls>
      </m>
      <n v="103">
        <tpls c="3">
          <tpl fld="2" item="1"/>
          <tpl fld="0" item="105"/>
          <tpl fld="1" item="3"/>
        </tpls>
      </n>
      <m>
        <tpls c="3">
          <tpl fld="2" item="0"/>
          <tpl fld="0" item="161"/>
          <tpl fld="1" item="0"/>
        </tpls>
      </m>
      <m>
        <tpls c="3">
          <tpl fld="2" item="0"/>
          <tpl fld="0" item="217"/>
          <tpl fld="1" item="1"/>
        </tpls>
      </m>
      <n v="4390">
        <tpls c="2">
          <tpl fld="2" item="0"/>
          <tpl fld="0" item="217"/>
        </tpls>
      </n>
      <n v="20">
        <tpls c="3">
          <tpl fld="2" item="1"/>
          <tpl fld="0" item="273"/>
          <tpl fld="1" item="1"/>
        </tpls>
      </n>
      <n v="9">
        <tpls c="3">
          <tpl fld="2" item="1"/>
          <tpl fld="0" item="297"/>
          <tpl fld="1" item="3"/>
        </tpls>
      </n>
      <m>
        <tpls c="3">
          <tpl fld="2" item="1"/>
          <tpl fld="0" item="401"/>
          <tpl fld="1" item="0"/>
        </tpls>
      </m>
      <m>
        <tpls c="3">
          <tpl fld="2" item="0"/>
          <tpl fld="0" item="319"/>
          <tpl fld="1" item="1"/>
        </tpls>
      </m>
      <n v="1686">
        <tpls c="2">
          <tpl fld="2" item="0"/>
          <tpl fld="0" item="319"/>
        </tpls>
      </n>
      <n v="5">
        <tpls c="3">
          <tpl fld="2" item="1"/>
          <tpl fld="0" item="50"/>
          <tpl fld="1" item="1"/>
        </tpls>
      </n>
      <m>
        <tpls c="3">
          <tpl fld="2" item="0"/>
          <tpl fld="0" item="106"/>
          <tpl fld="1" item="1"/>
        </tpls>
      </m>
      <n v="50">
        <tpls c="2">
          <tpl fld="2" item="1"/>
          <tpl fld="0" item="162"/>
        </tpls>
      </n>
      <m>
        <tpls c="3">
          <tpl fld="2" item="0"/>
          <tpl fld="0" item="218"/>
          <tpl fld="1" item="1"/>
        </tpls>
      </m>
      <m>
        <tpls c="3">
          <tpl fld="2" item="0"/>
          <tpl fld="0" item="274"/>
          <tpl fld="1" item="1"/>
        </tpls>
      </m>
      <n v="30406.32">
        <tpls c="2">
          <tpl fld="2" item="0"/>
          <tpl fld="0" item="274"/>
        </tpls>
      </n>
      <n v="463246">
        <tpls c="2">
          <tpl fld="2" item="1"/>
          <tpl hier="4" item="4294967295"/>
        </tpls>
      </n>
      <m>
        <tpls c="3">
          <tpl fld="2" item="0"/>
          <tpl fld="0" item="51"/>
          <tpl fld="1" item="3"/>
        </tpls>
      </m>
      <m>
        <tpls c="3">
          <tpl fld="2" item="0"/>
          <tpl fld="0" item="107"/>
          <tpl fld="1" item="0"/>
        </tpls>
      </m>
      <m>
        <tpls c="3">
          <tpl fld="2" item="1"/>
          <tpl fld="0" item="163"/>
          <tpl fld="1" item="0"/>
        </tpls>
      </m>
      <n v="72774">
        <tpls c="2">
          <tpl fld="2" item="0"/>
          <tpl fld="0" item="163"/>
        </tpls>
      </n>
      <n v="94">
        <tpls c="2">
          <tpl fld="2" item="1"/>
          <tpl fld="0" item="219"/>
        </tpls>
      </n>
      <m>
        <tpls c="3">
          <tpl fld="2" item="0"/>
          <tpl fld="0" item="275"/>
          <tpl fld="1" item="0"/>
        </tpls>
      </m>
      <n v="2030">
        <tpls c="3">
          <tpl fld="2" item="0"/>
          <tpl fld="0" item="320"/>
          <tpl fld="1" item="1"/>
        </tpls>
      </n>
      <n v="5">
        <tpls c="3">
          <tpl fld="2" item="1"/>
          <tpl fld="0" item="376"/>
          <tpl fld="1" item="1"/>
        </tpls>
      </n>
      <n v="90">
        <tpls c="2">
          <tpl fld="2" item="0"/>
          <tpl fld="0" item="376"/>
        </tpls>
      </n>
      <n v="3">
        <tpls c="2">
          <tpl fld="2" item="1"/>
          <tpl fld="0" item="429"/>
        </tpls>
      </n>
      <m>
        <tpls c="3">
          <tpl fld="2" item="0"/>
          <tpl fld="0" item="52"/>
          <tpl fld="1" item="3"/>
        </tpls>
      </m>
      <n v="1">
        <tpls c="3">
          <tpl fld="2" item="1"/>
          <tpl fld="0" item="108"/>
          <tpl fld="1" item="1"/>
        </tpls>
      </n>
      <m>
        <tpls c="3">
          <tpl fld="2" item="0"/>
          <tpl fld="0" item="164"/>
          <tpl fld="1" item="2"/>
        </tpls>
      </m>
      <m>
        <tpls c="3">
          <tpl fld="2" item="0"/>
          <tpl fld="0" item="164"/>
          <tpl fld="1" item="0"/>
        </tpls>
      </m>
      <n v="1095">
        <tpls c="2">
          <tpl fld="2" item="1"/>
          <tpl fld="0" item="220"/>
        </tpls>
      </n>
      <n v="7">
        <tpls c="3">
          <tpl fld="2" item="1"/>
          <tpl fld="0" item="276"/>
          <tpl fld="1" item="1"/>
        </tpls>
      </n>
      <n v="696">
        <tpls c="3">
          <tpl fld="2" item="1"/>
          <tpl fld="0" item="390"/>
          <tpl fld="1" item="3"/>
        </tpls>
      </n>
      <n v="89">
        <tpls c="2">
          <tpl fld="2" item="1"/>
          <tpl fld="0" item="402"/>
        </tpls>
      </n>
      <n v="89">
        <tpls c="3">
          <tpl fld="2" item="1"/>
          <tpl fld="0" item="402"/>
          <tpl fld="1" item="3"/>
        </tpls>
      </n>
      <n v="242150.01">
        <tpls c="3">
          <tpl fld="2" item="0"/>
          <tpl fld="0" item="442"/>
          <tpl fld="1" item="3"/>
        </tpls>
      </n>
      <n v="30">
        <tpls c="3">
          <tpl fld="2" item="0"/>
          <tpl fld="0" item="53"/>
          <tpl fld="1" item="2"/>
        </tpls>
      </n>
      <n v="9250">
        <tpls c="3">
          <tpl fld="2" item="1"/>
          <tpl fld="0" item="109"/>
          <tpl fld="1" item="3"/>
        </tpls>
      </n>
      <n v="66943.7">
        <tpls c="3">
          <tpl fld="2" item="0"/>
          <tpl fld="0" item="165"/>
          <tpl fld="1" item="3"/>
        </tpls>
      </n>
      <n v="857">
        <tpls c="3">
          <tpl fld="2" item="1"/>
          <tpl fld="0" item="165"/>
          <tpl fld="1" item="3"/>
        </tpls>
      </n>
      <n v="179">
        <tpls c="2">
          <tpl fld="2" item="1"/>
          <tpl fld="0" item="221"/>
        </tpls>
      </n>
      <n v="183">
        <tpls c="2">
          <tpl fld="2" item="1"/>
          <tpl fld="0" item="277"/>
        </tpls>
      </n>
      <m>
        <tpls c="3">
          <tpl fld="2" item="0"/>
          <tpl fld="0" item="298"/>
          <tpl fld="1" item="1"/>
        </tpls>
      </m>
      <m>
        <tpls c="3">
          <tpl fld="2" item="0"/>
          <tpl fld="0" item="437"/>
          <tpl fld="1" item="2"/>
        </tpls>
      </m>
      <m>
        <tpls c="3">
          <tpl fld="2" item="1"/>
          <tpl fld="0" item="437"/>
          <tpl fld="1" item="0"/>
        </tpls>
      </m>
      <n v="19915.72">
        <tpls c="3">
          <tpl fld="2" item="0"/>
          <tpl fld="0" item="321"/>
          <tpl fld="1" item="3"/>
        </tpls>
      </n>
      <m>
        <tpls c="3">
          <tpl fld="2" item="1"/>
          <tpl fld="0" item="54"/>
          <tpl fld="1" item="0"/>
        </tpls>
      </m>
      <n v="7132">
        <tpls c="3">
          <tpl fld="2" item="1"/>
          <tpl fld="0" item="110"/>
          <tpl fld="1" item="3"/>
        </tpls>
      </n>
      <m>
        <tpls c="3">
          <tpl fld="2" item="0"/>
          <tpl fld="0" item="166"/>
          <tpl fld="1" item="2"/>
        </tpls>
      </m>
      <n v="1500">
        <tpls c="3">
          <tpl fld="2" item="0"/>
          <tpl fld="0" item="166"/>
          <tpl fld="1" item="3"/>
        </tpls>
      </n>
      <m>
        <tpls c="3">
          <tpl fld="2" item="0"/>
          <tpl fld="0" item="222"/>
          <tpl fld="1" item="1"/>
        </tpls>
      </m>
      <m>
        <tpls c="3">
          <tpl fld="2" item="0"/>
          <tpl fld="0" item="278"/>
          <tpl fld="1" item="0"/>
        </tpls>
      </m>
      <n v="42">
        <tpls c="2">
          <tpl fld="2" item="1"/>
          <tpl fld="0" item="351"/>
        </tpls>
      </n>
      <m>
        <tpls c="3">
          <tpl fld="2" item="1"/>
          <tpl fld="0" item="365"/>
          <tpl fld="1" item="0"/>
        </tpls>
      </m>
      <n v="38">
        <tpls c="3">
          <tpl fld="2" item="0"/>
          <tpl fld="0" item="365"/>
          <tpl fld="1" item="1"/>
        </tpls>
      </n>
      <n v="31970.5">
        <tpls c="3">
          <tpl fld="2" item="0"/>
          <tpl fld="0" item="75"/>
          <tpl fld="1" item="3"/>
        </tpls>
      </n>
      <n v="192289.9">
        <tpls c="3">
          <tpl fld="2" item="0"/>
          <tpl fld="0" item="74"/>
          <tpl fld="1" item="3"/>
        </tpls>
      </n>
      <n v="10">
        <tpls c="3">
          <tpl fld="2" item="0"/>
          <tpl fld="0" item="327"/>
          <tpl fld="1" item="3"/>
        </tpls>
      </n>
      <n v="3186">
        <tpls c="3">
          <tpl fld="2" item="0"/>
          <tpl fld="0" item="284"/>
          <tpl fld="1" item="3"/>
        </tpls>
      </n>
      <n v="13">
        <tpls c="3">
          <tpl fld="2" item="0"/>
          <tpl fld="0" item="61"/>
          <tpl fld="1" item="3"/>
        </tpls>
      </n>
      <n v="1614">
        <tpls c="3">
          <tpl fld="2" item="0"/>
          <tpl fld="0" item="60"/>
          <tpl fld="1" item="3"/>
        </tpls>
      </n>
      <n v="377">
        <tpls c="2">
          <tpl fld="2" item="1"/>
          <tpl fld="0" item="321"/>
        </tpls>
      </n>
      <n v="7">
        <tpls c="3">
          <tpl fld="2" item="1"/>
          <tpl fld="0" item="110"/>
          <tpl fld="1" item="2"/>
        </tpls>
      </n>
      <m>
        <tpls c="3">
          <tpl fld="2" item="0"/>
          <tpl fld="0" item="222"/>
          <tpl fld="1" item="0"/>
        </tpls>
      </m>
      <n v="880">
        <tpls c="3">
          <tpl fld="2" item="0"/>
          <tpl fld="0" item="278"/>
          <tpl fld="1" item="3"/>
        </tpls>
      </n>
      <n v="134">
        <tpls c="3">
          <tpl fld="2" item="1"/>
          <tpl fld="0" item="365"/>
          <tpl fld="1" item="3"/>
        </tpls>
      </n>
      <n v="12100.93">
        <tpls c="3">
          <tpl fld="2" item="0"/>
          <tpl fld="0" item="186"/>
          <tpl fld="1" item="3"/>
        </tpls>
      </n>
      <n v="3938">
        <tpls c="3">
          <tpl fld="2" item="0"/>
          <tpl fld="0" item="172"/>
          <tpl fld="1" item="3"/>
        </tpls>
      </n>
      <n v="14304.08">
        <tpls c="3">
          <tpl fld="2" item="0"/>
          <tpl fld="0" item="352"/>
          <tpl fld="1" item="3"/>
        </tpls>
      </n>
      <m>
        <tpls c="3">
          <tpl fld="2" item="1"/>
          <tpl fld="0" item="389"/>
          <tpl fld="1" item="2"/>
        </tpls>
      </m>
      <n v="335598.31">
        <tpls c="3">
          <tpl fld="2" item="0"/>
          <tpl fld="0" item="51"/>
          <tpl fld="1" item="2"/>
        </tpls>
      </n>
      <m>
        <tpls c="3">
          <tpl fld="2" item="1"/>
          <tpl fld="0" item="320"/>
          <tpl fld="1" item="3"/>
        </tpls>
      </m>
      <m>
        <tpls c="3">
          <tpl fld="2" item="0"/>
          <tpl fld="0" item="52"/>
          <tpl fld="1" item="2"/>
        </tpls>
      </m>
      <n v="3550">
        <tpls c="2">
          <tpl fld="2" item="1"/>
          <tpl fld="0" item="276"/>
        </tpls>
      </n>
      <n v="243805.01">
        <tpls c="2">
          <tpl fld="2" item="0"/>
          <tpl fld="0" item="442"/>
        </tpls>
      </n>
      <n v="9873">
        <tpls c="2">
          <tpl fld="2" item="1"/>
          <tpl fld="0" item="109"/>
        </tpls>
      </n>
      <m>
        <tpls c="3">
          <tpl fld="2" item="0"/>
          <tpl fld="0" item="277"/>
          <tpl fld="1" item="0"/>
        </tpls>
      </m>
      <n v="271">
        <tpls c="3">
          <tpl fld="2" item="1"/>
          <tpl fld="0" item="437"/>
          <tpl fld="1" item="3"/>
        </tpls>
      </n>
      <m>
        <tpls c="3">
          <tpl fld="2" item="1"/>
          <tpl fld="0" item="54"/>
          <tpl fld="1" item="2"/>
        </tpls>
      </m>
      <m>
        <tpls c="3">
          <tpl fld="2" item="0"/>
          <tpl fld="0" item="278"/>
          <tpl fld="1" item="1"/>
        </tpls>
      </m>
      <n v="3009">
        <tpls c="3">
          <tpl fld="2" item="0"/>
          <tpl fld="0" item="365"/>
          <tpl fld="1" item="3"/>
        </tpls>
      </n>
      <n v="52259.01">
        <tpls c="3">
          <tpl fld="2" item="0"/>
          <tpl fld="0" item="353"/>
          <tpl fld="1" item="3"/>
        </tpls>
      </n>
      <n v="2">
        <tpls c="3">
          <tpl fld="2" item="1"/>
          <tpl fld="0" item="385"/>
          <tpl fld="1" item="1"/>
        </tpls>
      </n>
      <m>
        <tpls c="3">
          <tpl fld="2" item="1"/>
          <tpl fld="0" item="92"/>
          <tpl fld="1" item="1"/>
        </tpls>
      </m>
      <m>
        <tpls c="3">
          <tpl fld="2" item="0"/>
          <tpl fld="0" item="206"/>
          <tpl fld="1" item="0"/>
        </tpls>
      </m>
      <m>
        <tpls c="3">
          <tpl fld="2" item="1"/>
          <tpl fld="0" item="151"/>
          <tpl fld="1" item="2"/>
        </tpls>
      </m>
      <n v="33229">
        <tpls c="3">
          <tpl fld="2" item="0"/>
          <tpl fld="0" item="264"/>
          <tpl fld="1" item="3"/>
        </tpls>
      </n>
      <m>
        <tpls c="3">
          <tpl fld="2" item="1"/>
          <tpl fld="0" item="41"/>
          <tpl fld="1" item="1"/>
        </tpls>
      </m>
      <n v="50145.85">
        <tpls c="2">
          <tpl fld="2" item="0"/>
          <tpl fld="0" item="98"/>
        </tpls>
      </n>
      <n v="8333">
        <tpls c="2">
          <tpl fld="2" item="0"/>
          <tpl fld="0" item="19"/>
        </tpls>
      </n>
      <m>
        <tpls c="3">
          <tpl fld="2" item="0"/>
          <tpl fld="0" item="211"/>
          <tpl fld="1" item="0"/>
        </tpls>
      </m>
      <m>
        <tpls c="3">
          <tpl fld="2" item="1"/>
          <tpl fld="0" item="156"/>
          <tpl fld="1" item="0"/>
        </tpls>
      </m>
      <n v="2">
        <tpls c="3">
          <tpl fld="2" item="1"/>
          <tpl fld="0" item="157"/>
          <tpl fld="1" item="2"/>
        </tpls>
      </n>
      <m>
        <tpls c="3">
          <tpl fld="2" item="0"/>
          <tpl fld="0" item="158"/>
          <tpl fld="1" item="0"/>
        </tpls>
      </m>
      <n v="14">
        <tpls c="2">
          <tpl fld="2" item="1"/>
          <tpl fld="0" item="68"/>
        </tpls>
      </n>
      <m>
        <tpls c="3">
          <tpl fld="2" item="0"/>
          <tpl fld="0" item="47"/>
          <tpl fld="1" item="1"/>
        </tpls>
      </m>
      <m>
        <tpls c="3">
          <tpl fld="2" item="1"/>
          <tpl fld="0" item="318"/>
          <tpl fld="1" item="3"/>
        </tpls>
      </m>
      <n v="218">
        <tpls c="3">
          <tpl fld="2" item="1"/>
          <tpl fld="0" item="48"/>
          <tpl fld="1" item="2"/>
        </tpls>
      </n>
      <n v="162558">
        <tpls c="2">
          <tpl fld="2" item="0"/>
          <tpl fld="0" item="272"/>
        </tpls>
      </n>
      <m>
        <tpls c="3">
          <tpl fld="2" item="0"/>
          <tpl fld="0" item="49"/>
          <tpl fld="1" item="1"/>
        </tpls>
      </m>
      <n v="2693">
        <tpls c="3">
          <tpl fld="2" item="0"/>
          <tpl fld="0" item="297"/>
          <tpl fld="1" item="3"/>
        </tpls>
      </n>
      <n v="786">
        <tpls c="2">
          <tpl fld="2" item="0"/>
          <tpl fld="0" item="106"/>
        </tpls>
      </n>
      <m>
        <tpls c="3">
          <tpl fld="2" item="0"/>
          <tpl fld="0" item="51"/>
          <tpl fld="1" item="0"/>
        </tpls>
      </m>
      <n v="24">
        <tpls c="2">
          <tpl fld="2" item="1"/>
          <tpl fld="0" item="275"/>
        </tpls>
      </n>
      <m>
        <tpls c="3">
          <tpl fld="2" item="1"/>
          <tpl fld="0" item="108"/>
          <tpl fld="1" item="3"/>
        </tpls>
      </m>
      <n v="7510">
        <tpls c="3">
          <tpl fld="2" item="0"/>
          <tpl fld="0" item="390"/>
          <tpl fld="1" item="1"/>
        </tpls>
      </n>
      <m>
        <tpls c="3">
          <tpl fld="2" item="1"/>
          <tpl fld="0" item="165"/>
          <tpl fld="1" item="0"/>
        </tpls>
      </m>
      <n v="50">
        <tpls c="3">
          <tpl fld="2" item="1"/>
          <tpl fld="0" item="298"/>
          <tpl fld="1" item="3"/>
        </tpls>
      </n>
      <n v="297">
        <tpls c="3">
          <tpl fld="2" item="1"/>
          <tpl fld="0" item="110"/>
          <tpl fld="1" item="1"/>
        </tpls>
      </n>
      <n v="1312">
        <tpls c="2">
          <tpl fld="2" item="0"/>
          <tpl fld="0" item="351"/>
        </tpls>
      </n>
      <n v="3112">
        <tpls c="3">
          <tpl fld="2" item="0"/>
          <tpl fld="0" item="305"/>
          <tpl fld="1" item="3"/>
        </tpls>
      </n>
      <m>
        <tpls c="3">
          <tpl fld="2" item="0"/>
          <tpl fld="0" item="382"/>
          <tpl fld="1" item="0"/>
        </tpls>
      </m>
      <n v="207169.1">
        <tpls c="3">
          <tpl fld="2" item="0"/>
          <tpl fld="0" item="395"/>
          <tpl fld="1" item="3"/>
        </tpls>
      </n>
      <m>
        <tpls c="3">
          <tpl fld="2" item="0"/>
          <tpl fld="0" item="141"/>
          <tpl fld="1" item="0"/>
        </tpls>
      </m>
      <m>
        <tpls c="3">
          <tpl fld="2" item="0"/>
          <tpl fld="0" item="409"/>
          <tpl fld="1" item="0"/>
        </tpls>
      </m>
      <m>
        <tpls c="3">
          <tpl fld="2" item="1"/>
          <tpl fld="0" item="345"/>
          <tpl fld="1" item="2"/>
        </tpls>
      </m>
      <m>
        <tpls c="3">
          <tpl fld="2" item="0"/>
          <tpl fld="0" item="258"/>
          <tpl fld="1" item="2"/>
        </tpls>
      </m>
      <m>
        <tpls c="3">
          <tpl fld="2" item="1"/>
          <tpl fld="0" item="202"/>
          <tpl fld="1" item="1"/>
        </tpls>
      </m>
      <m>
        <tpls c="3">
          <tpl fld="2" item="1"/>
          <tpl fld="0" item="372"/>
          <tpl fld="1" item="2"/>
        </tpls>
      </m>
      <m>
        <tpls c="3">
          <tpl fld="2" item="1"/>
          <tpl fld="0" item="426"/>
          <tpl fld="1" item="3"/>
        </tpls>
      </m>
      <m>
        <tpls c="3">
          <tpl fld="2" item="0"/>
          <tpl fld="0" item="205"/>
          <tpl fld="1" item="0"/>
        </tpls>
      </m>
      <n v="95">
        <tpls c="3">
          <tpl fld="2" item="1"/>
          <tpl fld="0" item="315"/>
          <tpl fld="1" item="3"/>
        </tpls>
      </n>
      <m>
        <tpls c="3">
          <tpl fld="2" item="1"/>
          <tpl fld="0" item="37"/>
          <tpl fld="1" item="0"/>
        </tpls>
      </m>
      <m>
        <tpls c="3">
          <tpl fld="2" item="1"/>
          <tpl fld="0" item="149"/>
          <tpl fld="1" item="2"/>
        </tpls>
      </m>
      <m>
        <tpls c="3">
          <tpl fld="2" item="1"/>
          <tpl fld="0" item="262"/>
          <tpl fld="1" item="1"/>
        </tpls>
      </m>
      <m>
        <tpls c="3">
          <tpl fld="2" item="0"/>
          <tpl fld="0" item="361"/>
          <tpl fld="1" item="0"/>
        </tpls>
      </m>
      <n v="469">
        <tpls c="3">
          <tpl fld="2" item="0"/>
          <tpl fld="0" item="94"/>
          <tpl fld="1" item="3"/>
        </tpls>
      </n>
      <m>
        <tpls c="3">
          <tpl fld="2" item="1"/>
          <tpl fld="0" item="124"/>
          <tpl fld="1" item="1"/>
        </tpls>
      </m>
      <m>
        <tpls c="3">
          <tpl fld="2" item="1"/>
          <tpl fld="0" item="413"/>
          <tpl fld="1" item="2"/>
        </tpls>
      </m>
      <m>
        <tpls c="3">
          <tpl fld="2" item="0"/>
          <tpl fld="0" item="39"/>
          <tpl fld="1" item="0"/>
        </tpls>
      </m>
      <m>
        <tpls c="3">
          <tpl fld="2" item="0"/>
          <tpl fld="0" item="95"/>
          <tpl fld="1" item="2"/>
        </tpls>
      </m>
      <m>
        <tpls c="3">
          <tpl fld="2" item="1"/>
          <tpl fld="0" item="207"/>
          <tpl fld="1" item="0"/>
        </tpls>
      </m>
      <n v="1">
        <tpls c="3">
          <tpl fld="2" item="1"/>
          <tpl fld="0" item="263"/>
          <tpl fld="1" item="1"/>
        </tpls>
      </n>
      <n v="2">
        <tpls c="2">
          <tpl fld="2" item="1"/>
          <tpl fld="0" item="362"/>
        </tpls>
      </n>
      <m>
        <tpls c="3">
          <tpl fld="2" item="0"/>
          <tpl fld="0" item="40"/>
          <tpl fld="1" item="2"/>
        </tpls>
      </m>
      <m>
        <tpls c="3">
          <tpl fld="2" item="1"/>
          <tpl fld="0" item="96"/>
          <tpl fld="1" item="1"/>
        </tpls>
      </m>
      <n v="6921.34">
        <tpls c="3">
          <tpl fld="2" item="0"/>
          <tpl fld="0" item="208"/>
          <tpl fld="1" item="1"/>
        </tpls>
      </n>
      <n v="33505">
        <tpls c="2">
          <tpl fld="2" item="0"/>
          <tpl fld="0" item="264"/>
        </tpls>
      </n>
      <m>
        <tpls c="3">
          <tpl fld="2" item="1"/>
          <tpl fld="0" item="416"/>
          <tpl fld="1" item="0"/>
        </tpls>
      </m>
      <m>
        <tpls c="3">
          <tpl fld="2" item="1"/>
          <tpl fld="0" item="41"/>
          <tpl fld="1" item="0"/>
        </tpls>
      </m>
      <n v="9170">
        <tpls c="2">
          <tpl fld="2" item="0"/>
          <tpl fld="0" item="97"/>
        </tpls>
      </n>
      <n v="12504.84">
        <tpls c="3">
          <tpl fld="2" item="0"/>
          <tpl fld="0" item="209"/>
          <tpl fld="1" item="3"/>
        </tpls>
      </n>
      <m>
        <tpls c="3">
          <tpl fld="2" item="0"/>
          <tpl fld="0" item="265"/>
          <tpl fld="1" item="0"/>
        </tpls>
      </m>
      <n v="3">
        <tpls c="3">
          <tpl fld="2" item="1"/>
          <tpl fld="0" item="421"/>
          <tpl fld="1" item="0"/>
        </tpls>
      </n>
      <m>
        <tpls c="3">
          <tpl fld="2" item="1"/>
          <tpl fld="0" item="42"/>
          <tpl fld="1" item="2"/>
        </tpls>
      </m>
      <n v="7084">
        <tpls c="3">
          <tpl fld="2" item="0"/>
          <tpl fld="0" item="154"/>
          <tpl fld="1" item="3"/>
        </tpls>
      </n>
      <n v="0">
        <tpls c="3">
          <tpl fld="2" item="1"/>
          <tpl fld="0" item="266"/>
          <tpl fld="1" item="2"/>
        </tpls>
      </n>
      <n v="13">
        <tpls c="2">
          <tpl fld="2" item="1"/>
          <tpl fld="0" item="427"/>
        </tpls>
      </n>
      <n v="31970.5">
        <tpls c="2">
          <tpl fld="2" item="0"/>
          <tpl fld="0" item="75"/>
        </tpls>
      </n>
      <m>
        <tpls c="3">
          <tpl fld="2" item="1"/>
          <tpl fld="0" item="435"/>
          <tpl fld="1" item="2"/>
        </tpls>
      </m>
      <m>
        <tpls c="3">
          <tpl fld="2" item="0"/>
          <tpl fld="0" item="406"/>
          <tpl fld="1" item="0"/>
        </tpls>
      </m>
      <n v="7">
        <tpls c="3">
          <tpl fld="2" item="1"/>
          <tpl fld="0" item="99"/>
          <tpl fld="1" item="2"/>
        </tpls>
      </n>
      <m>
        <tpls c="3">
          <tpl fld="2" item="0"/>
          <tpl fld="0" item="155"/>
          <tpl fld="1" item="3"/>
        </tpls>
      </m>
      <n v="3877">
        <tpls c="2">
          <tpl fld="2" item="0"/>
          <tpl fld="0" item="267"/>
        </tpls>
      </n>
      <m>
        <tpls c="3">
          <tpl fld="2" item="0"/>
          <tpl fld="0" item="363"/>
          <tpl fld="1" item="2"/>
        </tpls>
      </m>
      <n v="75">
        <tpls c="3">
          <tpl fld="2" item="0"/>
          <tpl fld="0" item="374"/>
          <tpl fld="1" item="1"/>
        </tpls>
      </n>
      <n v="8359">
        <tpls c="2">
          <tpl fld="2" item="1"/>
          <tpl fld="0" item="100"/>
        </tpls>
      </n>
      <n v="19386">
        <tpls c="3">
          <tpl fld="2" item="0"/>
          <tpl fld="0" item="156"/>
          <tpl fld="1" item="1"/>
        </tpls>
      </n>
      <n v="7">
        <tpls c="3">
          <tpl fld="2" item="1"/>
          <tpl fld="0" item="268"/>
          <tpl fld="1" item="1"/>
        </tpls>
      </n>
      <m>
        <tpls c="3">
          <tpl fld="2" item="0"/>
          <tpl fld="0" item="410"/>
          <tpl fld="1" item="1"/>
        </tpls>
      </m>
      <m>
        <tpls c="3">
          <tpl fld="2" item="1"/>
          <tpl fld="0" item="317"/>
          <tpl fld="1" item="0"/>
        </tpls>
      </m>
      <m>
        <tpls c="3">
          <tpl fld="2" item="1"/>
          <tpl fld="0" item="101"/>
          <tpl fld="1" item="0"/>
        </tpls>
      </m>
      <n v="69654.12">
        <tpls c="3">
          <tpl fld="2" item="0"/>
          <tpl fld="0" item="157"/>
          <tpl fld="1" item="3"/>
        </tpls>
      </n>
      <n v="7">
        <tpls c="3">
          <tpl fld="2" item="1"/>
          <tpl fld="0" item="269"/>
          <tpl fld="1" item="0"/>
        </tpls>
      </n>
      <n v="909">
        <tpls c="3">
          <tpl fld="2" item="0"/>
          <tpl fld="0" item="400"/>
          <tpl fld="1" item="1"/>
        </tpls>
      </n>
      <m>
        <tpls c="3">
          <tpl fld="2" item="0"/>
          <tpl fld="0" item="414"/>
          <tpl fld="1" item="0"/>
        </tpls>
      </m>
      <n v="30">
        <tpls c="3">
          <tpl fld="2" item="1"/>
          <tpl fld="0" item="102"/>
          <tpl fld="1" item="3"/>
        </tpls>
      </n>
      <m>
        <tpls c="3">
          <tpl fld="2" item="0"/>
          <tpl fld="0" item="158"/>
          <tpl fld="1" item="2"/>
        </tpls>
      </m>
      <m>
        <tpls c="3">
          <tpl fld="2" item="0"/>
          <tpl fld="0" item="214"/>
          <tpl fld="1" item="1"/>
        </tpls>
      </m>
      <n v="13">
        <tpls c="2">
          <tpl fld="2" item="1"/>
          <tpl fld="0" item="417"/>
        </tpls>
      </n>
      <n v="48">
        <tpls c="2">
          <tpl fld="2" item="1"/>
          <tpl fld="0" item="173"/>
        </tpls>
      </n>
      <n v="27">
        <tpls c="2">
          <tpl fld="2" item="1"/>
          <tpl fld="0" item="187"/>
        </tpls>
      </n>
      <n v="30">
        <tpls c="2">
          <tpl fld="2" item="1"/>
          <tpl fld="0" item="284"/>
        </tpls>
      </n>
      <m>
        <tpls c="3">
          <tpl fld="2" item="0"/>
          <tpl fld="0" item="428"/>
          <tpl fld="1" item="0"/>
        </tpls>
      </m>
      <n v="2">
        <tpls c="2">
          <tpl fld="2" item="1"/>
          <tpl fld="0" item="441"/>
        </tpls>
      </n>
      <n v="0">
        <tpls c="3">
          <tpl fld="2" item="1"/>
          <tpl fld="0" item="47"/>
          <tpl fld="1" item="2"/>
        </tpls>
      </n>
      <m>
        <tpls c="3">
          <tpl fld="2" item="1"/>
          <tpl fld="0" item="103"/>
          <tpl fld="1" item="0"/>
        </tpls>
      </m>
      <n v="9">
        <tpls c="2">
          <tpl fld="2" item="1"/>
          <tpl fld="0" item="159"/>
        </tpls>
      </n>
      <m>
        <tpls c="3">
          <tpl fld="2" item="1"/>
          <tpl fld="0" item="215"/>
          <tpl fld="1" item="2"/>
        </tpls>
      </m>
      <m>
        <tpls c="3">
          <tpl fld="2" item="0"/>
          <tpl fld="0" item="215"/>
          <tpl fld="1" item="0"/>
        </tpls>
      </m>
      <n v="10">
        <tpls c="3">
          <tpl fld="2" item="0"/>
          <tpl fld="0" item="271"/>
          <tpl fld="1" item="1"/>
        </tpls>
      </n>
      <m>
        <tpls c="3">
          <tpl fld="2" item="0"/>
          <tpl fld="0" item="318"/>
          <tpl fld="1" item="2"/>
        </tpls>
      </m>
      <m>
        <tpls c="3">
          <tpl fld="2" item="1"/>
          <tpl fld="0" item="350"/>
          <tpl fld="1" item="3"/>
        </tpls>
      </m>
      <m>
        <tpls c="3">
          <tpl fld="2" item="0"/>
          <tpl fld="0" item="364"/>
          <tpl fld="1" item="1"/>
        </tpls>
      </m>
      <n v="306">
        <tpls c="2">
          <tpl fld="2" item="0"/>
          <tpl fld="0" item="364"/>
        </tpls>
      </n>
      <n v="540035.6">
        <tpls c="2">
          <tpl fld="2" item="0"/>
          <tpl fld="0" item="48"/>
        </tpls>
      </n>
      <n v="1970">
        <tpls c="2">
          <tpl fld="2" item="1"/>
          <tpl fld="0" item="104"/>
        </tpls>
      </n>
      <n v="45">
        <tpls c="3">
          <tpl fld="2" item="1"/>
          <tpl fld="0" item="160"/>
          <tpl fld="1" item="0"/>
        </tpls>
      </n>
      <n v="39">
        <tpls c="3">
          <tpl fld="2" item="1"/>
          <tpl fld="0" item="216"/>
          <tpl fld="1" item="0"/>
        </tpls>
      </n>
      <n v="10052">
        <tpls c="3">
          <tpl fld="2" item="0"/>
          <tpl fld="0" item="216"/>
          <tpl fld="1" item="0"/>
        </tpls>
      </n>
      <m>
        <tpls c="3">
          <tpl fld="2" item="1"/>
          <tpl fld="0" item="272"/>
          <tpl fld="1" item="0"/>
        </tpls>
      </m>
      <m>
        <tpls c="3">
          <tpl fld="2" item="1"/>
          <tpl fld="0" item="375"/>
          <tpl fld="1" item="1"/>
        </tpls>
      </m>
      <m>
        <tpls c="3">
          <tpl fld="2" item="0"/>
          <tpl fld="0" item="436"/>
          <tpl fld="1" item="1"/>
        </tpls>
      </m>
      <n v="86">
        <tpls c="3">
          <tpl fld="2" item="1"/>
          <tpl fld="0" item="389"/>
          <tpl fld="1" item="3"/>
        </tpls>
      </n>
      <m>
        <tpls c="3">
          <tpl fld="2" item="1"/>
          <tpl fld="0" item="389"/>
          <tpl fld="1" item="0"/>
        </tpls>
      </m>
      <n v="539">
        <tpls c="3">
          <tpl fld="2" item="1"/>
          <tpl fld="0" item="49"/>
          <tpl fld="1" item="3"/>
        </tpls>
      </n>
      <n v="7053.61">
        <tpls c="3">
          <tpl fld="2" item="0"/>
          <tpl fld="0" item="105"/>
          <tpl fld="1" item="3"/>
        </tpls>
      </n>
      <n v="5604">
        <tpls c="2">
          <tpl fld="2" item="0"/>
          <tpl fld="0" item="161"/>
        </tpls>
      </n>
      <m>
        <tpls c="3">
          <tpl fld="2" item="0"/>
          <tpl fld="0" item="217"/>
          <tpl fld="1" item="0"/>
        </tpls>
      </m>
      <m>
        <tpls c="3">
          <tpl fld="2" item="1"/>
          <tpl fld="0" item="217"/>
          <tpl fld="1" item="1"/>
        </tpls>
      </m>
      <m>
        <tpls c="3">
          <tpl fld="2" item="1"/>
          <tpl fld="0" item="273"/>
          <tpl fld="1" item="0"/>
        </tpls>
      </m>
      <m>
        <tpls c="3">
          <tpl fld="2" item="1"/>
          <tpl fld="0" item="297"/>
          <tpl fld="1" item="2"/>
        </tpls>
      </m>
      <m>
        <tpls c="3">
          <tpl fld="2" item="0"/>
          <tpl fld="0" item="401"/>
          <tpl fld="1" item="0"/>
        </tpls>
      </m>
      <m>
        <tpls c="3">
          <tpl fld="2" item="1"/>
          <tpl fld="0" item="319"/>
          <tpl fld="1" item="0"/>
        </tpls>
      </m>
      <m>
        <tpls c="3">
          <tpl fld="2" item="0"/>
          <tpl fld="0" item="50"/>
          <tpl fld="1" item="0"/>
        </tpls>
      </m>
      <n v="115">
        <tpls c="3">
          <tpl fld="2" item="0"/>
          <tpl fld="0" item="50"/>
          <tpl fld="1" item="1"/>
        </tpls>
      </n>
      <m>
        <tpls c="3">
          <tpl fld="2" item="1"/>
          <tpl fld="0" item="106"/>
          <tpl fld="1" item="0"/>
        </tpls>
      </m>
      <m>
        <tpls c="3">
          <tpl fld="2" item="0"/>
          <tpl fld="0" item="162"/>
          <tpl fld="1" item="2"/>
        </tpls>
      </m>
      <n v="7">
        <tpls c="2">
          <tpl fld="2" item="1"/>
          <tpl fld="0" item="218"/>
        </tpls>
      </n>
      <n v="716">
        <tpls c="2">
          <tpl fld="2" item="1"/>
          <tpl fld="0" item="274"/>
        </tpls>
      </n>
      <n v="1801">
        <tpls c="3">
          <tpl fld="2" item="1"/>
          <tpl hier="4" item="4294967295"/>
          <tpl fld="1" item="0"/>
        </tpls>
      </n>
      <n v="2542931.5099999998">
        <tpls c="3">
          <tpl fld="2" item="0"/>
          <tpl hier="4" item="4294967295"/>
          <tpl fld="1" item="2"/>
        </tpls>
      </n>
      <n v="1502">
        <tpls c="3">
          <tpl fld="2" item="1"/>
          <tpl fld="0" item="51"/>
          <tpl fld="1" item="2"/>
        </tpls>
      </n>
      <m>
        <tpls c="3">
          <tpl fld="2" item="1"/>
          <tpl fld="0" item="107"/>
          <tpl fld="1" item="3"/>
        </tpls>
      </m>
      <n v="42">
        <tpls c="3">
          <tpl fld="2" item="1"/>
          <tpl fld="0" item="163"/>
          <tpl fld="1" item="1"/>
        </tpls>
      </n>
      <n v="8827">
        <tpls c="3">
          <tpl fld="2" item="0"/>
          <tpl fld="0" item="219"/>
          <tpl fld="1" item="1"/>
        </tpls>
      </n>
      <m>
        <tpls c="3">
          <tpl fld="2" item="0"/>
          <tpl fld="0" item="219"/>
          <tpl fld="1" item="2"/>
        </tpls>
      </m>
      <m>
        <tpls c="3">
          <tpl fld="2" item="1"/>
          <tpl fld="0" item="275"/>
          <tpl fld="1" item="3"/>
        </tpls>
      </m>
      <m>
        <tpls c="3">
          <tpl fld="2" item="1"/>
          <tpl fld="0" item="320"/>
          <tpl fld="1" item="0"/>
        </tpls>
      </m>
      <m>
        <tpls c="3">
          <tpl fld="2" item="1"/>
          <tpl fld="0" item="376"/>
          <tpl fld="1" item="3"/>
        </tpls>
      </m>
      <n v="3">
        <tpls c="3">
          <tpl fld="2" item="1"/>
          <tpl fld="0" item="429"/>
          <tpl fld="1" item="1"/>
        </tpls>
      </n>
      <m>
        <tpls c="3">
          <tpl fld="2" item="0"/>
          <tpl fld="0" item="429"/>
          <tpl fld="1" item="2"/>
        </tpls>
      </m>
      <m>
        <tpls c="3">
          <tpl fld="2" item="1"/>
          <tpl fld="0" item="52"/>
          <tpl fld="1" item="2"/>
        </tpls>
      </m>
      <n v="1">
        <tpls c="3">
          <tpl fld="2" item="0"/>
          <tpl fld="0" item="108"/>
          <tpl fld="1" item="1"/>
        </tpls>
      </n>
      <m>
        <tpls c="3">
          <tpl fld="2" item="1"/>
          <tpl fld="0" item="164"/>
          <tpl fld="1" item="3"/>
        </tpls>
      </m>
      <m>
        <tpls c="3">
          <tpl fld="2" item="0"/>
          <tpl fld="0" item="220"/>
          <tpl fld="1" item="1"/>
        </tpls>
      </m>
      <m>
        <tpls c="3">
          <tpl fld="2" item="0"/>
          <tpl fld="0" item="220"/>
          <tpl fld="1" item="2"/>
        </tpls>
      </m>
      <n v="884">
        <tpls c="3">
          <tpl fld="2" item="1"/>
          <tpl fld="0" item="276"/>
          <tpl fld="1" item="0"/>
        </tpls>
      </n>
      <m>
        <tpls c="3">
          <tpl fld="2" item="1"/>
          <tpl fld="0" item="390"/>
          <tpl fld="1" item="2"/>
        </tpls>
      </m>
      <n v="28520">
        <tpls c="3">
          <tpl fld="2" item="0"/>
          <tpl fld="0" item="402"/>
          <tpl fld="1" item="3"/>
        </tpls>
      </n>
      <n v="36">
        <tpls c="3">
          <tpl fld="2" item="1"/>
          <tpl fld="0" item="442"/>
          <tpl fld="1" item="1"/>
        </tpls>
      </n>
      <m>
        <tpls c="3">
          <tpl fld="2" item="1"/>
          <tpl fld="0" item="442"/>
          <tpl fld="1" item="2"/>
        </tpls>
      </m>
      <n v="111298.31">
        <tpls c="2">
          <tpl fld="2" item="0"/>
          <tpl fld="0" item="53"/>
        </tpls>
      </n>
      <n v="559340.71">
        <tpls c="3">
          <tpl fld="2" item="0"/>
          <tpl fld="0" item="109"/>
          <tpl fld="1" item="3"/>
        </tpls>
      </n>
      <n v="68459.7">
        <tpls c="2">
          <tpl fld="2" item="0"/>
          <tpl fld="0" item="165"/>
        </tpls>
      </n>
      <m>
        <tpls c="3">
          <tpl fld="2" item="0"/>
          <tpl fld="0" item="221"/>
          <tpl fld="1" item="1"/>
        </tpls>
      </m>
      <n v="1322">
        <tpls c="3">
          <tpl fld="2" item="0"/>
          <tpl fld="0" item="221"/>
          <tpl fld="1" item="2"/>
        </tpls>
      </n>
      <m>
        <tpls c="3">
          <tpl fld="2" item="0"/>
          <tpl fld="0" item="277"/>
          <tpl fld="1" item="2"/>
        </tpls>
      </m>
      <m>
        <tpls c="3">
          <tpl fld="2" item="1"/>
          <tpl fld="0" item="298"/>
          <tpl fld="1" item="2"/>
        </tpls>
      </m>
      <m>
        <tpls c="3">
          <tpl fld="2" item="0"/>
          <tpl fld="0" item="437"/>
          <tpl fld="1" item="0"/>
        </tpls>
      </m>
      <m>
        <tpls c="3">
          <tpl fld="2" item="0"/>
          <tpl fld="0" item="321"/>
          <tpl fld="1" item="2"/>
        </tpls>
      </m>
      <m>
        <tpls c="3">
          <tpl fld="2" item="1"/>
          <tpl fld="0" item="321"/>
          <tpl fld="1" item="2"/>
        </tpls>
      </m>
      <n v="410">
        <tpls c="3">
          <tpl fld="2" item="1"/>
          <tpl fld="0" item="54"/>
          <tpl fld="1" item="3"/>
        </tpls>
      </n>
      <m>
        <tpls c="3">
          <tpl fld="2" item="1"/>
          <tpl fld="0" item="110"/>
          <tpl fld="1" item="0"/>
        </tpls>
      </m>
      <n v="47">
        <tpls c="2">
          <tpl fld="2" item="1"/>
          <tpl fld="0" item="166"/>
        </tpls>
      </n>
      <n v="42">
        <tpls c="3">
          <tpl fld="2" item="1"/>
          <tpl fld="0" item="222"/>
          <tpl fld="1" item="3"/>
        </tpls>
      </n>
      <m>
        <tpls c="3">
          <tpl fld="2" item="1"/>
          <tpl fld="0" item="222"/>
          <tpl fld="1" item="0"/>
        </tpls>
      </m>
      <n v="51">
        <tpls c="3">
          <tpl fld="2" item="1"/>
          <tpl fld="0" item="278"/>
          <tpl fld="1" item="3"/>
        </tpls>
      </n>
      <m>
        <tpls c="3">
          <tpl fld="2" item="1"/>
          <tpl fld="0" item="351"/>
          <tpl fld="1" item="0"/>
        </tpls>
      </m>
      <m>
        <tpls c="3">
          <tpl fld="2" item="0"/>
          <tpl fld="0" item="365"/>
          <tpl fld="1" item="0"/>
        </tpls>
      </m>
      <n v="301">
        <tpls c="3">
          <tpl fld="2" item="0"/>
          <tpl fld="0" item="138"/>
          <tpl fld="1" item="3"/>
        </tpls>
      </n>
      <n v="22403.48">
        <tpls c="3">
          <tpl fld="2" item="0"/>
          <tpl fld="0" item="287"/>
          <tpl fld="1" item="3"/>
        </tpls>
      </n>
      <n v="6041.55">
        <tpls c="3">
          <tpl fld="2" item="0"/>
          <tpl fld="0" item="18"/>
          <tpl fld="1" item="3"/>
        </tpls>
      </n>
      <n v="3253">
        <tpls c="3">
          <tpl fld="2" item="0"/>
          <tpl fld="0" item="236"/>
          <tpl fld="1" item="3"/>
        </tpls>
      </n>
      <n v="13151">
        <tpls c="3">
          <tpl fld="2" item="0"/>
          <tpl fld="0" item="302"/>
          <tpl fld="1" item="3"/>
        </tpls>
      </n>
      <n v="420.99">
        <tpls c="3">
          <tpl fld="2" item="0"/>
          <tpl fld="0" item="6"/>
          <tpl fld="1" item="3"/>
        </tpls>
      </n>
      <n v="0">
        <tpls c="3">
          <tpl fld="2" item="0"/>
          <tpl fld="0" item="321"/>
          <tpl fld="1" item="1"/>
        </tpls>
      </n>
      <n v="1500">
        <tpls c="2">
          <tpl fld="2" item="0"/>
          <tpl fld="0" item="166"/>
        </tpls>
      </n>
      <m>
        <tpls c="3">
          <tpl fld="2" item="0"/>
          <tpl fld="0" item="351"/>
          <tpl fld="1" item="0"/>
        </tpls>
      </m>
      <n v="7011">
        <tpls c="3">
          <tpl fld="2" item="0"/>
          <tpl fld="0" item="412"/>
          <tpl fld="1" item="3"/>
        </tpls>
      </n>
      <n v="234">
        <tpls c="3">
          <tpl fld="2" item="0"/>
          <tpl fld="0" item="180"/>
          <tpl fld="1" item="3"/>
        </tpls>
      </n>
      <m>
        <tpls c="3">
          <tpl fld="2" item="1"/>
          <tpl fld="0" item="375"/>
          <tpl fld="1" item="0"/>
        </tpls>
      </m>
      <m>
        <tpls c="3">
          <tpl fld="2" item="1"/>
          <tpl fld="0" item="163"/>
          <tpl fld="1" item="3"/>
        </tpls>
      </m>
      <m>
        <tpls c="3">
          <tpl fld="2" item="1"/>
          <tpl fld="0" item="429"/>
          <tpl fld="1" item="3"/>
        </tpls>
      </m>
      <m>
        <tpls c="3">
          <tpl fld="2" item="1"/>
          <tpl fld="0" item="164"/>
          <tpl fld="1" item="2"/>
        </tpls>
      </m>
      <m>
        <tpls c="3">
          <tpl fld="2" item="0"/>
          <tpl fld="0" item="390"/>
          <tpl fld="1" item="2"/>
        </tpls>
      </m>
      <n v="10706">
        <tpls c="3">
          <tpl fld="2" item="0"/>
          <tpl fld="0" item="53"/>
          <tpl fld="1" item="1"/>
        </tpls>
      </n>
      <m>
        <tpls c="3">
          <tpl fld="2" item="1"/>
          <tpl fld="0" item="298"/>
          <tpl fld="1" item="1"/>
        </tpls>
      </m>
      <m>
        <tpls c="3">
          <tpl fld="2" item="0"/>
          <tpl fld="0" item="321"/>
          <tpl fld="1" item="0"/>
        </tpls>
      </m>
      <m>
        <tpls c="3">
          <tpl fld="2" item="1"/>
          <tpl fld="0" item="166"/>
          <tpl fld="1" item="1"/>
        </tpls>
      </m>
      <m>
        <tpls c="3">
          <tpl fld="2" item="0"/>
          <tpl fld="0" item="278"/>
          <tpl fld="1" item="2"/>
        </tpls>
      </m>
      <n v="1003">
        <tpls c="3">
          <tpl fld="2" item="0"/>
          <tpl fld="0" item="20"/>
          <tpl fld="1" item="3"/>
        </tpls>
      </n>
      <n v="425">
        <tpls c="3">
          <tpl fld="2" item="0"/>
          <tpl fld="0" item="124"/>
          <tpl fld="1" item="3"/>
        </tpls>
      </n>
      <n v="43296">
        <tpls c="2">
          <tpl fld="2" item="0"/>
          <tpl fld="0" item="144"/>
        </tpls>
      </n>
      <m>
        <tpls c="3">
          <tpl fld="2" item="0"/>
          <tpl fld="0" item="398"/>
          <tpl fld="1" item="2"/>
        </tpls>
      </m>
      <m>
        <tpls c="3">
          <tpl fld="2" item="1"/>
          <tpl fld="0" item="347"/>
          <tpl fld="1" item="1"/>
        </tpls>
      </m>
      <n v="0">
        <tpls c="3">
          <tpl fld="2" item="0"/>
          <tpl fld="0" item="39"/>
          <tpl fld="1" item="1"/>
        </tpls>
      </n>
      <n v="0">
        <tpls c="3">
          <tpl fld="2" item="0"/>
          <tpl fld="0" item="40"/>
          <tpl fld="1" item="1"/>
        </tpls>
      </n>
      <m>
        <tpls c="3">
          <tpl fld="2" item="1"/>
          <tpl fld="0" item="387"/>
          <tpl fld="1" item="2"/>
        </tpls>
      </m>
      <m>
        <tpls c="3">
          <tpl fld="2" item="1"/>
          <tpl fld="0" item="294"/>
          <tpl fld="1" item="0"/>
        </tpls>
      </m>
      <n v="7858">
        <tpls c="2">
          <tpl fld="2" item="0"/>
          <tpl fld="0" item="266"/>
        </tpls>
      </n>
      <n v="90">
        <tpls c="2">
          <tpl fld="2" item="0"/>
          <tpl fld="0" item="155"/>
        </tpls>
      </n>
      <n v="3">
        <tpls c="2">
          <tpl fld="2" item="1"/>
          <tpl fld="0" item="374"/>
        </tpls>
      </n>
      <n v="70">
        <tpls c="3">
          <tpl fld="2" item="0"/>
          <tpl fld="0" item="45"/>
          <tpl fld="1" item="1"/>
        </tpls>
      </n>
      <m>
        <tpls c="3">
          <tpl fld="2" item="0"/>
          <tpl fld="0" item="46"/>
          <tpl fld="1" item="1"/>
        </tpls>
      </m>
      <n v="0">
        <tpls c="3">
          <tpl fld="2" item="0"/>
          <tpl fld="0" item="270"/>
          <tpl fld="1" item="0"/>
        </tpls>
      </n>
      <n v="4">
        <tpls c="3">
          <tpl fld="2" item="1"/>
          <tpl fld="0" item="296"/>
          <tpl fld="1" item="1"/>
        </tpls>
      </n>
      <n v="2">
        <tpls c="2">
          <tpl fld="2" item="1"/>
          <tpl fld="0" item="271"/>
        </tpls>
      </n>
      <m>
        <tpls c="3">
          <tpl fld="2" item="1"/>
          <tpl fld="0" item="350"/>
          <tpl fld="1" item="0"/>
        </tpls>
      </m>
      <n v="34527">
        <tpls c="3">
          <tpl fld="2" item="0"/>
          <tpl fld="0" item="160"/>
          <tpl fld="1" item="2"/>
        </tpls>
      </n>
      <m>
        <tpls c="3">
          <tpl fld="2" item="1"/>
          <tpl fld="0" item="436"/>
          <tpl fld="1" item="2"/>
        </tpls>
      </m>
      <n v="47">
        <tpls c="2">
          <tpl fld="2" item="1"/>
          <tpl fld="0" item="217"/>
        </tpls>
      </n>
      <n v="49">
        <tpls c="2">
          <tpl fld="2" item="1"/>
          <tpl fld="0" item="319"/>
        </tpls>
      </n>
      <n v="30406.32">
        <tpls c="3">
          <tpl fld="2" item="0"/>
          <tpl fld="0" item="274"/>
          <tpl fld="1" item="3"/>
        </tpls>
      </n>
      <m>
        <tpls c="3">
          <tpl fld="2" item="1"/>
          <tpl fld="0" item="219"/>
          <tpl fld="1" item="3"/>
        </tpls>
      </m>
      <m>
        <tpls c="3">
          <tpl fld="2" item="1"/>
          <tpl fld="0" item="52"/>
          <tpl fld="1" item="0"/>
        </tpls>
      </m>
      <n v="7">
        <tpls c="3">
          <tpl fld="2" item="1"/>
          <tpl fld="0" item="276"/>
          <tpl fld="1" item="2"/>
        </tpls>
      </n>
      <n v="1">
        <tpls c="3">
          <tpl fld="2" item="1"/>
          <tpl fld="0" item="53"/>
          <tpl fld="1" item="2"/>
        </tpls>
      </n>
      <n v="5259">
        <tpls c="2">
          <tpl fld="2" item="0"/>
          <tpl fld="0" item="298"/>
        </tpls>
      </n>
      <n v="4308">
        <tpls c="2">
          <tpl fld="2" item="0"/>
          <tpl fld="0" item="54"/>
        </tpls>
      </n>
      <n v="9">
        <tpls c="3">
          <tpl fld="2" item="1"/>
          <tpl fld="0" item="351"/>
          <tpl fld="1" item="1"/>
        </tpls>
      </n>
      <n v="3005">
        <tpls c="3">
          <tpl fld="2" item="0"/>
          <tpl fld="0" item="5"/>
          <tpl fld="1" item="3"/>
        </tpls>
      </n>
      <n v="37">
        <tpls c="3">
          <tpl fld="2" item="1"/>
          <tpl fld="0" item="394"/>
          <tpl fld="1" item="1"/>
        </tpls>
      </n>
      <n v="360">
        <tpls c="3">
          <tpl fld="2" item="0"/>
          <tpl fld="0" item="82"/>
          <tpl fld="1" item="0"/>
        </tpls>
      </n>
      <m>
        <tpls c="3">
          <tpl fld="2" item="0"/>
          <tpl fld="0" item="253"/>
          <tpl fld="1" item="1"/>
        </tpls>
      </m>
      <n v="494">
        <tpls c="3">
          <tpl fld="2" item="1"/>
          <tpl fld="0" item="409"/>
          <tpl fld="1" item="2"/>
        </tpls>
      </n>
      <m>
        <tpls c="3">
          <tpl fld="2" item="1"/>
          <tpl fld="0" item="291"/>
          <tpl fld="1" item="2"/>
        </tpls>
      </m>
      <m>
        <tpls c="3">
          <tpl fld="2" item="1"/>
          <tpl fld="0" item="258"/>
          <tpl fld="1" item="0"/>
        </tpls>
      </m>
      <m>
        <tpls c="3">
          <tpl fld="2" item="1"/>
          <tpl fld="0" item="327"/>
          <tpl fld="1" item="0"/>
        </tpls>
      </m>
      <m>
        <tpls c="3">
          <tpl fld="2" item="0"/>
          <tpl fld="0" item="372"/>
          <tpl fld="1" item="0"/>
        </tpls>
      </m>
      <n v="0">
        <tpls c="2">
          <tpl fld="2" item="0"/>
          <tpl fld="0" item="426"/>
        </tpls>
      </n>
      <n v="2997">
        <tpls c="3">
          <tpl fld="2" item="1"/>
          <tpl fld="0" item="205"/>
          <tpl fld="1" item="3"/>
        </tpls>
      </n>
      <m>
        <tpls c="3">
          <tpl fld="2" item="0"/>
          <tpl fld="0" item="315"/>
          <tpl fld="1" item="0"/>
        </tpls>
      </m>
      <n v="514">
        <tpls c="3">
          <tpl fld="2" item="1"/>
          <tpl fld="0" item="37"/>
          <tpl fld="1" item="3"/>
        </tpls>
      </n>
      <n v="110">
        <tpls c="2">
          <tpl fld="2" item="1"/>
          <tpl fld="0" item="149"/>
        </tpls>
      </n>
      <m>
        <tpls c="3">
          <tpl fld="2" item="0"/>
          <tpl fld="0" item="262"/>
          <tpl fld="1" item="1"/>
        </tpls>
      </m>
      <n v="246">
        <tpls c="3">
          <tpl fld="2" item="1"/>
          <tpl fld="0" item="361"/>
          <tpl fld="1" item="3"/>
        </tpls>
      </n>
      <m>
        <tpls c="3">
          <tpl fld="2" item="1"/>
          <tpl fld="0" item="94"/>
          <tpl fld="1" item="2"/>
        </tpls>
      </m>
      <n v="3">
        <tpls c="3">
          <tpl fld="2" item="1"/>
          <tpl fld="0" item="383"/>
          <tpl fld="1" item="1"/>
        </tpls>
      </n>
      <n v="7">
        <tpls c="2">
          <tpl fld="2" item="1"/>
          <tpl fld="0" item="413"/>
        </tpls>
      </n>
      <m>
        <tpls c="3">
          <tpl fld="2" item="1"/>
          <tpl fld="0" item="39"/>
          <tpl fld="1" item="3"/>
        </tpls>
      </m>
      <n v="357">
        <tpls c="2">
          <tpl fld="2" item="0"/>
          <tpl fld="0" item="95"/>
        </tpls>
      </n>
      <m>
        <tpls c="3">
          <tpl fld="2" item="0"/>
          <tpl fld="0" item="207"/>
          <tpl fld="1" item="0"/>
        </tpls>
      </m>
      <n v="29">
        <tpls c="3">
          <tpl fld="2" item="0"/>
          <tpl fld="0" item="263"/>
          <tpl fld="1" item="1"/>
        </tpls>
      </n>
      <m>
        <tpls c="3">
          <tpl fld="2" item="0"/>
          <tpl fld="0" item="362"/>
          <tpl fld="1" item="3"/>
        </tpls>
      </m>
      <n v="0">
        <tpls c="2">
          <tpl fld="2" item="1"/>
          <tpl fld="0" item="40"/>
        </tpls>
      </n>
      <m>
        <tpls c="3">
          <tpl fld="2" item="0"/>
          <tpl fld="0" item="96"/>
          <tpl fld="1" item="1"/>
        </tpls>
      </m>
      <n v="1686">
        <tpls c="2">
          <tpl fld="2" item="1"/>
          <tpl fld="0" item="208"/>
        </tpls>
      </n>
      <n v="4">
        <tpls c="3">
          <tpl fld="2" item="1"/>
          <tpl fld="0" item="264"/>
          <tpl fld="1" item="1"/>
        </tpls>
      </n>
      <m>
        <tpls c="3">
          <tpl fld="2" item="0"/>
          <tpl fld="0" item="416"/>
          <tpl fld="1" item="0"/>
        </tpls>
      </m>
      <m>
        <tpls c="3">
          <tpl fld="2" item="0"/>
          <tpl fld="0" item="41"/>
          <tpl fld="1" item="1"/>
        </tpls>
      </m>
      <m>
        <tpls c="3">
          <tpl fld="2" item="1"/>
          <tpl fld="0" item="97"/>
          <tpl fld="1" item="0"/>
        </tpls>
      </m>
      <m>
        <tpls c="3">
          <tpl fld="2" item="1"/>
          <tpl fld="0" item="209"/>
          <tpl fld="1" item="0"/>
        </tpls>
      </m>
      <n v="193">
        <tpls c="3">
          <tpl fld="2" item="1"/>
          <tpl fld="0" item="265"/>
          <tpl fld="1" item="3"/>
        </tpls>
      </n>
      <n v="100">
        <tpls c="3">
          <tpl fld="2" item="1"/>
          <tpl fld="0" item="421"/>
          <tpl fld="1" item="3"/>
        </tpls>
      </n>
      <n v="246">
        <tpls c="2">
          <tpl fld="2" item="1"/>
          <tpl fld="0" item="42"/>
        </tpls>
      </n>
      <m>
        <tpls c="3">
          <tpl fld="2" item="1"/>
          <tpl fld="0" item="154"/>
          <tpl fld="1" item="2"/>
        </tpls>
      </m>
      <n v="9">
        <tpls c="3">
          <tpl fld="2" item="1"/>
          <tpl fld="0" item="266"/>
          <tpl fld="1" item="1"/>
        </tpls>
      </n>
      <m>
        <tpls c="3">
          <tpl fld="2" item="0"/>
          <tpl fld="0" item="427"/>
          <tpl fld="1" item="2"/>
        </tpls>
      </m>
      <n v="1003">
        <tpls c="2">
          <tpl fld="2" item="0"/>
          <tpl fld="0" item="20"/>
        </tpls>
      </n>
      <n v="7">
        <tpls c="2">
          <tpl fld="2" item="1"/>
          <tpl fld="0" item="435"/>
        </tpls>
      </n>
      <m>
        <tpls c="3">
          <tpl fld="2" item="1"/>
          <tpl fld="0" item="406"/>
          <tpl fld="1" item="3"/>
        </tpls>
      </m>
      <n v="7">
        <tpls c="2">
          <tpl fld="2" item="1"/>
          <tpl fld="0" item="99"/>
        </tpls>
      </n>
      <m>
        <tpls c="3">
          <tpl fld="2" item="0"/>
          <tpl fld="0" item="211"/>
          <tpl fld="1" item="2"/>
        </tpls>
      </m>
      <n v="3877">
        <tpls c="3">
          <tpl fld="2" item="0"/>
          <tpl fld="0" item="267"/>
          <tpl fld="1" item="1"/>
        </tpls>
      </n>
      <m>
        <tpls c="3">
          <tpl fld="2" item="1"/>
          <tpl fld="0" item="363"/>
          <tpl fld="1" item="0"/>
        </tpls>
      </m>
      <m>
        <tpls c="3">
          <tpl fld="2" item="1"/>
          <tpl fld="0" item="374"/>
          <tpl fld="1" item="3"/>
        </tpls>
      </m>
      <n v="972594.99">
        <tpls c="2">
          <tpl fld="2" item="0"/>
          <tpl fld="0" item="100"/>
        </tpls>
      </n>
      <m>
        <tpls c="3">
          <tpl fld="2" item="1"/>
          <tpl fld="0" item="212"/>
          <tpl fld="1" item="0"/>
        </tpls>
      </m>
      <m>
        <tpls c="3">
          <tpl fld="2" item="1"/>
          <tpl fld="0" item="268"/>
          <tpl fld="1" item="0"/>
        </tpls>
      </m>
      <m>
        <tpls c="3">
          <tpl fld="2" item="0"/>
          <tpl fld="0" item="410"/>
          <tpl fld="1" item="0"/>
        </tpls>
      </m>
      <m>
        <tpls c="3">
          <tpl fld="2" item="0"/>
          <tpl fld="0" item="317"/>
          <tpl fld="1" item="0"/>
        </tpls>
      </m>
      <m>
        <tpls c="3">
          <tpl fld="2" item="0"/>
          <tpl fld="0" item="101"/>
          <tpl fld="1" item="0"/>
        </tpls>
      </m>
      <m>
        <tpls c="3">
          <tpl fld="2" item="0"/>
          <tpl fld="0" item="213"/>
          <tpl fld="1" item="2"/>
        </tpls>
      </m>
      <n v="7999">
        <tpls c="3">
          <tpl fld="2" item="1"/>
          <tpl fld="0" item="269"/>
          <tpl fld="1" item="3"/>
        </tpls>
      </n>
      <n v="4">
        <tpls c="3">
          <tpl fld="2" item="1"/>
          <tpl fld="0" item="400"/>
          <tpl fld="1" item="0"/>
        </tpls>
      </n>
      <n v="144">
        <tpls c="3">
          <tpl fld="2" item="1"/>
          <tpl fld="0" item="414"/>
          <tpl fld="1" item="3"/>
        </tpls>
      </n>
      <n v="1330">
        <tpls c="3">
          <tpl fld="2" item="0"/>
          <tpl fld="0" item="102"/>
          <tpl fld="1" item="3"/>
        </tpls>
      </n>
      <m>
        <tpls c="3">
          <tpl fld="2" item="1"/>
          <tpl fld="0" item="214"/>
          <tpl fld="1" item="1"/>
        </tpls>
      </m>
      <n v="96">
        <tpls c="3">
          <tpl fld="2" item="1"/>
          <tpl fld="0" item="270"/>
          <tpl fld="1" item="3"/>
        </tpls>
      </n>
      <m>
        <tpls c="3">
          <tpl fld="2" item="0"/>
          <tpl fld="0" item="417"/>
          <tpl fld="1" item="2"/>
        </tpls>
      </m>
      <n v="14">
        <tpls c="2">
          <tpl fld="2" item="1"/>
          <tpl fld="0" item="198"/>
        </tpls>
      </n>
      <n v="175">
        <tpls c="2">
          <tpl fld="2" item="1"/>
          <tpl fld="0" item="131"/>
        </tpls>
      </n>
      <m>
        <tpls c="3">
          <tpl fld="2" item="1"/>
          <tpl fld="0" item="428"/>
          <tpl fld="1" item="2"/>
        </tpls>
      </m>
      <n v="4">
        <tpls c="2">
          <tpl fld="2" item="1"/>
          <tpl fld="0" item="296"/>
        </tpls>
      </n>
      <m>
        <tpls c="3">
          <tpl fld="2" item="1"/>
          <tpl fld="0" item="441"/>
          <tpl fld="1" item="2"/>
        </tpls>
      </m>
      <m>
        <tpls c="3">
          <tpl fld="2" item="0"/>
          <tpl fld="0" item="47"/>
          <tpl fld="1" item="3"/>
        </tpls>
      </m>
      <n v="125">
        <tpls c="2">
          <tpl fld="2" item="1"/>
          <tpl fld="0" item="103"/>
        </tpls>
      </n>
      <n v="1740">
        <tpls c="2">
          <tpl fld="2" item="0"/>
          <tpl fld="0" item="159"/>
        </tpls>
      </n>
      <m>
        <tpls c="3">
          <tpl fld="2" item="1"/>
          <tpl fld="0" item="215"/>
          <tpl fld="1" item="3"/>
        </tpls>
      </m>
      <n v="2">
        <tpls c="3">
          <tpl fld="2" item="1"/>
          <tpl fld="0" item="271"/>
          <tpl fld="1" item="1"/>
        </tpls>
      </n>
      <m>
        <tpls c="3">
          <tpl fld="2" item="1"/>
          <tpl fld="0" item="271"/>
          <tpl fld="1" item="0"/>
        </tpls>
      </m>
      <n v="0">
        <tpls c="2">
          <tpl fld="2" item="0"/>
          <tpl fld="0" item="318"/>
        </tpls>
      </n>
      <m>
        <tpls c="3">
          <tpl fld="2" item="0"/>
          <tpl fld="0" item="350"/>
          <tpl fld="1" item="3"/>
        </tpls>
      </m>
      <m>
        <tpls c="3">
          <tpl fld="2" item="0"/>
          <tpl fld="0" item="364"/>
          <tpl fld="1" item="0"/>
        </tpls>
      </m>
      <m>
        <tpls c="3">
          <tpl fld="2" item="1"/>
          <tpl fld="0" item="48"/>
          <tpl fld="1" item="0"/>
        </tpls>
      </m>
      <n v="240">
        <tpls c="3">
          <tpl fld="2" item="1"/>
          <tpl fld="0" item="48"/>
          <tpl fld="1" item="1"/>
        </tpls>
      </n>
      <n v="460">
        <tpls c="3">
          <tpl fld="2" item="1"/>
          <tpl fld="0" item="104"/>
          <tpl fld="1" item="1"/>
        </tpls>
      </n>
      <n v="9994">
        <tpls c="3">
          <tpl fld="2" item="1"/>
          <tpl fld="0" item="160"/>
          <tpl fld="1" item="3"/>
        </tpls>
      </n>
      <n v="3715885.58">
        <tpls c="3">
          <tpl fld="2" item="0"/>
          <tpl fld="0" item="216"/>
          <tpl fld="1" item="3"/>
        </tpls>
      </n>
      <n v="1">
        <tpls c="3">
          <tpl fld="2" item="1"/>
          <tpl fld="0" item="272"/>
          <tpl fld="1" item="2"/>
        </tpls>
      </n>
      <m>
        <tpls c="3">
          <tpl fld="2" item="0"/>
          <tpl fld="0" item="272"/>
          <tpl fld="1" item="0"/>
        </tpls>
      </m>
      <m>
        <tpls c="3">
          <tpl fld="2" item="0"/>
          <tpl fld="0" item="375"/>
          <tpl fld="1" item="1"/>
        </tpls>
      </m>
      <m>
        <tpls c="3">
          <tpl fld="2" item="1"/>
          <tpl fld="0" item="436"/>
          <tpl fld="1" item="0"/>
        </tpls>
      </m>
      <n v="12000">
        <tpls c="3">
          <tpl fld="2" item="0"/>
          <tpl fld="0" item="389"/>
          <tpl fld="1" item="3"/>
        </tpls>
      </n>
      <n v="539">
        <tpls c="2">
          <tpl fld="2" item="1"/>
          <tpl fld="0" item="49"/>
        </tpls>
      </n>
      <m>
        <tpls c="3">
          <tpl fld="2" item="0"/>
          <tpl fld="0" item="49"/>
          <tpl fld="1" item="2"/>
        </tpls>
      </m>
      <m>
        <tpls c="3">
          <tpl fld="2" item="1"/>
          <tpl fld="0" item="105"/>
          <tpl fld="1" item="2"/>
        </tpls>
      </m>
      <m>
        <tpls c="3">
          <tpl fld="2" item="1"/>
          <tpl fld="0" item="161"/>
          <tpl fld="1" item="1"/>
        </tpls>
      </m>
      <n v="4390">
        <tpls c="3">
          <tpl fld="2" item="0"/>
          <tpl fld="0" item="217"/>
          <tpl fld="1" item="3"/>
        </tpls>
      </n>
      <m>
        <tpls c="3">
          <tpl fld="2" item="0"/>
          <tpl fld="0" item="273"/>
          <tpl fld="1" item="2"/>
        </tpls>
      </m>
      <m>
        <tpls c="3">
          <tpl fld="2" item="0"/>
          <tpl fld="0" item="273"/>
          <tpl fld="1" item="0"/>
        </tpls>
      </m>
      <n v="9">
        <tpls c="2">
          <tpl fld="2" item="1"/>
          <tpl fld="0" item="297"/>
        </tpls>
      </n>
      <n v="3397">
        <tpls c="2">
          <tpl fld="2" item="0"/>
          <tpl fld="0" item="401"/>
        </tpls>
      </n>
      <m>
        <tpls c="3">
          <tpl fld="2" item="0"/>
          <tpl fld="0" item="319"/>
          <tpl fld="1" item="0"/>
        </tpls>
      </m>
      <n v="374">
        <tpls c="3">
          <tpl fld="2" item="1"/>
          <tpl fld="0" item="50"/>
          <tpl fld="1" item="3"/>
        </tpls>
      </n>
      <m>
        <tpls c="3">
          <tpl fld="2" item="1"/>
          <tpl fld="0" item="106"/>
          <tpl fld="1" item="2"/>
        </tpls>
      </m>
      <m>
        <tpls c="3">
          <tpl fld="2" item="0"/>
          <tpl fld="0" item="106"/>
          <tpl fld="1" item="0"/>
        </tpls>
      </m>
      <n v="1069">
        <tpls c="2">
          <tpl fld="2" item="0"/>
          <tpl fld="0" item="162"/>
        </tpls>
      </n>
      <m>
        <tpls c="3">
          <tpl fld="2" item="1"/>
          <tpl fld="0" item="218"/>
          <tpl fld="1" item="0"/>
        </tpls>
      </m>
      <m>
        <tpls c="3">
          <tpl fld="2" item="1"/>
          <tpl fld="0" item="274"/>
          <tpl fld="1" item="2"/>
        </tpls>
      </m>
      <n v="27096">
        <tpls c="3">
          <tpl fld="2" item="1"/>
          <tpl hier="4" item="4294967295"/>
          <tpl fld="1" item="1"/>
        </tpls>
      </n>
      <n v="46173741.659999996">
        <tpls c="2">
          <tpl fld="2" item="0"/>
          <tpl hier="4" item="4294967295"/>
        </tpls>
      </n>
      <n v="1512">
        <tpls c="2">
          <tpl fld="2" item="1"/>
          <tpl fld="0" item="51"/>
        </tpls>
      </n>
      <m>
        <tpls c="3">
          <tpl fld="2" item="0"/>
          <tpl fld="0" item="107"/>
          <tpl fld="1" item="3"/>
        </tpls>
      </m>
      <m>
        <tpls c="3">
          <tpl fld="2" item="0"/>
          <tpl fld="0" item="163"/>
          <tpl fld="1" item="0"/>
        </tpls>
      </m>
      <m>
        <tpls c="3">
          <tpl fld="2" item="1"/>
          <tpl fld="0" item="219"/>
          <tpl fld="1" item="2"/>
        </tpls>
      </m>
      <n v="8827">
        <tpls c="2">
          <tpl fld="2" item="0"/>
          <tpl fld="0" item="219"/>
        </tpls>
      </n>
      <m>
        <tpls c="3">
          <tpl fld="2" item="0"/>
          <tpl fld="0" item="275"/>
          <tpl fld="1" item="3"/>
        </tpls>
      </m>
      <n v="26">
        <tpls c="2">
          <tpl fld="2" item="1"/>
          <tpl fld="0" item="320"/>
        </tpls>
      </n>
      <m>
        <tpls c="3">
          <tpl fld="2" item="1"/>
          <tpl fld="0" item="376"/>
          <tpl fld="1" item="0"/>
        </tpls>
      </m>
      <n v="30">
        <tpls c="3">
          <tpl fld="2" item="0"/>
          <tpl fld="0" item="429"/>
          <tpl fld="1" item="1"/>
        </tpls>
      </n>
      <n v="30">
        <tpls c="2">
          <tpl fld="2" item="0"/>
          <tpl fld="0" item="429"/>
        </tpls>
      </n>
      <n v="5">
        <tpls c="2">
          <tpl fld="2" item="1"/>
          <tpl fld="0" item="52"/>
        </tpls>
      </n>
      <m>
        <tpls c="3">
          <tpl fld="2" item="0"/>
          <tpl fld="0" item="108"/>
          <tpl fld="1" item="0"/>
        </tpls>
      </m>
      <m>
        <tpls c="3">
          <tpl fld="2" item="0"/>
          <tpl fld="0" item="164"/>
          <tpl fld="1" item="3"/>
        </tpls>
      </m>
      <m>
        <tpls c="3">
          <tpl fld="2" item="1"/>
          <tpl fld="0" item="220"/>
          <tpl fld="1" item="1"/>
        </tpls>
      </m>
      <n v="169985.91">
        <tpls c="2">
          <tpl fld="2" item="0"/>
          <tpl fld="0" item="220"/>
        </tpls>
      </n>
      <n v="65924.38">
        <tpls c="3">
          <tpl fld="2" item="0"/>
          <tpl fld="0" item="276"/>
          <tpl fld="1" item="0"/>
        </tpls>
      </n>
      <n v="712">
        <tpls c="2">
          <tpl fld="2" item="1"/>
          <tpl fld="0" item="390"/>
        </tpls>
      </n>
      <m>
        <tpls c="3">
          <tpl fld="2" item="0"/>
          <tpl fld="0" item="402"/>
          <tpl fld="1" item="2"/>
        </tpls>
      </m>
      <m>
        <tpls c="3">
          <tpl fld="2" item="0"/>
          <tpl fld="0" item="442"/>
          <tpl fld="1" item="2"/>
        </tpls>
      </m>
      <n v="1783">
        <tpls c="2">
          <tpl fld="2" item="1"/>
          <tpl fld="0" item="442"/>
        </tpls>
      </n>
      <n v="172">
        <tpls c="3">
          <tpl fld="2" item="1"/>
          <tpl fld="0" item="53"/>
          <tpl fld="1" item="1"/>
        </tpls>
      </n>
      <n v="72">
        <tpls c="3">
          <tpl fld="2" item="1"/>
          <tpl fld="0" item="109"/>
          <tpl fld="1" item="2"/>
        </tpls>
      </n>
      <m>
        <tpls c="3">
          <tpl fld="2" item="1"/>
          <tpl fld="0" item="165"/>
          <tpl fld="1" item="2"/>
        </tpls>
      </m>
      <m>
        <tpls c="3">
          <tpl fld="2" item="1"/>
          <tpl fld="0" item="221"/>
          <tpl fld="1" item="1"/>
        </tpls>
      </m>
      <n v="24497">
        <tpls c="2">
          <tpl fld="2" item="0"/>
          <tpl fld="0" item="221"/>
        </tpls>
      </n>
      <n v="6506">
        <tpls c="2">
          <tpl fld="2" item="0"/>
          <tpl fld="0" item="277"/>
        </tpls>
      </n>
      <n v="50">
        <tpls c="2">
          <tpl fld="2" item="1"/>
          <tpl fld="0" item="298"/>
        </tpls>
      </n>
      <n v="11323">
        <tpls c="3">
          <tpl fld="2" item="0"/>
          <tpl fld="0" item="437"/>
          <tpl fld="1" item="3"/>
        </tpls>
      </n>
      <n v="4308">
        <tpls c="3">
          <tpl fld="2" item="0"/>
          <tpl fld="0" item="54"/>
          <tpl fld="1" item="3"/>
        </tpls>
      </n>
      <n v="1466">
        <tpls c="3">
          <tpl fld="2" item="0"/>
          <tpl fld="0" item="222"/>
          <tpl fld="1" item="3"/>
        </tpls>
      </n>
      <n v="2925">
        <tpls c="3">
          <tpl fld="2" item="0"/>
          <tpl fld="0" item="67"/>
          <tpl fld="1" item="3"/>
        </tpls>
      </n>
      <m>
        <tpls c="3">
          <tpl fld="2" item="1"/>
          <tpl fld="0" item="217"/>
          <tpl fld="1" item="0"/>
        </tpls>
      </m>
      <m>
        <tpls c="3">
          <tpl fld="2" item="0"/>
          <tpl fld="0" item="218"/>
          <tpl fld="1" item="0"/>
        </tpls>
      </m>
      <m>
        <tpls c="3">
          <tpl fld="2" item="1"/>
          <tpl fld="0" item="51"/>
          <tpl fld="1" item="0"/>
        </tpls>
      </m>
      <m>
        <tpls c="3">
          <tpl fld="2" item="1"/>
          <tpl fld="0" item="107"/>
          <tpl fld="1" item="2"/>
        </tpls>
      </m>
      <m>
        <tpls c="3">
          <tpl fld="2" item="0"/>
          <tpl fld="0" item="275"/>
          <tpl fld="1" item="2"/>
        </tpls>
      </m>
      <n v="5">
        <tpls c="3">
          <tpl fld="2" item="1"/>
          <tpl fld="0" item="52"/>
          <tpl fld="1" item="1"/>
        </tpls>
      </n>
      <m>
        <tpls c="3">
          <tpl fld="2" item="0"/>
          <tpl fld="0" item="220"/>
          <tpl fld="1" item="0"/>
        </tpls>
      </m>
      <n v="1442">
        <tpls c="3">
          <tpl fld="2" item="1"/>
          <tpl fld="0" item="53"/>
          <tpl fld="1" item="3"/>
        </tpls>
      </n>
      <m>
        <tpls c="3">
          <tpl fld="2" item="1"/>
          <tpl fld="0" item="277"/>
          <tpl fld="1" item="1"/>
        </tpls>
      </m>
      <n v="7436">
        <tpls c="2">
          <tpl fld="2" item="1"/>
          <tpl fld="0" item="110"/>
        </tpls>
      </n>
      <n v="13854.15">
        <tpls c="3">
          <tpl fld="2" item="0"/>
          <tpl fld="0" item="337"/>
          <tpl fld="1" item="3"/>
        </tpls>
      </n>
      <n v="21104">
        <tpls c="2">
          <tpl fld="2" item="1"/>
          <tpl fld="0" item="193"/>
        </tpls>
      </n>
      <m>
        <tpls c="3">
          <tpl fld="2" item="1"/>
          <tpl fld="0" item="34"/>
          <tpl fld="1" item="1"/>
        </tpls>
      </m>
      <n v="59">
        <tpls c="3">
          <tpl fld="2" item="1"/>
          <tpl fld="0" item="93"/>
          <tpl fld="1" item="3"/>
        </tpls>
      </n>
      <m>
        <tpls c="3">
          <tpl fld="2" item="0"/>
          <tpl fld="0" item="348"/>
          <tpl fld="1" item="3"/>
        </tpls>
      </m>
      <m>
        <tpls c="3">
          <tpl fld="2" item="0"/>
          <tpl fld="0" item="316"/>
          <tpl fld="1" item="0"/>
        </tpls>
      </m>
      <n v="11549">
        <tpls c="3">
          <tpl fld="2" item="0"/>
          <tpl fld="0" item="399"/>
          <tpl fld="1" item="1"/>
        </tpls>
      </n>
      <m>
        <tpls c="3">
          <tpl fld="2" item="1"/>
          <tpl fld="0" item="43"/>
          <tpl fld="1" item="0"/>
        </tpls>
      </m>
      <n v="104">
        <tpls c="2">
          <tpl fld="2" item="1"/>
          <tpl fld="0" item="295"/>
        </tpls>
      </n>
      <n v="9254.99">
        <tpls c="3">
          <tpl fld="2" item="0"/>
          <tpl fld="0" item="414"/>
          <tpl fld="1" item="3"/>
        </tpls>
      </n>
      <n v="11226">
        <tpls c="2">
          <tpl fld="2" item="0"/>
          <tpl fld="0" item="428"/>
        </tpls>
      </n>
      <n v="264">
        <tpls c="2">
          <tpl fld="2" item="0"/>
          <tpl fld="0" item="215"/>
        </tpls>
      </n>
      <n v="123444.12">
        <tpls c="3">
          <tpl fld="2" item="0"/>
          <tpl fld="0" item="104"/>
          <tpl fld="1" item="3"/>
        </tpls>
      </n>
      <m>
        <tpls c="3">
          <tpl fld="2" item="1"/>
          <tpl fld="0" item="436"/>
          <tpl fld="1" item="1"/>
        </tpls>
      </m>
      <m>
        <tpls c="3">
          <tpl fld="2" item="1"/>
          <tpl fld="0" item="161"/>
          <tpl fld="1" item="2"/>
        </tpls>
      </m>
      <n v="0">
        <tpls c="3">
          <tpl fld="2" item="0"/>
          <tpl fld="0" item="50"/>
          <tpl fld="1" item="2"/>
        </tpls>
      </n>
      <n v="135">
        <tpls c="3">
          <tpl fld="2" item="1"/>
          <tpl fld="0" item="107"/>
          <tpl fld="1" item="1"/>
        </tpls>
      </n>
      <n v="2030">
        <tpls c="2">
          <tpl fld="2" item="0"/>
          <tpl fld="0" item="320"/>
        </tpls>
      </n>
      <n v="0">
        <tpls c="3">
          <tpl fld="2" item="0"/>
          <tpl fld="0" item="164"/>
          <tpl fld="1" item="1"/>
        </tpls>
      </n>
      <m>
        <tpls c="3">
          <tpl fld="2" item="0"/>
          <tpl fld="0" item="442"/>
          <tpl fld="1" item="0"/>
        </tpls>
      </m>
      <n v="6506">
        <tpls c="3">
          <tpl fld="2" item="0"/>
          <tpl fld="0" item="277"/>
          <tpl fld="1" item="3"/>
        </tpls>
      </n>
      <m>
        <tpls c="3">
          <tpl fld="2" item="0"/>
          <tpl fld="0" item="166"/>
          <tpl fld="1" item="0"/>
        </tpls>
      </m>
      <n v="8136.01">
        <tpls c="3">
          <tpl fld="2" item="0"/>
          <tpl fld="0" item="440"/>
          <tpl fld="1" item="3"/>
        </tpls>
      </n>
      <n v="60450.1">
        <tpls c="3">
          <tpl fld="2" item="0"/>
          <tpl fld="0" item="10"/>
          <tpl fld="1" item="3"/>
        </tpls>
      </n>
      <n v="0">
        <tpls c="3">
          <tpl fld="2" item="0"/>
          <tpl fld="0" item="192"/>
          <tpl fld="1" item="2"/>
        </tpls>
      </n>
      <m>
        <tpls c="3">
          <tpl fld="2" item="0"/>
          <tpl fld="0" item="358"/>
          <tpl fld="1" item="2"/>
        </tpls>
      </m>
      <n v="27">
        <tpls c="3">
          <tpl fld="2" item="1"/>
          <tpl fld="0" item="86"/>
          <tpl fld="1" item="3"/>
        </tpls>
      </n>
      <m>
        <tpls c="3">
          <tpl fld="2" item="0"/>
          <tpl fld="0" item="32"/>
          <tpl fld="1" item="0"/>
        </tpls>
      </m>
      <n v="22591.16">
        <tpls c="3">
          <tpl fld="2" item="0"/>
          <tpl fld="0" item="359"/>
          <tpl fld="1" item="3"/>
        </tpls>
      </n>
      <n v="120">
        <tpls c="2">
          <tpl fld="2" item="1"/>
          <tpl fld="0" item="314"/>
        </tpls>
      </n>
      <m>
        <tpls c="3">
          <tpl fld="2" item="1"/>
          <tpl fld="0" item="6"/>
          <tpl fld="1" item="0"/>
        </tpls>
      </m>
      <m>
        <tpls c="3">
          <tpl fld="2" item="1"/>
          <tpl fld="0" item="35"/>
          <tpl fld="1" item="3"/>
        </tpls>
      </m>
      <n v="329749.14">
        <tpls c="3">
          <tpl fld="2" item="0"/>
          <tpl fld="0" item="292"/>
          <tpl fld="1" item="3"/>
        </tpls>
      </n>
      <n v="158190.85">
        <tpls c="2">
          <tpl fld="2" item="0"/>
          <tpl fld="0" item="261"/>
        </tpls>
      </n>
      <n v="17435">
        <tpls c="2">
          <tpl fld="2" item="0"/>
          <tpl fld="0" item="315"/>
        </tpls>
      </n>
      <n v="514">
        <tpls c="2">
          <tpl fld="2" item="1"/>
          <tpl fld="0" item="37"/>
        </tpls>
      </n>
      <n v="38871.85">
        <tpls c="2">
          <tpl fld="2" item="0"/>
          <tpl fld="0" item="206"/>
        </tpls>
      </n>
      <m>
        <tpls c="3">
          <tpl fld="2" item="1"/>
          <tpl fld="0" item="434"/>
          <tpl fld="1" item="2"/>
        </tpls>
      </m>
      <n v="251">
        <tpls c="2">
          <tpl fld="2" item="1"/>
          <tpl fld="0" item="361"/>
        </tpls>
      </n>
      <m>
        <tpls c="3">
          <tpl fld="2" item="0"/>
          <tpl fld="0" item="94"/>
          <tpl fld="1" item="1"/>
        </tpls>
      </m>
      <n v="10">
        <tpls c="3">
          <tpl fld="2" item="1"/>
          <tpl fld="0" item="352"/>
          <tpl fld="1" item="1"/>
        </tpls>
      </n>
      <n v="7">
        <tpls c="3">
          <tpl fld="2" item="1"/>
          <tpl fld="0" item="413"/>
          <tpl fld="1" item="1"/>
        </tpls>
      </n>
      <m>
        <tpls c="3">
          <tpl fld="2" item="1"/>
          <tpl fld="0" item="39"/>
          <tpl fld="1" item="2"/>
        </tpls>
      </m>
      <m>
        <tpls c="3">
          <tpl fld="2" item="1"/>
          <tpl fld="0" item="151"/>
          <tpl fld="1" item="3"/>
        </tpls>
      </m>
      <n v="2">
        <tpls c="2">
          <tpl fld="2" item="1"/>
          <tpl fld="0" item="207"/>
        </tpls>
      </n>
      <m>
        <tpls c="3">
          <tpl fld="2" item="0"/>
          <tpl fld="0" item="293"/>
          <tpl fld="1" item="0"/>
        </tpls>
      </m>
      <n v="2">
        <tpls c="3">
          <tpl fld="2" item="1"/>
          <tpl fld="0" item="362"/>
          <tpl fld="1" item="1"/>
        </tpls>
      </n>
      <m>
        <tpls c="3">
          <tpl fld="2" item="1"/>
          <tpl fld="0" item="40"/>
          <tpl fld="1" item="0"/>
        </tpls>
      </m>
      <m>
        <tpls c="3">
          <tpl fld="2" item="1"/>
          <tpl fld="0" item="152"/>
          <tpl fld="1" item="1"/>
        </tpls>
      </m>
      <m>
        <tpls c="3">
          <tpl fld="2" item="1"/>
          <tpl fld="0" item="208"/>
          <tpl fld="1" item="0"/>
        </tpls>
      </m>
      <n v="58293.34">
        <tpls c="3">
          <tpl fld="2" item="0"/>
          <tpl fld="0" item="373"/>
          <tpl fld="1" item="3"/>
        </tpls>
      </n>
      <m>
        <tpls c="3">
          <tpl fld="2" item="1"/>
          <tpl fld="0" item="416"/>
          <tpl fld="1" item="2"/>
        </tpls>
      </m>
      <n v="12410.5">
        <tpls c="3">
          <tpl fld="2" item="0"/>
          <tpl fld="0" item="41"/>
          <tpl fld="1" item="3"/>
        </tpls>
      </n>
      <m>
        <tpls c="3">
          <tpl fld="2" item="0"/>
          <tpl fld="0" item="153"/>
          <tpl fld="1" item="1"/>
        </tpls>
      </m>
      <n v="154">
        <tpls c="2">
          <tpl fld="2" item="1"/>
          <tpl fld="0" item="209"/>
        </tpls>
      </n>
      <n v="0">
        <tpls c="3">
          <tpl fld="2" item="0"/>
          <tpl fld="0" item="399"/>
          <tpl fld="1" item="2"/>
        </tpls>
      </n>
      <n v="127">
        <tpls c="2">
          <tpl fld="2" item="1"/>
          <tpl fld="0" item="421"/>
        </tpls>
      </n>
      <n v="16">
        <tpls c="3">
          <tpl fld="2" item="1"/>
          <tpl fld="0" item="42"/>
          <tpl fld="1" item="1"/>
        </tpls>
      </n>
      <n v="7385">
        <tpls c="2">
          <tpl fld="2" item="0"/>
          <tpl fld="0" item="154"/>
        </tpls>
      </n>
      <n v="4">
        <tpls c="3">
          <tpl fld="2" item="1"/>
          <tpl fld="0" item="266"/>
          <tpl fld="1" item="0"/>
        </tpls>
      </n>
      <n v="14432.33">
        <tpls c="2">
          <tpl fld="2" item="0"/>
          <tpl fld="0" item="352"/>
        </tpls>
      </n>
      <n v="23134.48">
        <tpls c="2">
          <tpl fld="2" item="0"/>
          <tpl fld="0" item="287"/>
        </tpls>
      </n>
      <n v="376">
        <tpls c="3">
          <tpl fld="2" item="0"/>
          <tpl fld="0" item="435"/>
          <tpl fld="1" item="1"/>
        </tpls>
      </n>
      <n v="890">
        <tpls c="3">
          <tpl fld="2" item="1"/>
          <tpl fld="0" item="43"/>
          <tpl fld="1" item="1"/>
        </tpls>
      </n>
      <m>
        <tpls c="3">
          <tpl fld="2" item="0"/>
          <tpl fld="0" item="99"/>
          <tpl fld="1" item="0"/>
        </tpls>
      </m>
      <n v="0">
        <tpls c="3">
          <tpl fld="2" item="0"/>
          <tpl fld="0" item="211"/>
          <tpl fld="1" item="1"/>
        </tpls>
      </n>
      <m>
        <tpls c="3">
          <tpl fld="2" item="0"/>
          <tpl fld="0" item="267"/>
          <tpl fld="1" item="3"/>
        </tpls>
      </m>
      <n v="34.950000000000003">
        <tpls c="2">
          <tpl fld="2" item="0"/>
          <tpl fld="0" item="363"/>
        </tpls>
      </n>
      <n v="8">
        <tpls c="2">
          <tpl fld="2" item="1"/>
          <tpl fld="0" item="44"/>
        </tpls>
      </n>
      <m>
        <tpls c="3">
          <tpl fld="2" item="0"/>
          <tpl fld="0" item="100"/>
          <tpl fld="1" item="0"/>
        </tpls>
      </m>
      <n v="284">
        <tpls c="3">
          <tpl fld="2" item="1"/>
          <tpl fld="0" item="212"/>
          <tpl fld="1" item="3"/>
        </tpls>
      </n>
      <n v="236">
        <tpls c="3">
          <tpl fld="2" item="0"/>
          <tpl fld="0" item="268"/>
          <tpl fld="1" item="1"/>
        </tpls>
      </n>
      <m>
        <tpls c="3">
          <tpl fld="2" item="1"/>
          <tpl fld="0" item="410"/>
          <tpl fld="1" item="2"/>
        </tpls>
      </m>
      <n v="22">
        <tpls c="3">
          <tpl fld="2" item="1"/>
          <tpl fld="0" item="45"/>
          <tpl fld="1" item="2"/>
        </tpls>
      </n>
      <n v="10013">
        <tpls c="3">
          <tpl fld="2" item="0"/>
          <tpl fld="0" item="101"/>
          <tpl fld="1" item="3"/>
        </tpls>
      </n>
      <n v="10977">
        <tpls c="2">
          <tpl fld="2" item="0"/>
          <tpl fld="0" item="213"/>
        </tpls>
      </n>
      <n v="8195">
        <tpls c="2">
          <tpl fld="2" item="1"/>
          <tpl fld="0" item="269"/>
        </tpls>
      </n>
      <n v="147">
        <tpls c="2">
          <tpl fld="2" item="1"/>
          <tpl fld="0" item="400"/>
        </tpls>
      </n>
      <m>
        <tpls c="3">
          <tpl fld="2" item="1"/>
          <tpl fld="0" item="46"/>
          <tpl fld="1" item="2"/>
        </tpls>
      </m>
      <m>
        <tpls c="3">
          <tpl fld="2" item="0"/>
          <tpl fld="0" item="102"/>
          <tpl fld="1" item="2"/>
        </tpls>
      </m>
      <m>
        <tpls c="3">
          <tpl fld="2" item="1"/>
          <tpl fld="0" item="214"/>
          <tpl fld="1" item="0"/>
        </tpls>
      </m>
      <n v="2927">
        <tpls c="2">
          <tpl fld="2" item="0"/>
          <tpl fld="0" item="270"/>
        </tpls>
      </n>
      <n v="165">
        <tpls c="2">
          <tpl fld="2" item="0"/>
          <tpl fld="0" item="417"/>
        </tpls>
      </n>
      <n v="1">
        <tpls c="2">
          <tpl fld="2" item="1"/>
          <tpl fld="0" item="61"/>
        </tpls>
      </n>
      <n v="1">
        <tpls c="2">
          <tpl fld="2" item="1"/>
          <tpl fld="0" item="327"/>
        </tpls>
      </n>
      <n v="27">
        <tpls c="2">
          <tpl fld="2" item="1"/>
          <tpl fld="0" item="428"/>
        </tpls>
      </n>
      <m>
        <tpls c="3">
          <tpl fld="2" item="1"/>
          <tpl fld="0" item="296"/>
          <tpl fld="1" item="3"/>
        </tpls>
      </m>
      <m>
        <tpls c="3">
          <tpl fld="2" item="1"/>
          <tpl fld="0" item="441"/>
          <tpl fld="1" item="3"/>
        </tpls>
      </m>
      <m>
        <tpls c="3">
          <tpl fld="2" item="1"/>
          <tpl fld="0" item="47"/>
          <tpl fld="1" item="3"/>
        </tpls>
      </m>
      <m>
        <tpls c="3">
          <tpl fld="2" item="1"/>
          <tpl fld="0" item="103"/>
          <tpl fld="1" item="3"/>
        </tpls>
      </m>
      <m>
        <tpls c="3">
          <tpl fld="2" item="0"/>
          <tpl fld="0" item="159"/>
          <tpl fld="1" item="2"/>
        </tpls>
      </m>
      <m>
        <tpls c="3">
          <tpl fld="2" item="0"/>
          <tpl fld="0" item="215"/>
          <tpl fld="1" item="3"/>
        </tpls>
      </m>
      <m>
        <tpls c="3">
          <tpl fld="2" item="1"/>
          <tpl fld="0" item="271"/>
          <tpl fld="1" item="2"/>
        </tpls>
      </m>
      <m>
        <tpls c="3">
          <tpl fld="2" item="0"/>
          <tpl fld="0" item="271"/>
          <tpl fld="1" item="0"/>
        </tpls>
      </m>
      <n v="0">
        <tpls c="3">
          <tpl fld="2" item="0"/>
          <tpl fld="0" item="318"/>
          <tpl fld="1" item="1"/>
        </tpls>
      </n>
      <n v="0">
        <tpls c="2">
          <tpl fld="2" item="1"/>
          <tpl fld="0" item="350"/>
        </tpls>
      </n>
      <m>
        <tpls c="3">
          <tpl fld="2" item="1"/>
          <tpl fld="0" item="364"/>
          <tpl fld="1" item="0"/>
        </tpls>
      </m>
      <m>
        <tpls c="3">
          <tpl fld="2" item="0"/>
          <tpl fld="0" item="48"/>
          <tpl fld="1" item="0"/>
        </tpls>
      </m>
      <n v="21672">
        <tpls c="3">
          <tpl fld="2" item="0"/>
          <tpl fld="0" item="48"/>
          <tpl fld="1" item="1"/>
        </tpls>
      </n>
      <n v="53682.6">
        <tpls c="3">
          <tpl fld="2" item="0"/>
          <tpl fld="0" item="104"/>
          <tpl fld="1" item="1"/>
        </tpls>
      </n>
      <n v="1204112.81">
        <tpls c="3">
          <tpl fld="2" item="0"/>
          <tpl fld="0" item="160"/>
          <tpl fld="1" item="3"/>
        </tpls>
      </n>
      <n v="44597">
        <tpls c="2">
          <tpl fld="2" item="1"/>
          <tpl fld="0" item="216"/>
        </tpls>
      </n>
      <n v="1908">
        <tpls c="2">
          <tpl fld="2" item="1"/>
          <tpl fld="0" item="272"/>
        </tpls>
      </n>
      <n v="1851">
        <tpls c="3">
          <tpl fld="2" item="1"/>
          <tpl fld="0" item="272"/>
          <tpl fld="1" item="3"/>
        </tpls>
      </n>
      <m>
        <tpls c="3">
          <tpl fld="2" item="0"/>
          <tpl fld="0" item="436"/>
          <tpl fld="1" item="0"/>
        </tpls>
      </m>
      <n v="13704.33">
        <tpls c="3">
          <tpl fld="2" item="0"/>
          <tpl fld="0" item="49"/>
          <tpl fld="1" item="3"/>
        </tpls>
      </n>
      <n v="13704.33">
        <tpls c="2">
          <tpl fld="2" item="0"/>
          <tpl fld="0" item="49"/>
        </tpls>
      </n>
      <n v="103">
        <tpls c="2">
          <tpl fld="2" item="1"/>
          <tpl fld="0" item="105"/>
        </tpls>
      </n>
      <m>
        <tpls c="3">
          <tpl fld="2" item="1"/>
          <tpl fld="0" item="161"/>
          <tpl fld="1" item="0"/>
        </tpls>
      </m>
      <n v="1445">
        <tpls c="3">
          <tpl fld="2" item="0"/>
          <tpl fld="0" item="273"/>
          <tpl fld="1" item="1"/>
        </tpls>
      </n>
      <n v="37">
        <tpls c="3">
          <tpl fld="2" item="1"/>
          <tpl fld="0" item="273"/>
          <tpl fld="1" item="3"/>
        </tpls>
      </n>
      <m>
        <tpls c="3">
          <tpl fld="2" item="1"/>
          <tpl fld="0" item="297"/>
          <tpl fld="1" item="1"/>
        </tpls>
      </m>
      <m>
        <tpls c="3">
          <tpl fld="2" item="1"/>
          <tpl fld="0" item="401"/>
          <tpl fld="1" item="1"/>
        </tpls>
      </m>
      <n v="49">
        <tpls c="3">
          <tpl fld="2" item="1"/>
          <tpl fld="0" item="319"/>
          <tpl fld="1" item="3"/>
        </tpls>
      </n>
      <m>
        <tpls c="3">
          <tpl fld="2" item="0"/>
          <tpl fld="0" item="106"/>
          <tpl fld="1" item="2"/>
        </tpls>
      </m>
      <n v="786">
        <tpls c="3">
          <tpl fld="2" item="0"/>
          <tpl fld="0" item="106"/>
          <tpl fld="1" item="3"/>
        </tpls>
      </n>
      <m>
        <tpls c="3">
          <tpl fld="2" item="1"/>
          <tpl fld="0" item="162"/>
          <tpl fld="1" item="1"/>
        </tpls>
      </m>
      <m>
        <tpls c="3">
          <tpl fld="2" item="1"/>
          <tpl fld="0" item="274"/>
          <tpl fld="1" item="0"/>
        </tpls>
      </m>
      <n v="2838967.4">
        <tpls c="3">
          <tpl fld="2" item="0"/>
          <tpl hier="4" item="4294967295"/>
          <tpl fld="1" item="1"/>
        </tpls>
      </n>
      <m>
        <tpls c="3">
          <tpl fld="2" item="1"/>
          <tpl fld="0" item="219"/>
          <tpl fld="1" item="0"/>
        </tpls>
      </m>
      <m>
        <tpls c="3">
          <tpl fld="2" item="0"/>
          <tpl fld="0" item="376"/>
          <tpl fld="1" item="0"/>
        </tpls>
      </m>
      <n v="2652">
        <tpls c="3">
          <tpl fld="2" item="1"/>
          <tpl fld="0" item="276"/>
          <tpl fld="1" item="3"/>
        </tpls>
      </n>
      <m>
        <tpls c="3">
          <tpl fld="2" item="0"/>
          <tpl fld="0" item="165"/>
          <tpl fld="1" item="2"/>
        </tpls>
      </m>
      <m>
        <tpls c="3">
          <tpl fld="2" item="1"/>
          <tpl fld="0" item="222"/>
          <tpl fld="1" item="2"/>
        </tpls>
      </m>
      <n v="29927">
        <tpls c="3">
          <tpl fld="2" item="0"/>
          <tpl fld="0" item="235"/>
          <tpl fld="1" item="3"/>
        </tpls>
      </n>
      <m>
        <tpls c="3">
          <tpl fld="2" item="1"/>
          <tpl fld="0" item="373"/>
          <tpl fld="1" item="0"/>
        </tpls>
      </m>
      <m>
        <tpls c="3">
          <tpl fld="2" item="0"/>
          <tpl fld="0" item="218"/>
          <tpl fld="1" item="2"/>
        </tpls>
      </m>
      <m>
        <tpls c="3">
          <tpl fld="2" item="1"/>
          <tpl fld="0" item="411"/>
          <tpl fld="1" item="0"/>
        </tpls>
      </m>
      <m>
        <tpls c="3">
          <tpl fld="2" item="1"/>
          <tpl fld="0" item="404"/>
          <tpl fld="1" item="3"/>
        </tpls>
      </m>
      <m>
        <tpls c="3">
          <tpl fld="2" item="1"/>
          <tpl fld="0" item="27"/>
          <tpl fld="1" item="0"/>
        </tpls>
      </m>
      <m>
        <tpls c="3">
          <tpl fld="2" item="0"/>
          <tpl fld="0" item="254"/>
          <tpl fld="1" item="1"/>
        </tpls>
      </m>
      <n v="144682.96">
        <tpls c="3">
          <tpl fld="2" item="0"/>
          <tpl fld="0" item="88"/>
          <tpl fld="1" item="3"/>
        </tpls>
      </n>
      <n v="0">
        <tpls c="3">
          <tpl fld="2" item="0"/>
          <tpl fld="0" item="359"/>
          <tpl fld="1" item="1"/>
        </tpls>
      </n>
      <n v="7760.01">
        <tpls c="2">
          <tpl fld="2" item="0"/>
          <tpl fld="0" item="371"/>
        </tpls>
      </n>
      <m>
        <tpls c="3">
          <tpl fld="2" item="1"/>
          <tpl fld="0" item="173"/>
          <tpl fld="1" item="0"/>
        </tpls>
      </m>
      <m>
        <tpls c="3">
          <tpl fld="2" item="0"/>
          <tpl fld="0" item="91"/>
          <tpl fld="1" item="1"/>
        </tpls>
      </m>
      <n v="1593">
        <tpls c="2">
          <tpl fld="2" item="1"/>
          <tpl fld="0" item="292"/>
        </tpls>
      </n>
      <n v="44">
        <tpls c="3">
          <tpl fld="2" item="1"/>
          <tpl fld="0" item="261"/>
          <tpl fld="1" item="1"/>
        </tpls>
      </n>
      <m>
        <tpls c="3">
          <tpl fld="2" item="1"/>
          <tpl fld="0" item="315"/>
          <tpl fld="1" item="1"/>
        </tpls>
      </m>
      <m>
        <tpls c="3">
          <tpl fld="2" item="0"/>
          <tpl fld="0" item="93"/>
          <tpl fld="1" item="2"/>
        </tpls>
      </m>
      <m>
        <tpls c="3">
          <tpl fld="2" item="0"/>
          <tpl fld="0" item="206"/>
          <tpl fld="1" item="2"/>
        </tpls>
      </m>
      <m>
        <tpls c="3">
          <tpl fld="2" item="0"/>
          <tpl fld="0" item="434"/>
          <tpl fld="1" item="2"/>
        </tpls>
      </m>
      <m>
        <tpls c="3">
          <tpl fld="2" item="0"/>
          <tpl fld="0" item="361"/>
          <tpl fld="1" item="2"/>
        </tpls>
      </m>
      <m>
        <tpls c="3">
          <tpl fld="2" item="0"/>
          <tpl fld="0" item="94"/>
          <tpl fld="1" item="0"/>
        </tpls>
      </m>
      <m>
        <tpls c="3">
          <tpl fld="2" item="1"/>
          <tpl fld="0" item="332"/>
          <tpl fld="1" item="1"/>
        </tpls>
      </m>
      <n v="645">
        <tpls c="3">
          <tpl fld="2" item="0"/>
          <tpl fld="0" item="413"/>
          <tpl fld="1" item="1"/>
        </tpls>
      </n>
      <n v="0">
        <tpls c="2">
          <tpl fld="2" item="1"/>
          <tpl fld="0" item="39"/>
        </tpls>
      </n>
      <m>
        <tpls c="3">
          <tpl fld="2" item="0"/>
          <tpl fld="0" item="151"/>
          <tpl fld="1" item="0"/>
        </tpls>
      </m>
      <n v="2">
        <tpls c="3">
          <tpl fld="2" item="0"/>
          <tpl fld="0" item="207"/>
          <tpl fld="1" item="2"/>
        </tpls>
      </n>
      <m>
        <tpls c="3">
          <tpl fld="2" item="1"/>
          <tpl fld="0" item="293"/>
          <tpl fld="1" item="3"/>
        </tpls>
      </m>
      <n v="32">
        <tpls c="3">
          <tpl fld="2" item="0"/>
          <tpl fld="0" item="362"/>
          <tpl fld="1" item="1"/>
        </tpls>
      </n>
      <m>
        <tpls c="3">
          <tpl fld="2" item="0"/>
          <tpl fld="0" item="40"/>
          <tpl fld="1" item="0"/>
        </tpls>
      </m>
      <m>
        <tpls c="3">
          <tpl fld="2" item="0"/>
          <tpl fld="0" item="152"/>
          <tpl fld="1" item="1"/>
        </tpls>
      </m>
      <m>
        <tpls c="3">
          <tpl fld="2" item="0"/>
          <tpl fld="0" item="208"/>
          <tpl fld="1" item="0"/>
        </tpls>
      </m>
      <m>
        <tpls c="3">
          <tpl fld="2" item="0"/>
          <tpl fld="0" item="373"/>
          <tpl fld="1" item="2"/>
        </tpls>
      </m>
      <n v="378">
        <tpls c="2">
          <tpl fld="2" item="1"/>
          <tpl fld="0" item="416"/>
        </tpls>
      </n>
      <m>
        <tpls c="3">
          <tpl fld="2" item="1"/>
          <tpl fld="0" item="41"/>
          <tpl fld="1" item="2"/>
        </tpls>
      </m>
      <m>
        <tpls c="3">
          <tpl fld="2" item="1"/>
          <tpl fld="0" item="153"/>
          <tpl fld="1" item="1"/>
        </tpls>
      </m>
      <m>
        <tpls c="3">
          <tpl fld="2" item="0"/>
          <tpl fld="0" item="209"/>
          <tpl fld="1" item="2"/>
        </tpls>
      </m>
      <n v="3991">
        <tpls c="3">
          <tpl fld="2" item="1"/>
          <tpl fld="0" item="399"/>
          <tpl fld="1" item="3"/>
        </tpls>
      </n>
      <m>
        <tpls c="3">
          <tpl fld="2" item="0"/>
          <tpl fld="0" item="294"/>
          <tpl fld="1" item="2"/>
        </tpls>
      </m>
      <n v="425">
        <tpls c="3">
          <tpl fld="2" item="0"/>
          <tpl fld="0" item="42"/>
          <tpl fld="1" item="1"/>
        </tpls>
      </n>
      <n v="9">
        <tpls c="3">
          <tpl fld="2" item="1"/>
          <tpl fld="0" item="154"/>
          <tpl fld="1" item="1"/>
        </tpls>
      </n>
      <n v="120">
        <tpls c="3">
          <tpl fld="2" item="0"/>
          <tpl fld="0" item="266"/>
          <tpl fld="1" item="0"/>
        </tpls>
      </n>
      <n v="1142">
        <tpls c="2">
          <tpl fld="2" item="0"/>
          <tpl fld="0" item="86"/>
        </tpls>
      </n>
      <n v="35443.01">
        <tpls c="2">
          <tpl fld="2" item="0"/>
          <tpl fld="0" item="243"/>
        </tpls>
      </n>
      <m>
        <tpls c="3">
          <tpl fld="2" item="1"/>
          <tpl fld="0" item="435"/>
          <tpl fld="1" item="0"/>
        </tpls>
      </m>
      <n v="137260.74">
        <tpls c="2">
          <tpl fld="2" item="0"/>
          <tpl fld="0" item="43"/>
        </tpls>
      </n>
      <m>
        <tpls c="3">
          <tpl fld="2" item="1"/>
          <tpl fld="0" item="99"/>
          <tpl fld="1" item="3"/>
        </tpls>
      </m>
      <m>
        <tpls c="3">
          <tpl fld="2" item="1"/>
          <tpl fld="0" item="211"/>
          <tpl fld="1" item="3"/>
        </tpls>
      </m>
      <m>
        <tpls c="3">
          <tpl fld="2" item="1"/>
          <tpl fld="0" item="349"/>
          <tpl fld="1" item="2"/>
        </tpls>
      </m>
      <n v="34.950000000000003">
        <tpls c="3">
          <tpl fld="2" item="0"/>
          <tpl fld="0" item="363"/>
          <tpl fld="1" item="1"/>
        </tpls>
      </n>
      <m>
        <tpls c="3">
          <tpl fld="2" item="0"/>
          <tpl fld="0" item="44"/>
          <tpl fld="1" item="2"/>
        </tpls>
      </m>
      <n v="8359">
        <tpls c="3">
          <tpl fld="2" item="1"/>
          <tpl fld="0" item="100"/>
          <tpl fld="1" item="3"/>
        </tpls>
      </n>
      <m>
        <tpls c="3">
          <tpl fld="2" item="1"/>
          <tpl fld="0" item="212"/>
          <tpl fld="1" item="2"/>
        </tpls>
      </m>
      <n v="104">
        <tpls c="3">
          <tpl fld="2" item="1"/>
          <tpl fld="0" item="295"/>
          <tpl fld="1" item="3"/>
        </tpls>
      </n>
      <n v="78">
        <tpls c="2">
          <tpl fld="2" item="1"/>
          <tpl fld="0" item="410"/>
        </tpls>
      </n>
      <n v="167820.6">
        <tpls c="3">
          <tpl fld="2" item="0"/>
          <tpl fld="0" item="45"/>
          <tpl fld="1" item="3"/>
        </tpls>
      </n>
      <m>
        <tpls c="3">
          <tpl fld="2" item="1"/>
          <tpl fld="0" item="101"/>
          <tpl fld="1" item="2"/>
        </tpls>
      </m>
      <n v="144">
        <tpls c="3">
          <tpl fld="2" item="1"/>
          <tpl fld="0" item="213"/>
          <tpl fld="1" item="3"/>
        </tpls>
      </n>
      <n v="1570">
        <tpls c="3">
          <tpl fld="2" item="0"/>
          <tpl fld="0" item="388"/>
          <tpl fld="1" item="0"/>
        </tpls>
      </n>
      <m>
        <tpls c="3">
          <tpl fld="2" item="0"/>
          <tpl fld="0" item="400"/>
          <tpl fld="1" item="2"/>
        </tpls>
      </m>
      <n v="41">
        <tpls c="2">
          <tpl fld="2" item="1"/>
          <tpl fld="0" item="46"/>
        </tpls>
      </n>
      <n v="1330">
        <tpls c="2">
          <tpl fld="2" item="0"/>
          <tpl fld="0" item="102"/>
        </tpls>
      </n>
      <m>
        <tpls c="3">
          <tpl fld="2" item="0"/>
          <tpl fld="0" item="214"/>
          <tpl fld="1" item="0"/>
        </tpls>
      </m>
      <n v="16">
        <tpls c="3">
          <tpl fld="2" item="1"/>
          <tpl fld="0" item="270"/>
          <tpl fld="1" item="1"/>
        </tpls>
      </n>
      <n v="0">
        <tpls c="3">
          <tpl fld="2" item="0"/>
          <tpl fld="0" item="417"/>
          <tpl fld="1" item="1"/>
        </tpls>
      </n>
      <n v="19">
        <tpls c="2">
          <tpl fld="2" item="1"/>
          <tpl fld="0" item="324"/>
        </tpls>
      </n>
      <n v="114">
        <tpls c="2">
          <tpl fld="2" item="1"/>
          <tpl fld="0" item="236"/>
        </tpls>
      </n>
      <m>
        <tpls c="3">
          <tpl fld="2" item="0"/>
          <tpl fld="0" item="428"/>
          <tpl fld="1" item="3"/>
        </tpls>
      </m>
      <m>
        <tpls c="3">
          <tpl fld="2" item="0"/>
          <tpl fld="0" item="296"/>
          <tpl fld="1" item="3"/>
        </tpls>
      </m>
      <m>
        <tpls c="3">
          <tpl fld="2" item="0"/>
          <tpl fld="0" item="441"/>
          <tpl fld="1" item="2"/>
        </tpls>
      </m>
      <n v="0">
        <tpls c="2">
          <tpl fld="2" item="0"/>
          <tpl fld="0" item="47"/>
        </tpls>
      </n>
      <m>
        <tpls c="3">
          <tpl fld="2" item="0"/>
          <tpl fld="0" item="103"/>
          <tpl fld="1" item="2"/>
        </tpls>
      </m>
      <n v="8">
        <tpls c="3">
          <tpl fld="2" item="1"/>
          <tpl fld="0" item="159"/>
          <tpl fld="1" item="0"/>
        </tpls>
      </n>
      <n v="5">
        <tpls c="2">
          <tpl fld="2" item="1"/>
          <tpl fld="0" item="215"/>
        </tpls>
      </n>
      <m>
        <tpls c="3">
          <tpl fld="2" item="1"/>
          <tpl fld="0" item="271"/>
          <tpl fld="1" item="3"/>
        </tpls>
      </m>
      <n v="0">
        <tpls c="3">
          <tpl fld="2" item="1"/>
          <tpl fld="0" item="318"/>
          <tpl fld="1" item="1"/>
        </tpls>
      </n>
      <m>
        <tpls c="3">
          <tpl fld="2" item="1"/>
          <tpl fld="0" item="318"/>
          <tpl fld="1" item="0"/>
        </tpls>
      </m>
      <n v="0">
        <tpls c="3">
          <tpl fld="2" item="0"/>
          <tpl fld="0" item="350"/>
          <tpl fld="1" item="2"/>
        </tpls>
      </n>
      <m>
        <tpls c="3">
          <tpl fld="2" item="1"/>
          <tpl fld="0" item="364"/>
          <tpl fld="1" item="3"/>
        </tpls>
      </m>
      <n v="494009.59999999998">
        <tpls c="3">
          <tpl fld="2" item="0"/>
          <tpl fld="0" item="48"/>
          <tpl fld="1" item="3"/>
        </tpls>
      </n>
      <m>
        <tpls c="3">
          <tpl fld="2" item="0"/>
          <tpl fld="0" item="104"/>
          <tpl fld="1" item="2"/>
        </tpls>
      </m>
      <m>
        <tpls c="3">
          <tpl fld="2" item="1"/>
          <tpl fld="0" item="104"/>
          <tpl fld="1" item="0"/>
        </tpls>
      </m>
      <n v="363">
        <tpls c="3">
          <tpl fld="2" item="1"/>
          <tpl fld="0" item="160"/>
          <tpl fld="1" item="2"/>
        </tpls>
      </n>
      <n v="3817761.96">
        <tpls c="2">
          <tpl fld="2" item="0"/>
          <tpl fld="0" item="216"/>
        </tpls>
      </n>
      <n v="155932">
        <tpls c="3">
          <tpl fld="2" item="0"/>
          <tpl fld="0" item="272"/>
          <tpl fld="1" item="3"/>
        </tpls>
      </n>
      <m>
        <tpls c="3">
          <tpl fld="2" item="1"/>
          <tpl fld="0" item="375"/>
          <tpl fld="1" item="2"/>
        </tpls>
      </m>
      <m>
        <tpls c="3">
          <tpl fld="2" item="0"/>
          <tpl fld="0" item="375"/>
          <tpl fld="1" item="0"/>
        </tpls>
      </m>
      <n v="134">
        <tpls c="3">
          <tpl fld="2" item="1"/>
          <tpl fld="0" item="436"/>
          <tpl fld="1" item="3"/>
        </tpls>
      </n>
      <n v="86">
        <tpls c="2">
          <tpl fld="2" item="1"/>
          <tpl fld="0" item="389"/>
        </tpls>
      </n>
      <m>
        <tpls c="3">
          <tpl fld="2" item="1"/>
          <tpl fld="0" item="49"/>
          <tpl fld="1" item="2"/>
        </tpls>
      </m>
      <m>
        <tpls c="3">
          <tpl fld="2" item="0"/>
          <tpl fld="0" item="105"/>
          <tpl fld="1" item="1"/>
        </tpls>
      </m>
      <m>
        <tpls c="3">
          <tpl fld="2" item="0"/>
          <tpl fld="0" item="105"/>
          <tpl fld="1" item="2"/>
        </tpls>
      </m>
      <n v="81">
        <tpls c="3">
          <tpl fld="2" item="1"/>
          <tpl fld="0" item="161"/>
          <tpl fld="1" item="3"/>
        </tpls>
      </n>
      <n v="47">
        <tpls c="3">
          <tpl fld="2" item="1"/>
          <tpl fld="0" item="217"/>
          <tpl fld="1" item="3"/>
        </tpls>
      </n>
      <n v="3398.1">
        <tpls c="3">
          <tpl fld="2" item="0"/>
          <tpl fld="0" item="273"/>
          <tpl fld="1" item="3"/>
        </tpls>
      </n>
      <m>
        <tpls c="3">
          <tpl fld="2" item="0"/>
          <tpl fld="0" item="297"/>
          <tpl fld="1" item="2"/>
        </tpls>
      </m>
      <m>
        <tpls c="3">
          <tpl fld="2" item="0"/>
          <tpl fld="0" item="297"/>
          <tpl fld="1" item="1"/>
        </tpls>
      </m>
      <n v="72">
        <tpls c="3">
          <tpl fld="2" item="1"/>
          <tpl fld="0" item="401"/>
          <tpl fld="1" item="3"/>
        </tpls>
      </n>
      <n v="1686">
        <tpls c="3">
          <tpl fld="2" item="0"/>
          <tpl fld="0" item="319"/>
          <tpl fld="1" item="3"/>
        </tpls>
      </n>
      <n v="0">
        <tpls c="3">
          <tpl fld="2" item="1"/>
          <tpl fld="0" item="50"/>
          <tpl fld="1" item="2"/>
        </tpls>
      </n>
      <n v="34">
        <tpls c="3">
          <tpl fld="2" item="1"/>
          <tpl fld="0" item="106"/>
          <tpl fld="1" item="3"/>
        </tpls>
      </n>
      <m>
        <tpls c="3">
          <tpl fld="2" item="1"/>
          <tpl fld="0" item="162"/>
          <tpl fld="1" item="0"/>
        </tpls>
      </m>
      <m>
        <tpls c="3">
          <tpl fld="2" item="0"/>
          <tpl fld="0" item="162"/>
          <tpl fld="1" item="1"/>
        </tpls>
      </m>
      <n v="7">
        <tpls c="3">
          <tpl fld="2" item="1"/>
          <tpl fld="0" item="218"/>
          <tpl fld="1" item="3"/>
        </tpls>
      </n>
      <m>
        <tpls c="3">
          <tpl fld="2" item="0"/>
          <tpl fld="0" item="274"/>
          <tpl fld="1" item="0"/>
        </tpls>
      </m>
      <n v="196109.38">
        <tpls c="3">
          <tpl fld="2" item="0"/>
          <tpl hier="4" item="4294967295"/>
          <tpl fld="1" item="0"/>
        </tpls>
      </n>
      <n v="10">
        <tpls c="3">
          <tpl fld="2" item="1"/>
          <tpl fld="0" item="51"/>
          <tpl fld="1" item="1"/>
        </tpls>
      </n>
      <n v="337720.31">
        <tpls c="2">
          <tpl fld="2" item="0"/>
          <tpl fld="0" item="51"/>
        </tpls>
      </n>
      <n v="135">
        <tpls c="2">
          <tpl fld="2" item="1"/>
          <tpl fld="0" item="107"/>
        </tpls>
      </n>
      <m>
        <tpls c="3">
          <tpl fld="2" item="0"/>
          <tpl fld="0" item="163"/>
          <tpl fld="1" item="3"/>
        </tpls>
      </m>
      <n v="94">
        <tpls c="3">
          <tpl fld="2" item="1"/>
          <tpl fld="0" item="219"/>
          <tpl fld="1" item="1"/>
        </tpls>
      </n>
      <n v="607">
        <tpls c="3">
          <tpl fld="2" item="0"/>
          <tpl fld="0" item="275"/>
          <tpl fld="1" item="1"/>
        </tpls>
      </n>
      <n v="607">
        <tpls c="2">
          <tpl fld="2" item="0"/>
          <tpl fld="0" item="275"/>
        </tpls>
      </n>
      <m>
        <tpls c="3">
          <tpl fld="2" item="0"/>
          <tpl fld="0" item="320"/>
          <tpl fld="1" item="3"/>
        </tpls>
      </m>
      <m>
        <tpls c="3">
          <tpl fld="2" item="0"/>
          <tpl fld="0" item="376"/>
          <tpl fld="1" item="3"/>
        </tpls>
      </m>
      <m>
        <tpls c="3">
          <tpl fld="2" item="1"/>
          <tpl fld="0" item="429"/>
          <tpl fld="1" item="0"/>
        </tpls>
      </m>
      <n v="397">
        <tpls c="3">
          <tpl fld="2" item="0"/>
          <tpl fld="0" item="52"/>
          <tpl fld="1" item="1"/>
        </tpls>
      </n>
      <n v="397">
        <tpls c="2">
          <tpl fld="2" item="0"/>
          <tpl fld="0" item="52"/>
        </tpls>
      </n>
      <n v="1">
        <tpls c="2">
          <tpl fld="2" item="1"/>
          <tpl fld="0" item="108"/>
        </tpls>
      </n>
      <n v="0">
        <tpls c="2">
          <tpl fld="2" item="1"/>
          <tpl fld="0" item="164"/>
        </tpls>
      </n>
      <m>
        <tpls c="3">
          <tpl fld="2" item="1"/>
          <tpl fld="0" item="220"/>
          <tpl fld="1" item="0"/>
        </tpls>
      </m>
      <n v="206">
        <tpls c="3">
          <tpl fld="2" item="0"/>
          <tpl fld="0" item="276"/>
          <tpl fld="1" item="1"/>
        </tpls>
      </n>
      <n v="231580.23">
        <tpls c="3">
          <tpl fld="2" item="0"/>
          <tpl fld="0" item="276"/>
          <tpl fld="1" item="3"/>
        </tpls>
      </n>
      <n v="127326">
        <tpls c="2">
          <tpl fld="2" item="0"/>
          <tpl fld="0" item="390"/>
        </tpls>
      </n>
      <m>
        <tpls c="3">
          <tpl fld="2" item="1"/>
          <tpl fld="0" item="402"/>
          <tpl fld="1" item="1"/>
        </tpls>
      </m>
      <n v="1655">
        <tpls c="3">
          <tpl fld="2" item="0"/>
          <tpl fld="0" item="442"/>
          <tpl fld="1" item="1"/>
        </tpls>
      </n>
      <m>
        <tpls c="3">
          <tpl fld="2" item="0"/>
          <tpl fld="0" item="53"/>
          <tpl fld="1" item="0"/>
        </tpls>
      </m>
      <m>
        <tpls c="3">
          <tpl fld="2" item="1"/>
          <tpl fld="0" item="53"/>
          <tpl fld="1" item="0"/>
        </tpls>
      </m>
      <n v="3090">
        <tpls c="3">
          <tpl fld="2" item="0"/>
          <tpl fld="0" item="109"/>
          <tpl fld="1" item="2"/>
        </tpls>
      </n>
      <n v="39">
        <tpls c="3">
          <tpl fld="2" item="1"/>
          <tpl fld="0" item="165"/>
          <tpl fld="1" item="1"/>
        </tpls>
      </n>
      <m>
        <tpls c="3">
          <tpl fld="2" item="0"/>
          <tpl fld="0" item="221"/>
          <tpl fld="1" item="0"/>
        </tpls>
      </m>
      <m>
        <tpls c="3">
          <tpl fld="2" item="1"/>
          <tpl fld="0" item="277"/>
          <tpl fld="1" item="0"/>
        </tpls>
      </m>
      <m>
        <tpls c="3">
          <tpl fld="2" item="0"/>
          <tpl fld="0" item="277"/>
          <tpl fld="1" item="1"/>
        </tpls>
      </m>
      <m>
        <tpls c="3">
          <tpl fld="2" item="1"/>
          <tpl fld="0" item="298"/>
          <tpl fld="1" item="0"/>
        </tpls>
      </m>
      <m>
        <tpls c="3">
          <tpl fld="2" item="1"/>
          <tpl fld="0" item="437"/>
          <tpl fld="1" item="2"/>
        </tpls>
      </m>
      <n v="19915.72">
        <tpls c="2">
          <tpl fld="2" item="0"/>
          <tpl fld="0" item="321"/>
        </tpls>
      </n>
      <m>
        <tpls c="3">
          <tpl fld="2" item="0"/>
          <tpl fld="0" item="54"/>
          <tpl fld="1" item="1"/>
        </tpls>
      </m>
      <n v="410">
        <tpls c="2">
          <tpl fld="2" item="1"/>
          <tpl fld="0" item="54"/>
        </tpls>
      </n>
      <n v="100">
        <tpls c="3">
          <tpl fld="2" item="0"/>
          <tpl fld="0" item="110"/>
          <tpl fld="1" item="2"/>
        </tpls>
      </n>
      <m>
        <tpls c="3">
          <tpl fld="2" item="0"/>
          <tpl fld="0" item="166"/>
          <tpl fld="1" item="1"/>
        </tpls>
      </m>
      <n v="42">
        <tpls c="2">
          <tpl fld="2" item="1"/>
          <tpl fld="0" item="222"/>
        </tpls>
      </n>
      <n v="51">
        <tpls c="2">
          <tpl fld="2" item="1"/>
          <tpl fld="0" item="278"/>
        </tpls>
      </n>
      <n v="880">
        <tpls c="2">
          <tpl fld="2" item="0"/>
          <tpl fld="0" item="278"/>
        </tpls>
      </n>
      <n v="1117">
        <tpls c="3">
          <tpl fld="2" item="0"/>
          <tpl fld="0" item="351"/>
          <tpl fld="1" item="3"/>
        </tpls>
      </n>
      <m>
        <tpls c="3">
          <tpl fld="2" item="1"/>
          <tpl fld="0" item="365"/>
          <tpl fld="1" item="2"/>
        </tpls>
      </m>
      <n v="33723.01">
        <tpls c="3">
          <tpl fld="2" item="0"/>
          <tpl fld="0" item="243"/>
          <tpl fld="1" item="3"/>
        </tpls>
      </n>
      <n v="4856">
        <tpls c="3">
          <tpl fld="2" item="0"/>
          <tpl fld="0" item="197"/>
          <tpl fld="1" item="3"/>
        </tpls>
      </n>
      <n v="241">
        <tpls c="3">
          <tpl fld="2" item="0"/>
          <tpl fld="0" item="308"/>
          <tpl fld="1" item="3"/>
        </tpls>
      </n>
      <n v="714">
        <tpls c="3">
          <tpl fld="2" item="0"/>
          <tpl fld="0" item="68"/>
          <tpl fld="1" item="3"/>
        </tpls>
      </n>
      <n v="3976">
        <tpls c="3">
          <tpl fld="2" item="0"/>
          <tpl fld="0" item="179"/>
          <tpl fld="1" item="3"/>
        </tpls>
      </n>
      <n v="764">
        <tpls c="3">
          <tpl fld="2" item="0"/>
          <tpl fld="0" item="324"/>
          <tpl fld="1" item="3"/>
        </tpls>
      </n>
      <n v="926">
        <tpls c="3">
          <tpl fld="2" item="0"/>
          <tpl fld="0" item="229"/>
          <tpl fld="1" item="3"/>
        </tpls>
      </n>
      <m>
        <tpls c="3">
          <tpl fld="2" item="0"/>
          <tpl fld="0" item="384"/>
          <tpl fld="1" item="2"/>
        </tpls>
      </m>
      <n v="7">
        <tpls c="2">
          <tpl fld="2" item="1"/>
          <tpl fld="0" item="147"/>
        </tpls>
      </n>
      <n v="144">
        <tpls c="3">
          <tpl fld="2" item="1"/>
          <tpl fld="0" item="38"/>
          <tpl fld="1" item="3"/>
        </tpls>
      </n>
      <m>
        <tpls c="3">
          <tpl fld="2" item="1"/>
          <tpl fld="0" item="263"/>
          <tpl fld="1" item="0"/>
        </tpls>
      </m>
      <n v="895">
        <tpls c="3">
          <tpl fld="2" item="0"/>
          <tpl fld="0" item="265"/>
          <tpl fld="1" item="1"/>
        </tpls>
      </n>
      <n v="125">
        <tpls c="3">
          <tpl fld="2" item="1"/>
          <tpl fld="0" item="406"/>
          <tpl fld="1" item="1"/>
        </tpls>
      </n>
      <m>
        <tpls c="3">
          <tpl fld="2" item="1"/>
          <tpl fld="0" item="212"/>
          <tpl fld="1" item="1"/>
        </tpls>
      </m>
      <n v="46">
        <tpls c="3">
          <tpl fld="2" item="1"/>
          <tpl fld="0" item="388"/>
          <tpl fld="1" item="0"/>
        </tpls>
      </n>
      <n v="12">
        <tpls c="2">
          <tpl fld="2" item="1"/>
          <tpl fld="0" item="308"/>
        </tpls>
      </n>
      <n v="1">
        <tpls c="3">
          <tpl fld="2" item="0"/>
          <tpl fld="0" item="159"/>
          <tpl fld="1" item="1"/>
        </tpls>
      </n>
      <n v="41500">
        <tpls c="3">
          <tpl fld="2" item="0"/>
          <tpl fld="0" item="160"/>
          <tpl fld="1" item="0"/>
        </tpls>
      </n>
      <n v="12000">
        <tpls c="2">
          <tpl fld="2" item="0"/>
          <tpl fld="0" item="389"/>
        </tpls>
      </n>
      <m>
        <tpls c="3">
          <tpl fld="2" item="1"/>
          <tpl fld="0" item="273"/>
          <tpl fld="1" item="2"/>
        </tpls>
      </m>
      <n v="1069">
        <tpls c="3">
          <tpl fld="2" item="0"/>
          <tpl fld="0" item="162"/>
          <tpl fld="1" item="3"/>
        </tpls>
      </n>
      <n v="23948">
        <tpls c="2">
          <tpl fld="2" item="0"/>
          <tpl fld="0" item="107"/>
        </tpls>
      </n>
      <n v="5">
        <tpls c="2">
          <tpl fld="2" item="1"/>
          <tpl fld="0" item="376"/>
        </tpls>
      </n>
      <n v="169985.91">
        <tpls c="3">
          <tpl fld="2" item="0"/>
          <tpl fld="0" item="220"/>
          <tpl fld="1" item="3"/>
        </tpls>
      </n>
      <n v="30833">
        <tpls c="3">
          <tpl fld="2" item="0"/>
          <tpl fld="0" item="109"/>
          <tpl fld="1" item="1"/>
        </tpls>
      </n>
      <m>
        <tpls c="3">
          <tpl fld="2" item="1"/>
          <tpl fld="0" item="321"/>
          <tpl fld="1" item="0"/>
        </tpls>
      </m>
      <m>
        <tpls c="3">
          <tpl fld="2" item="1"/>
          <tpl fld="0" item="278"/>
          <tpl fld="1" item="1"/>
        </tpls>
      </m>
      <n v="26220.5">
        <tpls c="3">
          <tpl fld="2" item="0"/>
          <tpl fld="0" item="242"/>
          <tpl fld="1" item="3"/>
        </tpls>
      </n>
      <m>
        <tpls c="3">
          <tpl fld="2" item="1"/>
          <tpl fld="0" item="17"/>
          <tpl fld="1" item="0"/>
        </tpls>
      </m>
      <n v="1097">
        <tpls c="3">
          <tpl fld="2" item="1"/>
          <tpl fld="0" item="136"/>
          <tpl fld="1" item="3"/>
        </tpls>
      </n>
      <n v="6">
        <tpls c="2">
          <tpl fld="2" item="1"/>
          <tpl fld="0" item="370"/>
        </tpls>
      </n>
      <n v="0">
        <tpls c="3">
          <tpl fld="2" item="1"/>
          <tpl fld="0" item="313"/>
          <tpl fld="1" item="2"/>
        </tpls>
      </n>
      <m>
        <tpls c="3">
          <tpl fld="2" item="1"/>
          <tpl fld="0" item="144"/>
          <tpl fld="1" item="2"/>
        </tpls>
      </m>
      <n v="22991.01">
        <tpls c="2">
          <tpl fld="2" item="0"/>
          <tpl fld="0" item="33"/>
        </tpls>
      </n>
      <n v="7011">
        <tpls c="2">
          <tpl fld="2" item="0"/>
          <tpl fld="0" item="412"/>
        </tpls>
      </n>
      <m>
        <tpls c="3">
          <tpl fld="2" item="0"/>
          <tpl fld="0" item="203"/>
          <tpl fld="1" item="2"/>
        </tpls>
      </m>
      <m>
        <tpls c="3">
          <tpl fld="2" item="1"/>
          <tpl fld="0" item="147"/>
          <tpl fld="1" item="3"/>
        </tpls>
      </m>
      <m>
        <tpls c="3">
          <tpl fld="2" item="1"/>
          <tpl fld="0" item="36"/>
          <tpl fld="1" item="1"/>
        </tpls>
      </m>
      <m>
        <tpls c="3">
          <tpl fld="2" item="1"/>
          <tpl fld="0" item="398"/>
          <tpl fld="1" item="1"/>
        </tpls>
      </m>
      <n v="162">
        <tpls c="3">
          <tpl fld="2" item="1"/>
          <tpl fld="0" item="440"/>
          <tpl fld="1" item="3"/>
        </tpls>
      </n>
      <m>
        <tpls c="3">
          <tpl fld="2" item="1"/>
          <tpl fld="0" item="93"/>
          <tpl fld="1" item="0"/>
        </tpls>
      </m>
      <m>
        <tpls c="3">
          <tpl fld="2" item="1"/>
          <tpl fld="0" item="206"/>
          <tpl fld="1" item="0"/>
        </tpls>
      </m>
      <n v="112">
        <tpls c="2">
          <tpl fld="2" item="1"/>
          <tpl fld="0" item="434"/>
        </tpls>
      </n>
      <m>
        <tpls c="3">
          <tpl fld="2" item="0"/>
          <tpl fld="0" item="38"/>
          <tpl fld="1" item="2"/>
        </tpls>
      </m>
      <m>
        <tpls c="3">
          <tpl fld="2" item="1"/>
          <tpl fld="0" item="150"/>
          <tpl fld="1" item="0"/>
        </tpls>
      </m>
      <m>
        <tpls c="3">
          <tpl fld="2" item="1"/>
          <tpl fld="0" item="173"/>
          <tpl fld="1" item="1"/>
        </tpls>
      </m>
      <m>
        <tpls c="3">
          <tpl fld="2" item="0"/>
          <tpl fld="0" item="348"/>
          <tpl fld="1" item="0"/>
        </tpls>
      </m>
      <n v="0">
        <tpls c="3">
          <tpl fld="2" item="1"/>
          <tpl fld="0" item="39"/>
          <tpl fld="1" item="1"/>
        </tpls>
      </n>
      <m>
        <tpls c="3">
          <tpl fld="2" item="0"/>
          <tpl fld="0" item="151"/>
          <tpl fld="1" item="3"/>
        </tpls>
      </m>
      <m>
        <tpls c="3">
          <tpl fld="2" item="1"/>
          <tpl fld="0" item="263"/>
          <tpl fld="1" item="2"/>
        </tpls>
      </m>
      <m>
        <tpls c="3">
          <tpl fld="2" item="0"/>
          <tpl fld="0" item="293"/>
          <tpl fld="1" item="2"/>
        </tpls>
      </m>
      <m>
        <tpls c="3">
          <tpl fld="2" item="0"/>
          <tpl fld="0" item="316"/>
          <tpl fld="1" item="2"/>
        </tpls>
      </m>
      <n v="0">
        <tpls c="3">
          <tpl fld="2" item="1"/>
          <tpl fld="0" item="40"/>
          <tpl fld="1" item="1"/>
        </tpls>
      </n>
      <n v="350">
        <tpls c="3">
          <tpl fld="2" item="1"/>
          <tpl fld="0" item="152"/>
          <tpl fld="1" item="3"/>
        </tpls>
      </n>
      <n v="347">
        <tpls c="2">
          <tpl fld="2" item="1"/>
          <tpl fld="0" item="264"/>
        </tpls>
      </n>
      <n v="4853">
        <tpls c="3">
          <tpl fld="2" item="0"/>
          <tpl fld="0" item="373"/>
          <tpl fld="1" item="1"/>
        </tpls>
      </n>
      <n v="92713.99">
        <tpls c="3">
          <tpl fld="2" item="0"/>
          <tpl fld="0" item="387"/>
          <tpl fld="1" item="3"/>
        </tpls>
      </n>
      <n v="12410.5">
        <tpls c="2">
          <tpl fld="2" item="0"/>
          <tpl fld="0" item="41"/>
        </tpls>
      </n>
      <n v="70">
        <tpls c="3">
          <tpl fld="2" item="1"/>
          <tpl fld="0" item="153"/>
          <tpl fld="1" item="3"/>
        </tpls>
      </n>
      <n v="0">
        <tpls c="3">
          <tpl fld="2" item="0"/>
          <tpl fld="0" item="265"/>
          <tpl fld="1" item="2"/>
        </tpls>
      </n>
      <n v="207">
        <tpls c="3">
          <tpl fld="2" item="1"/>
          <tpl fld="0" item="399"/>
          <tpl fld="1" item="1"/>
        </tpls>
      </n>
      <n v="1">
        <tpls c="3">
          <tpl fld="2" item="1"/>
          <tpl fld="0" item="294"/>
          <tpl fld="1" item="1"/>
        </tpls>
      </n>
      <n v="1103">
        <tpls c="2">
          <tpl fld="2" item="1"/>
          <tpl fld="0" item="98"/>
        </tpls>
      </n>
      <m>
        <tpls c="3">
          <tpl fld="2" item="0"/>
          <tpl fld="0" item="154"/>
          <tpl fld="1" item="0"/>
        </tpls>
      </m>
      <n v="0">
        <tpls c="3">
          <tpl fld="2" item="0"/>
          <tpl fld="0" item="266"/>
          <tpl fld="1" item="2"/>
        </tpls>
      </n>
      <n v="1614">
        <tpls c="2">
          <tpl fld="2" item="0"/>
          <tpl fld="0" item="60"/>
        </tpls>
      </n>
      <n v="197193.9">
        <tpls c="2">
          <tpl fld="2" item="0"/>
          <tpl fld="0" item="74"/>
        </tpls>
      </n>
      <m>
        <tpls c="3">
          <tpl fld="2" item="0"/>
          <tpl fld="0" item="435"/>
          <tpl fld="1" item="3"/>
        </tpls>
      </m>
      <n v="107148.74">
        <tpls c="3">
          <tpl fld="2" item="0"/>
          <tpl fld="0" item="43"/>
          <tpl fld="1" item="1"/>
        </tpls>
      </n>
      <m>
        <tpls c="3">
          <tpl fld="2" item="1"/>
          <tpl fld="0" item="155"/>
          <tpl fld="1" item="3"/>
        </tpls>
      </m>
      <m>
        <tpls c="3">
          <tpl fld="2" item="1"/>
          <tpl fld="0" item="211"/>
          <tpl fld="1" item="0"/>
        </tpls>
      </m>
      <n v="12">
        <tpls c="3">
          <tpl fld="2" item="1"/>
          <tpl fld="0" item="349"/>
          <tpl fld="1" item="1"/>
        </tpls>
      </n>
      <m>
        <tpls c="3">
          <tpl fld="2" item="0"/>
          <tpl fld="0" item="363"/>
          <tpl fld="1" item="3"/>
        </tpls>
      </m>
      <n v="138">
        <tpls c="3">
          <tpl fld="2" item="0"/>
          <tpl fld="0" item="44"/>
          <tpl fld="1" item="1"/>
        </tpls>
      </n>
      <m>
        <tpls c="3">
          <tpl fld="2" item="0"/>
          <tpl fld="0" item="156"/>
          <tpl fld="1" item="0"/>
        </tpls>
      </m>
      <n v="54116.28">
        <tpls c="2">
          <tpl fld="2" item="0"/>
          <tpl fld="0" item="212"/>
        </tpls>
      </n>
      <m>
        <tpls c="3">
          <tpl fld="2" item="1"/>
          <tpl fld="0" item="295"/>
          <tpl fld="1" item="2"/>
        </tpls>
      </m>
      <m>
        <tpls c="3">
          <tpl fld="2" item="1"/>
          <tpl fld="0" item="410"/>
          <tpl fld="1" item="1"/>
        </tpls>
      </m>
      <n v="4">
        <tpls c="3">
          <tpl fld="2" item="1"/>
          <tpl fld="0" item="45"/>
          <tpl fld="1" item="1"/>
        </tpls>
      </n>
      <n v="83914.12">
        <tpls c="2">
          <tpl fld="2" item="0"/>
          <tpl fld="0" item="157"/>
        </tpls>
      </n>
      <m>
        <tpls c="3">
          <tpl fld="2" item="1"/>
          <tpl fld="0" item="213"/>
          <tpl fld="1" item="1"/>
        </tpls>
      </m>
      <m>
        <tpls c="3">
          <tpl fld="2" item="1"/>
          <tpl fld="0" item="388"/>
          <tpl fld="1" item="1"/>
        </tpls>
      </m>
      <n v="1707">
        <tpls c="3">
          <tpl fld="2" item="0"/>
          <tpl fld="0" item="414"/>
          <tpl fld="1" item="1"/>
        </tpls>
      </n>
      <m>
        <tpls c="3">
          <tpl fld="2" item="1"/>
          <tpl fld="0" item="46"/>
          <tpl fld="1" item="1"/>
        </tpls>
      </m>
      <m>
        <tpls c="3">
          <tpl fld="2" item="1"/>
          <tpl fld="0" item="158"/>
          <tpl fld="1" item="0"/>
        </tpls>
      </m>
      <n v="628">
        <tpls c="3">
          <tpl fld="2" item="0"/>
          <tpl fld="0" item="214"/>
          <tpl fld="1" item="3"/>
        </tpls>
      </n>
      <n v="235">
        <tpls c="3">
          <tpl fld="2" item="0"/>
          <tpl fld="0" item="270"/>
          <tpl fld="1" item="1"/>
        </tpls>
      </n>
      <m>
        <tpls c="3">
          <tpl fld="2" item="0"/>
          <tpl fld="0" item="417"/>
          <tpl fld="1" item="0"/>
        </tpls>
      </m>
      <n v="36">
        <tpls c="2">
          <tpl fld="2" item="1"/>
          <tpl fld="0" item="20"/>
        </tpls>
      </n>
      <n v="9">
        <tpls c="2">
          <tpl fld="2" item="1"/>
          <tpl fld="0" item="180"/>
        </tpls>
      </n>
      <m>
        <tpls c="3">
          <tpl fld="2" item="0"/>
          <tpl fld="0" item="428"/>
          <tpl fld="1" item="2"/>
        </tpls>
      </m>
      <n v="34">
        <tpls c="2">
          <tpl fld="2" item="0"/>
          <tpl fld="0" item="296"/>
        </tpls>
      </n>
      <n v="45">
        <tpls c="2">
          <tpl fld="2" item="0"/>
          <tpl fld="0" item="441"/>
        </tpls>
      </n>
      <m>
        <tpls c="3">
          <tpl fld="2" item="1"/>
          <tpl fld="0" item="47"/>
          <tpl fld="1" item="1"/>
        </tpls>
      </m>
      <n v="125">
        <tpls c="3">
          <tpl fld="2" item="1"/>
          <tpl fld="0" item="103"/>
          <tpl fld="1" item="1"/>
        </tpls>
      </n>
      <n v="1">
        <tpls c="3">
          <tpl fld="2" item="1"/>
          <tpl fld="0" item="159"/>
          <tpl fld="1" item="1"/>
        </tpls>
      </n>
      <m>
        <tpls c="3">
          <tpl fld="2" item="0"/>
          <tpl fld="0" item="215"/>
          <tpl fld="1" item="2"/>
        </tpls>
      </m>
      <m>
        <tpls c="3">
          <tpl fld="2" item="0"/>
          <tpl fld="0" item="271"/>
          <tpl fld="1" item="3"/>
        </tpls>
      </m>
      <m>
        <tpls c="3">
          <tpl fld="2" item="1"/>
          <tpl fld="0" item="318"/>
          <tpl fld="1" item="2"/>
        </tpls>
      </m>
      <m>
        <tpls c="3">
          <tpl fld="2" item="0"/>
          <tpl fld="0" item="318"/>
          <tpl fld="1" item="0"/>
        </tpls>
      </m>
      <n v="0">
        <tpls c="2">
          <tpl fld="2" item="0"/>
          <tpl fld="0" item="350"/>
        </tpls>
      </n>
      <m>
        <tpls c="3">
          <tpl fld="2" item="0"/>
          <tpl fld="0" item="364"/>
          <tpl fld="1" item="3"/>
        </tpls>
      </m>
      <n v="3633">
        <tpls c="3">
          <tpl fld="2" item="1"/>
          <tpl fld="0" item="48"/>
          <tpl fld="1" item="3"/>
        </tpls>
      </n>
      <n v="1510">
        <tpls c="3">
          <tpl fld="2" item="1"/>
          <tpl fld="0" item="104"/>
          <tpl fld="1" item="3"/>
        </tpls>
      </n>
      <m>
        <tpls c="3">
          <tpl fld="2" item="0"/>
          <tpl fld="0" item="104"/>
          <tpl fld="1" item="0"/>
        </tpls>
      </m>
      <n v="11254">
        <tpls c="2">
          <tpl fld="2" item="1"/>
          <tpl fld="0" item="160"/>
        </tpls>
      </n>
      <n v="296">
        <tpls c="3">
          <tpl fld="2" item="1"/>
          <tpl fld="0" item="216"/>
          <tpl fld="1" item="2"/>
        </tpls>
      </n>
      <n v="10">
        <tpls c="3">
          <tpl fld="2" item="0"/>
          <tpl fld="0" item="272"/>
          <tpl fld="1" item="2"/>
        </tpls>
      </n>
      <n v="141">
        <tpls c="2">
          <tpl fld="2" item="1"/>
          <tpl fld="0" item="375"/>
        </tpls>
      </n>
      <n v="141">
        <tpls c="3">
          <tpl fld="2" item="1"/>
          <tpl fld="0" item="375"/>
          <tpl fld="1" item="3"/>
        </tpls>
      </n>
      <n v="12571">
        <tpls c="3">
          <tpl fld="2" item="0"/>
          <tpl fld="0" item="436"/>
          <tpl fld="1" item="3"/>
        </tpls>
      </n>
      <m>
        <tpls c="3">
          <tpl fld="2" item="0"/>
          <tpl fld="0" item="389"/>
          <tpl fld="1" item="2"/>
        </tpls>
      </m>
      <m>
        <tpls c="3">
          <tpl fld="2" item="1"/>
          <tpl fld="0" item="49"/>
          <tpl fld="1" item="1"/>
        </tpls>
      </m>
      <m>
        <tpls c="3">
          <tpl fld="2" item="1"/>
          <tpl fld="0" item="105"/>
          <tpl fld="1" item="1"/>
        </tpls>
      </m>
      <n v="7053.61">
        <tpls c="2">
          <tpl fld="2" item="0"/>
          <tpl fld="0" item="105"/>
        </tpls>
      </n>
      <n v="5604">
        <tpls c="3">
          <tpl fld="2" item="0"/>
          <tpl fld="0" item="161"/>
          <tpl fld="1" item="3"/>
        </tpls>
      </n>
      <m>
        <tpls c="3">
          <tpl fld="2" item="1"/>
          <tpl fld="0" item="217"/>
          <tpl fld="1" item="2"/>
        </tpls>
      </m>
      <n v="4843.1000000000004">
        <tpls c="2">
          <tpl fld="2" item="0"/>
          <tpl fld="0" item="273"/>
        </tpls>
      </n>
      <m>
        <tpls c="3">
          <tpl fld="2" item="0"/>
          <tpl fld="0" item="297"/>
          <tpl fld="1" item="0"/>
        </tpls>
      </m>
      <m>
        <tpls c="3">
          <tpl fld="2" item="1"/>
          <tpl fld="0" item="297"/>
          <tpl fld="1" item="0"/>
        </tpls>
      </m>
      <n v="3397">
        <tpls c="3">
          <tpl fld="2" item="0"/>
          <tpl fld="0" item="401"/>
          <tpl fld="1" item="3"/>
        </tpls>
      </n>
      <m>
        <tpls c="3">
          <tpl fld="2" item="1"/>
          <tpl fld="0" item="319"/>
          <tpl fld="1" item="2"/>
        </tpls>
      </m>
      <n v="379">
        <tpls c="2">
          <tpl fld="2" item="1"/>
          <tpl fld="0" item="50"/>
        </tpls>
      </n>
      <n v="34">
        <tpls c="2">
          <tpl fld="2" item="1"/>
          <tpl fld="0" item="106"/>
        </tpls>
      </n>
      <n v="50">
        <tpls c="3">
          <tpl fld="2" item="1"/>
          <tpl fld="0" item="162"/>
          <tpl fld="1" item="3"/>
        </tpls>
      </n>
      <m>
        <tpls c="3">
          <tpl fld="2" item="0"/>
          <tpl fld="0" item="162"/>
          <tpl fld="1" item="0"/>
        </tpls>
      </m>
      <n v="153">
        <tpls c="3">
          <tpl fld="2" item="0"/>
          <tpl fld="0" item="218"/>
          <tpl fld="1" item="3"/>
        </tpls>
      </n>
      <n v="716">
        <tpls c="3">
          <tpl fld="2" item="1"/>
          <tpl fld="0" item="274"/>
          <tpl fld="1" item="3"/>
        </tpls>
      </n>
      <n v="424819">
        <tpls c="3">
          <tpl fld="2" item="1"/>
          <tpl hier="4" item="4294967295"/>
          <tpl fld="1" item="3"/>
        </tpls>
      </n>
      <n v="2122">
        <tpls c="3">
          <tpl fld="2" item="0"/>
          <tpl fld="0" item="51"/>
          <tpl fld="1" item="1"/>
        </tpls>
      </n>
      <m>
        <tpls c="3">
          <tpl fld="2" item="1"/>
          <tpl fld="0" item="107"/>
          <tpl fld="1" item="0"/>
        </tpls>
      </m>
      <m>
        <tpls c="3">
          <tpl fld="2" item="0"/>
          <tpl fld="0" item="107"/>
          <tpl fld="1" item="2"/>
        </tpls>
      </m>
      <n v="356">
        <tpls c="3">
          <tpl fld="2" item="1"/>
          <tpl fld="0" item="163"/>
          <tpl fld="1" item="2"/>
        </tpls>
      </n>
      <m>
        <tpls c="3">
          <tpl fld="2" item="0"/>
          <tpl fld="0" item="219"/>
          <tpl fld="1" item="0"/>
        </tpls>
      </m>
      <m>
        <tpls c="3">
          <tpl fld="2" item="1"/>
          <tpl fld="0" item="275"/>
          <tpl fld="1" item="0"/>
        </tpls>
      </m>
      <m>
        <tpls c="3">
          <tpl fld="2" item="1"/>
          <tpl fld="0" item="320"/>
          <tpl fld="1" item="2"/>
        </tpls>
      </m>
      <m>
        <tpls c="3">
          <tpl fld="2" item="0"/>
          <tpl fld="0" item="320"/>
          <tpl fld="1" item="2"/>
        </tpls>
      </m>
      <m>
        <tpls c="3">
          <tpl fld="2" item="1"/>
          <tpl fld="0" item="376"/>
          <tpl fld="1" item="2"/>
        </tpls>
      </m>
      <m>
        <tpls c="3">
          <tpl fld="2" item="0"/>
          <tpl fld="0" item="429"/>
          <tpl fld="1" item="0"/>
        </tpls>
      </m>
      <m>
        <tpls c="3">
          <tpl fld="2" item="1"/>
          <tpl fld="0" item="52"/>
          <tpl fld="1" item="3"/>
        </tpls>
      </m>
      <m>
        <tpls c="3">
          <tpl fld="2" item="1"/>
          <tpl fld="0" item="108"/>
          <tpl fld="1" item="0"/>
        </tpls>
      </m>
      <m>
        <tpls c="3">
          <tpl fld="2" item="0"/>
          <tpl fld="0" item="108"/>
          <tpl fld="1" item="2"/>
        </tpls>
      </m>
      <n v="0">
        <tpls c="3">
          <tpl fld="2" item="1"/>
          <tpl fld="0" item="164"/>
          <tpl fld="1" item="1"/>
        </tpls>
      </n>
      <n v="1095">
        <tpls c="3">
          <tpl fld="2" item="1"/>
          <tpl fld="0" item="220"/>
          <tpl fld="1" item="3"/>
        </tpls>
      </n>
      <n v="298498.61">
        <tpls c="2">
          <tpl fld="2" item="0"/>
          <tpl fld="0" item="276"/>
        </tpls>
      </n>
      <m>
        <tpls c="3">
          <tpl fld="2" item="1"/>
          <tpl fld="0" item="390"/>
          <tpl fld="1" item="0"/>
        </tpls>
      </m>
      <n v="16">
        <tpls c="3">
          <tpl fld="2" item="1"/>
          <tpl fld="0" item="390"/>
          <tpl fld="1" item="1"/>
        </tpls>
      </n>
      <m>
        <tpls c="3">
          <tpl fld="2" item="0"/>
          <tpl fld="0" item="402"/>
          <tpl fld="1" item="1"/>
        </tpls>
      </m>
      <m>
        <tpls c="3">
          <tpl fld="2" item="1"/>
          <tpl fld="0" item="442"/>
          <tpl fld="1" item="0"/>
        </tpls>
      </m>
      <n v="100562.31">
        <tpls c="3">
          <tpl fld="2" item="0"/>
          <tpl fld="0" item="53"/>
          <tpl fld="1" item="3"/>
        </tpls>
      </n>
      <n v="23">
        <tpls c="3">
          <tpl fld="2" item="1"/>
          <tpl fld="0" item="109"/>
          <tpl fld="1" item="0"/>
        </tpls>
      </n>
      <n v="594668.71">
        <tpls c="2">
          <tpl fld="2" item="0"/>
          <tpl fld="0" item="109"/>
        </tpls>
      </n>
      <n v="1516">
        <tpls c="3">
          <tpl fld="2" item="0"/>
          <tpl fld="0" item="165"/>
          <tpl fld="1" item="1"/>
        </tpls>
      </n>
      <n v="159">
        <tpls c="3">
          <tpl fld="2" item="1"/>
          <tpl fld="0" item="221"/>
          <tpl fld="1" item="3"/>
        </tpls>
      </n>
      <n v="183">
        <tpls c="3">
          <tpl fld="2" item="1"/>
          <tpl fld="0" item="277"/>
          <tpl fld="1" item="3"/>
        </tpls>
      </n>
      <n v="5259">
        <tpls c="3">
          <tpl fld="2" item="0"/>
          <tpl fld="0" item="298"/>
          <tpl fld="1" item="3"/>
        </tpls>
      </n>
      <m>
        <tpls c="3">
          <tpl fld="2" item="0"/>
          <tpl fld="0" item="298"/>
          <tpl fld="1" item="0"/>
        </tpls>
      </m>
      <n v="271">
        <tpls c="2">
          <tpl fld="2" item="1"/>
          <tpl fld="0" item="437"/>
        </tpls>
      </n>
      <n v="0">
        <tpls c="3">
          <tpl fld="2" item="1"/>
          <tpl fld="0" item="321"/>
          <tpl fld="1" item="1"/>
        </tpls>
      </n>
      <m>
        <tpls c="3">
          <tpl fld="2" item="0"/>
          <tpl fld="0" item="54"/>
          <tpl fld="1" item="0"/>
        </tpls>
      </m>
      <n v="378331.29">
        <tpls c="3">
          <tpl fld="2" item="0"/>
          <tpl fld="0" item="110"/>
          <tpl fld="1" item="3"/>
        </tpls>
      </n>
      <n v="392043.29">
        <tpls c="2">
          <tpl fld="2" item="0"/>
          <tpl fld="0" item="110"/>
        </tpls>
      </n>
      <m>
        <tpls c="3">
          <tpl fld="2" item="1"/>
          <tpl fld="0" item="166"/>
          <tpl fld="1" item="0"/>
        </tpls>
      </m>
      <m>
        <tpls c="3">
          <tpl fld="2" item="0"/>
          <tpl fld="0" item="222"/>
          <tpl fld="1" item="2"/>
        </tpls>
      </m>
      <m>
        <tpls c="3">
          <tpl fld="2" item="1"/>
          <tpl fld="0" item="278"/>
          <tpl fld="1" item="2"/>
        </tpls>
      </m>
      <m>
        <tpls c="3">
          <tpl fld="2" item="1"/>
          <tpl fld="0" item="351"/>
          <tpl fld="1" item="2"/>
        </tpls>
      </m>
      <m>
        <tpls c="3">
          <tpl fld="2" item="0"/>
          <tpl fld="0" item="351"/>
          <tpl fld="1" item="2"/>
        </tpls>
      </m>
      <n v="141">
        <tpls c="2">
          <tpl fld="2" item="1"/>
          <tpl fld="0" item="365"/>
        </tpls>
      </n>
      <n v="8495">
        <tpls c="3">
          <tpl fld="2" item="0"/>
          <tpl fld="0" item="131"/>
          <tpl fld="1" item="3"/>
        </tpls>
      </n>
      <n v="103278.56">
        <tpls c="3">
          <tpl fld="2" item="0"/>
          <tpl fld="0" item="116"/>
          <tpl fld="1" item="3"/>
        </tpls>
      </n>
      <n v="2630">
        <tpls c="3">
          <tpl fld="2" item="0"/>
          <tpl fld="0" item="123"/>
          <tpl fld="1" item="3"/>
        </tpls>
      </n>
      <n v="773">
        <tpls c="3">
          <tpl fld="2" item="0"/>
          <tpl fld="0" item="13"/>
          <tpl fld="1" item="3"/>
        </tpls>
      </n>
      <n v="7822.55">
        <tpls c="3">
          <tpl fld="2" item="0"/>
          <tpl fld="0" item="411"/>
          <tpl fld="1" item="3"/>
        </tpls>
      </n>
      <n v="106620.92">
        <tpls c="3">
          <tpl fld="2" item="0"/>
          <tpl fld="0" item="89"/>
          <tpl fld="1" item="3"/>
        </tpls>
      </n>
      <m>
        <tpls c="3">
          <tpl fld="2" item="1"/>
          <tpl fld="0" item="440"/>
          <tpl fld="1" item="2"/>
        </tpls>
      </m>
      <m>
        <tpls c="3">
          <tpl fld="2" item="1"/>
          <tpl fld="0" item="117"/>
          <tpl fld="1" item="1"/>
        </tpls>
      </m>
      <n v="79173">
        <tpls c="3">
          <tpl fld="2" item="0"/>
          <tpl fld="0" item="152"/>
          <tpl fld="1" item="3"/>
        </tpls>
      </n>
      <n v="2089">
        <tpls c="2">
          <tpl fld="2" item="1"/>
          <tpl fld="0" item="210"/>
        </tpls>
      </n>
      <n v="12">
        <tpls c="2">
          <tpl fld="2" item="1"/>
          <tpl fld="0" item="349"/>
        </tpls>
      </n>
      <m>
        <tpls c="3">
          <tpl fld="2" item="1"/>
          <tpl fld="0" item="317"/>
          <tpl fld="1" item="2"/>
        </tpls>
      </m>
      <m>
        <tpls c="3">
          <tpl fld="2" item="1"/>
          <tpl fld="0" item="214"/>
          <tpl fld="1" item="2"/>
        </tpls>
      </m>
      <n v="45">
        <tpls c="3">
          <tpl fld="2" item="0"/>
          <tpl fld="0" item="441"/>
          <tpl fld="1" item="1"/>
        </tpls>
      </n>
      <m>
        <tpls c="3">
          <tpl fld="2" item="1"/>
          <tpl fld="0" item="350"/>
          <tpl fld="1" item="1"/>
        </tpls>
      </m>
      <n v="34376.379999999997">
        <tpls c="3">
          <tpl fld="2" item="0"/>
          <tpl fld="0" item="216"/>
          <tpl fld="1" item="2"/>
        </tpls>
      </n>
      <m>
        <tpls c="3">
          <tpl fld="2" item="1"/>
          <tpl fld="0" item="105"/>
          <tpl fld="1" item="0"/>
        </tpls>
      </m>
      <m>
        <tpls c="3">
          <tpl fld="2" item="0"/>
          <tpl fld="0" item="401"/>
          <tpl fld="1" item="2"/>
        </tpls>
      </m>
      <m>
        <tpls c="3">
          <tpl fld="2" item="1"/>
          <tpl fld="0" item="218"/>
          <tpl fld="1" item="2"/>
        </tpls>
      </m>
      <n v="398">
        <tpls c="2">
          <tpl fld="2" item="1"/>
          <tpl fld="0" item="163"/>
        </tpls>
      </n>
      <m>
        <tpls c="3">
          <tpl fld="2" item="0"/>
          <tpl fld="0" item="429"/>
          <tpl fld="1" item="3"/>
        </tpls>
      </m>
      <m>
        <tpls c="3">
          <tpl fld="2" item="0"/>
          <tpl fld="0" item="390"/>
          <tpl fld="1" item="0"/>
        </tpls>
      </m>
      <n v="528">
        <tpls c="3">
          <tpl fld="2" item="1"/>
          <tpl fld="0" item="109"/>
          <tpl fld="1" item="1"/>
        </tpls>
      </n>
      <m>
        <tpls c="3">
          <tpl fld="2" item="1"/>
          <tpl fld="0" item="437"/>
          <tpl fld="1" item="1"/>
        </tpls>
      </m>
      <n v="1466">
        <tpls c="2">
          <tpl fld="2" item="0"/>
          <tpl fld="0" item="222"/>
        </tpls>
      </n>
      <n v="7633.44">
        <tpls c="3">
          <tpl fld="2" item="0"/>
          <tpl fld="0" item="355"/>
          <tpl fld="1" item="3"/>
        </tpls>
      </n>
      <m>
        <tpls c="3">
          <tpl fld="2" item="1"/>
          <tpl fld="0" item="77"/>
          <tpl fld="1" item="2"/>
        </tpls>
      </m>
      <n v="2910">
        <tpls c="3">
          <tpl fld="2" item="0"/>
          <tpl fld="0" item="25"/>
          <tpl fld="1" item="2"/>
        </tpls>
      </n>
      <m>
        <tpls c="3">
          <tpl fld="2" item="0"/>
          <tpl fld="0" item="196"/>
          <tpl fld="1" item="0"/>
        </tpls>
      </m>
      <m>
        <tpls c="3">
          <tpl fld="2" item="1"/>
          <tpl fld="0" item="143"/>
          <tpl fld="1" item="0"/>
        </tpls>
      </m>
      <n v="158">
        <tpls c="2">
          <tpl fld="2" item="1"/>
          <tpl fld="0" item="200"/>
        </tpls>
      </n>
      <n v="5322">
        <tpls c="2">
          <tpl fld="2" item="0"/>
          <tpl fld="0" item="145"/>
        </tpls>
      </n>
      <m>
        <tpls c="3">
          <tpl fld="2" item="1"/>
          <tpl fld="0" item="90"/>
          <tpl fld="1" item="0"/>
        </tpls>
      </m>
      <m>
        <tpls c="3">
          <tpl fld="2" item="1"/>
          <tpl fld="0" item="346"/>
          <tpl fld="1" item="3"/>
        </tpls>
      </m>
      <m>
        <tpls c="3">
          <tpl fld="2" item="0"/>
          <tpl fld="0" item="204"/>
          <tpl fld="1" item="2"/>
        </tpls>
      </m>
      <n v="0">
        <tpls c="3">
          <tpl fld="2" item="0"/>
          <tpl fld="0" item="148"/>
          <tpl fld="1" item="0"/>
        </tpls>
      </n>
      <m>
        <tpls c="3">
          <tpl fld="2" item="1"/>
          <tpl fld="0" item="398"/>
          <tpl fld="1" item="0"/>
        </tpls>
      </m>
      <n v="1742">
        <tpls c="3">
          <tpl fld="2" item="0"/>
          <tpl fld="0" item="440"/>
          <tpl fld="1" item="1"/>
        </tpls>
      </n>
      <m>
        <tpls c="3">
          <tpl fld="2" item="0"/>
          <tpl fld="0" item="149"/>
          <tpl fld="1" item="0"/>
        </tpls>
      </m>
      <m>
        <tpls c="3">
          <tpl fld="2" item="0"/>
          <tpl fld="0" item="262"/>
          <tpl fld="1" item="2"/>
        </tpls>
      </m>
      <n v="1366">
        <tpls c="3">
          <tpl fld="2" item="0"/>
          <tpl fld="0" item="347"/>
          <tpl fld="1" item="3"/>
        </tpls>
      </n>
      <m>
        <tpls c="3">
          <tpl fld="2" item="0"/>
          <tpl fld="0" item="38"/>
          <tpl fld="1" item="0"/>
        </tpls>
      </m>
      <n v="0">
        <tpls c="3">
          <tpl fld="2" item="0"/>
          <tpl fld="0" item="150"/>
          <tpl fld="1" item="2"/>
        </tpls>
      </n>
      <m>
        <tpls c="3">
          <tpl fld="2" item="1"/>
          <tpl fld="0" item="413"/>
          <tpl fld="1" item="3"/>
        </tpls>
      </m>
      <n v="6019">
        <tpls c="3">
          <tpl fld="2" item="0"/>
          <tpl fld="0" item="348"/>
          <tpl fld="1" item="2"/>
        </tpls>
      </n>
      <m>
        <tpls c="3">
          <tpl fld="2" item="1"/>
          <tpl fld="0" item="95"/>
          <tpl fld="1" item="0"/>
        </tpls>
      </m>
      <n v="0">
        <tpls c="2">
          <tpl fld="2" item="0"/>
          <tpl fld="0" item="151"/>
        </tpls>
      </n>
      <n v="1">
        <tpls c="2">
          <tpl fld="2" item="1"/>
          <tpl fld="0" item="263"/>
        </tpls>
      </n>
      <m>
        <tpls c="3">
          <tpl fld="2" item="1"/>
          <tpl fld="0" item="362"/>
          <tpl fld="1" item="2"/>
        </tpls>
      </m>
      <n v="350">
        <tpls c="2">
          <tpl fld="2" item="0"/>
          <tpl fld="0" item="316"/>
        </tpls>
      </n>
      <n v="508525.01">
        <tpls c="2">
          <tpl fld="2" item="0"/>
          <tpl fld="0" item="96"/>
        </tpls>
      </n>
      <m>
        <tpls c="3">
          <tpl fld="2" item="0"/>
          <tpl fld="0" item="152"/>
          <tpl fld="1" item="2"/>
        </tpls>
      </m>
      <m>
        <tpls c="3">
          <tpl fld="2" item="1"/>
          <tpl fld="0" item="264"/>
          <tpl fld="1" item="0"/>
        </tpls>
      </m>
      <n v="78">
        <tpls c="3">
          <tpl fld="2" item="1"/>
          <tpl fld="0" item="416"/>
          <tpl fld="1" item="1"/>
        </tpls>
      </n>
      <n v="107191.47">
        <tpls c="2">
          <tpl fld="2" item="0"/>
          <tpl fld="0" item="387"/>
        </tpls>
      </n>
      <m>
        <tpls c="3">
          <tpl fld="2" item="1"/>
          <tpl fld="0" item="97"/>
          <tpl fld="1" item="1"/>
        </tpls>
      </m>
      <m>
        <tpls c="3">
          <tpl fld="2" item="0"/>
          <tpl fld="0" item="153"/>
          <tpl fld="1" item="2"/>
        </tpls>
      </m>
      <n v="0">
        <tpls c="3">
          <tpl fld="2" item="1"/>
          <tpl fld="0" item="265"/>
          <tpl fld="1" item="2"/>
        </tpls>
      </n>
      <n v="775">
        <tpls c="3">
          <tpl fld="2" item="0"/>
          <tpl fld="0" item="421"/>
          <tpl fld="1" item="1"/>
        </tpls>
      </n>
      <m>
        <tpls c="3">
          <tpl fld="2" item="1"/>
          <tpl fld="0" item="294"/>
          <tpl fld="1" item="2"/>
        </tpls>
      </m>
      <m>
        <tpls c="3">
          <tpl fld="2" item="1"/>
          <tpl fld="0" item="98"/>
          <tpl fld="1" item="0"/>
        </tpls>
      </m>
      <n v="1920">
        <tpls c="3">
          <tpl fld="2" item="1"/>
          <tpl fld="0" item="210"/>
          <tpl fld="1" item="3"/>
        </tpls>
      </n>
      <m>
        <tpls c="3">
          <tpl fld="2" item="0"/>
          <tpl fld="0" item="427"/>
          <tpl fld="1" item="0"/>
        </tpls>
      </m>
      <n v="12376.93">
        <tpls c="2">
          <tpl fld="2" item="0"/>
          <tpl fld="0" item="186"/>
        </tpls>
      </n>
      <n v="3005">
        <tpls c="2">
          <tpl fld="2" item="0"/>
          <tpl fld="0" item="5"/>
        </tpls>
      </n>
      <m>
        <tpls c="3">
          <tpl fld="2" item="0"/>
          <tpl fld="0" item="406"/>
          <tpl fld="1" item="2"/>
        </tpls>
      </m>
      <m>
        <tpls c="3">
          <tpl fld="2" item="0"/>
          <tpl fld="0" item="43"/>
          <tpl fld="1" item="3"/>
        </tpls>
      </m>
      <n v="3">
        <tpls c="2">
          <tpl fld="2" item="1"/>
          <tpl fld="0" item="155"/>
        </tpls>
      </n>
      <m>
        <tpls c="3">
          <tpl fld="2" item="0"/>
          <tpl fld="0" item="267"/>
          <tpl fld="1" item="2"/>
        </tpls>
      </m>
      <m>
        <tpls c="3">
          <tpl fld="2" item="0"/>
          <tpl fld="0" item="349"/>
          <tpl fld="1" item="0"/>
        </tpls>
      </m>
      <m>
        <tpls c="3">
          <tpl fld="2" item="1"/>
          <tpl fld="0" item="374"/>
          <tpl fld="1" item="2"/>
        </tpls>
      </m>
      <m>
        <tpls c="3">
          <tpl fld="2" item="0"/>
          <tpl fld="0" item="44"/>
          <tpl fld="1" item="3"/>
        </tpls>
      </m>
      <n v="1315">
        <tpls c="2">
          <tpl fld="2" item="1"/>
          <tpl fld="0" item="156"/>
        </tpls>
      </n>
      <m>
        <tpls c="3">
          <tpl fld="2" item="0"/>
          <tpl fld="0" item="268"/>
          <tpl fld="1" item="0"/>
        </tpls>
      </m>
      <m>
        <tpls c="3">
          <tpl fld="2" item="1"/>
          <tpl fld="0" item="295"/>
          <tpl fld="1" item="1"/>
        </tpls>
      </m>
      <m>
        <tpls c="3">
          <tpl fld="2" item="0"/>
          <tpl fld="0" item="317"/>
          <tpl fld="1" item="2"/>
        </tpls>
      </m>
      <n v="8200">
        <tpls c="3">
          <tpl fld="2" item="1"/>
          <tpl fld="0" item="45"/>
          <tpl fld="1" item="3"/>
        </tpls>
      </n>
      <n v="14115">
        <tpls c="3">
          <tpl fld="2" item="0"/>
          <tpl fld="0" item="157"/>
          <tpl fld="1" item="1"/>
        </tpls>
      </n>
      <n v="7487.83">
        <tpls c="3">
          <tpl fld="2" item="0"/>
          <tpl fld="0" item="269"/>
          <tpl fld="1" item="1"/>
        </tpls>
      </n>
      <m>
        <tpls c="3">
          <tpl fld="2" item="1"/>
          <tpl fld="0" item="388"/>
          <tpl fld="1" item="2"/>
        </tpls>
      </m>
      <n v="40">
        <tpls c="3">
          <tpl fld="2" item="1"/>
          <tpl fld="0" item="414"/>
          <tpl fld="1" item="1"/>
        </tpls>
      </n>
      <n v="0">
        <tpls c="3">
          <tpl fld="2" item="1"/>
          <tpl fld="0" item="102"/>
          <tpl fld="1" item="1"/>
        </tpls>
      </n>
      <m>
        <tpls c="3">
          <tpl fld="2" item="1"/>
          <tpl fld="0" item="158"/>
          <tpl fld="1" item="2"/>
        </tpls>
      </m>
      <n v="10">
        <tpls c="2">
          <tpl fld="2" item="1"/>
          <tpl fld="0" item="214"/>
        </tpls>
      </n>
      <n v="2692">
        <tpls c="3">
          <tpl fld="2" item="0"/>
          <tpl fld="0" item="270"/>
          <tpl fld="1" item="3"/>
        </tpls>
      </n>
      <n v="27">
        <tpls c="2">
          <tpl fld="2" item="1"/>
          <tpl fld="0" item="86"/>
        </tpls>
      </n>
      <n v="219">
        <tpls c="2">
          <tpl fld="2" item="1"/>
          <tpl fld="0" item="355"/>
        </tpls>
      </n>
      <n v="20">
        <tpls c="2">
          <tpl fld="2" item="1"/>
          <tpl fld="0" item="13"/>
        </tpls>
      </n>
      <n v="11226">
        <tpls c="3">
          <tpl fld="2" item="0"/>
          <tpl fld="0" item="428"/>
          <tpl fld="1" item="1"/>
        </tpls>
      </n>
      <n v="34">
        <tpls c="3">
          <tpl fld="2" item="0"/>
          <tpl fld="0" item="296"/>
          <tpl fld="1" item="1"/>
        </tpls>
      </n>
      <m>
        <tpls c="3">
          <tpl fld="2" item="1"/>
          <tpl fld="0" item="441"/>
          <tpl fld="1" item="0"/>
        </tpls>
      </m>
      <m>
        <tpls c="3">
          <tpl fld="2" item="0"/>
          <tpl fld="0" item="47"/>
          <tpl fld="1" item="0"/>
        </tpls>
      </m>
      <m>
        <tpls c="3">
          <tpl fld="2" item="0"/>
          <tpl fld="0" item="103"/>
          <tpl fld="1" item="0"/>
        </tpls>
      </m>
      <n v="1739">
        <tpls c="3">
          <tpl fld="2" item="0"/>
          <tpl fld="0" item="159"/>
          <tpl fld="1" item="0"/>
        </tpls>
      </n>
      <n v="264">
        <tpls c="3">
          <tpl fld="2" item="0"/>
          <tpl fld="0" item="215"/>
          <tpl fld="1" item="1"/>
        </tpls>
      </n>
      <m>
        <tpls c="3">
          <tpl fld="2" item="0"/>
          <tpl fld="0" item="271"/>
          <tpl fld="1" item="2"/>
        </tpls>
      </m>
      <m>
        <tpls c="3">
          <tpl fld="2" item="0"/>
          <tpl fld="0" item="318"/>
          <tpl fld="1" item="3"/>
        </tpls>
      </m>
      <n v="0">
        <tpls c="3">
          <tpl fld="2" item="1"/>
          <tpl fld="0" item="350"/>
          <tpl fld="1" item="2"/>
        </tpls>
      </n>
      <m>
        <tpls c="3">
          <tpl fld="2" item="0"/>
          <tpl fld="0" item="350"/>
          <tpl fld="1" item="0"/>
        </tpls>
      </m>
      <n v="6">
        <tpls c="2">
          <tpl fld="2" item="1"/>
          <tpl fld="0" item="364"/>
        </tpls>
      </n>
      <n v="4091">
        <tpls c="2">
          <tpl fld="2" item="1"/>
          <tpl fld="0" item="48"/>
        </tpls>
      </n>
      <n v="177126.72">
        <tpls c="2">
          <tpl fld="2" item="0"/>
          <tpl fld="0" item="104"/>
        </tpls>
      </n>
      <n v="852">
        <tpls c="3">
          <tpl fld="2" item="1"/>
          <tpl fld="0" item="160"/>
          <tpl fld="1" item="1"/>
        </tpls>
      </n>
      <n v="1329892.81">
        <tpls c="2">
          <tpl fld="2" item="0"/>
          <tpl fld="0" item="160"/>
        </tpls>
      </n>
      <n v="57448">
        <tpls c="3">
          <tpl fld="2" item="0"/>
          <tpl fld="0" item="216"/>
          <tpl fld="1" item="1"/>
        </tpls>
      </n>
      <n v="56">
        <tpls c="3">
          <tpl fld="2" item="1"/>
          <tpl fld="0" item="272"/>
          <tpl fld="1" item="1"/>
        </tpls>
      </n>
      <m>
        <tpls c="3">
          <tpl fld="2" item="0"/>
          <tpl fld="0" item="375"/>
          <tpl fld="1" item="2"/>
        </tpls>
      </m>
      <m>
        <tpls c="3">
          <tpl fld="2" item="0"/>
          <tpl fld="0" item="436"/>
          <tpl fld="1" item="2"/>
        </tpls>
      </m>
      <n v="134">
        <tpls c="2">
          <tpl fld="2" item="1"/>
          <tpl fld="0" item="436"/>
        </tpls>
      </n>
      <m>
        <tpls c="3">
          <tpl fld="2" item="1"/>
          <tpl fld="0" item="389"/>
          <tpl fld="1" item="1"/>
        </tpls>
      </m>
      <m>
        <tpls c="3">
          <tpl fld="2" item="1"/>
          <tpl fld="0" item="49"/>
          <tpl fld="1" item="0"/>
        </tpls>
      </m>
      <m>
        <tpls c="3">
          <tpl fld="2" item="0"/>
          <tpl fld="0" item="105"/>
          <tpl fld="1" item="0"/>
        </tpls>
      </m>
      <m>
        <tpls c="3">
          <tpl fld="2" item="0"/>
          <tpl fld="0" item="161"/>
          <tpl fld="1" item="1"/>
        </tpls>
      </m>
      <n v="81">
        <tpls c="2">
          <tpl fld="2" item="1"/>
          <tpl fld="0" item="161"/>
        </tpls>
      </n>
      <m>
        <tpls c="3">
          <tpl fld="2" item="0"/>
          <tpl fld="0" item="217"/>
          <tpl fld="1" item="2"/>
        </tpls>
      </m>
      <n v="57">
        <tpls c="2">
          <tpl fld="2" item="1"/>
          <tpl fld="0" item="273"/>
        </tpls>
      </n>
      <n v="2693">
        <tpls c="2">
          <tpl fld="2" item="0"/>
          <tpl fld="0" item="297"/>
        </tpls>
      </n>
      <m>
        <tpls c="3">
          <tpl fld="2" item="0"/>
          <tpl fld="0" item="401"/>
          <tpl fld="1" item="1"/>
        </tpls>
      </m>
      <n v="72">
        <tpls c="2">
          <tpl fld="2" item="1"/>
          <tpl fld="0" item="401"/>
        </tpls>
      </n>
      <m>
        <tpls c="3">
          <tpl fld="2" item="0"/>
          <tpl fld="0" item="319"/>
          <tpl fld="1" item="2"/>
        </tpls>
      </m>
      <n v="12792.01">
        <tpls c="2">
          <tpl fld="2" item="0"/>
          <tpl fld="0" item="50"/>
        </tpls>
      </n>
      <m>
        <tpls c="3">
          <tpl fld="2" item="1"/>
          <tpl fld="0" item="106"/>
          <tpl fld="1" item="1"/>
        </tpls>
      </m>
      <m>
        <tpls c="3">
          <tpl fld="2" item="1"/>
          <tpl fld="0" item="162"/>
          <tpl fld="1" item="2"/>
        </tpls>
      </m>
      <m>
        <tpls c="3">
          <tpl fld="2" item="1"/>
          <tpl fld="0" item="218"/>
          <tpl fld="1" item="1"/>
        </tpls>
      </m>
      <n v="153">
        <tpls c="2">
          <tpl fld="2" item="0"/>
          <tpl fld="0" item="218"/>
        </tpls>
      </n>
      <m>
        <tpls c="3">
          <tpl fld="2" item="0"/>
          <tpl fld="0" item="274"/>
          <tpl fld="1" item="2"/>
        </tpls>
      </m>
      <n v="9530">
        <tpls c="3">
          <tpl fld="2" item="1"/>
          <tpl hier="4" item="4294967295"/>
          <tpl fld="1" item="2"/>
        </tpls>
      </n>
      <m>
        <tpls c="3">
          <tpl fld="2" item="1"/>
          <tpl fld="0" item="51"/>
          <tpl fld="1" item="3"/>
        </tpls>
      </m>
      <n v="23948">
        <tpls c="3">
          <tpl fld="2" item="0"/>
          <tpl fld="0" item="107"/>
          <tpl fld="1" item="1"/>
        </tpls>
      </n>
      <n v="1003">
        <tpls c="3">
          <tpl fld="2" item="0"/>
          <tpl fld="0" item="163"/>
          <tpl fld="1" item="1"/>
        </tpls>
      </n>
      <n v="71771">
        <tpls c="3">
          <tpl fld="2" item="0"/>
          <tpl fld="0" item="163"/>
          <tpl fld="1" item="2"/>
        </tpls>
      </n>
      <m>
        <tpls c="3">
          <tpl fld="2" item="0"/>
          <tpl fld="0" item="219"/>
          <tpl fld="1" item="3"/>
        </tpls>
      </m>
      <n v="24">
        <tpls c="3">
          <tpl fld="2" item="1"/>
          <tpl fld="0" item="275"/>
          <tpl fld="1" item="1"/>
        </tpls>
      </n>
      <m>
        <tpls c="3">
          <tpl fld="2" item="0"/>
          <tpl fld="0" item="320"/>
          <tpl fld="1" item="0"/>
        </tpls>
      </m>
      <n v="90">
        <tpls c="3">
          <tpl fld="2" item="0"/>
          <tpl fld="0" item="376"/>
          <tpl fld="1" item="1"/>
        </tpls>
      </n>
      <m>
        <tpls c="3">
          <tpl fld="2" item="0"/>
          <tpl fld="0" item="376"/>
          <tpl fld="1" item="2"/>
        </tpls>
      </m>
      <m>
        <tpls c="3">
          <tpl fld="2" item="1"/>
          <tpl fld="0" item="429"/>
          <tpl fld="1" item="2"/>
        </tpls>
      </m>
      <m>
        <tpls c="3">
          <tpl fld="2" item="0"/>
          <tpl fld="0" item="52"/>
          <tpl fld="1" item="0"/>
        </tpls>
      </m>
      <m>
        <tpls c="3">
          <tpl fld="2" item="0"/>
          <tpl fld="0" item="108"/>
          <tpl fld="1" item="3"/>
        </tpls>
      </m>
      <n v="0">
        <tpls c="2">
          <tpl fld="2" item="0"/>
          <tpl fld="0" item="164"/>
        </tpls>
      </n>
      <m>
        <tpls c="3">
          <tpl fld="2" item="1"/>
          <tpl fld="0" item="164"/>
          <tpl fld="1" item="0"/>
        </tpls>
      </m>
      <m>
        <tpls c="3">
          <tpl fld="2" item="1"/>
          <tpl fld="0" item="220"/>
          <tpl fld="1" item="2"/>
        </tpls>
      </m>
      <n v="788">
        <tpls c="3">
          <tpl fld="2" item="0"/>
          <tpl fld="0" item="276"/>
          <tpl fld="1" item="2"/>
        </tpls>
      </n>
      <n v="119816">
        <tpls c="3">
          <tpl fld="2" item="0"/>
          <tpl fld="0" item="390"/>
          <tpl fld="1" item="3"/>
        </tpls>
      </n>
      <m>
        <tpls c="3">
          <tpl fld="2" item="1"/>
          <tpl fld="0" item="402"/>
          <tpl fld="1" item="2"/>
        </tpls>
      </m>
      <m>
        <tpls c="3">
          <tpl fld="2" item="0"/>
          <tpl fld="0" item="402"/>
          <tpl fld="1" item="0"/>
        </tpls>
      </m>
      <n v="1747">
        <tpls c="3">
          <tpl fld="2" item="1"/>
          <tpl fld="0" item="442"/>
          <tpl fld="1" item="3"/>
        </tpls>
      </n>
      <n v="1615">
        <tpls c="2">
          <tpl fld="2" item="1"/>
          <tpl fld="0" item="53"/>
        </tpls>
      </n>
      <n v="1405">
        <tpls c="3">
          <tpl fld="2" item="0"/>
          <tpl fld="0" item="109"/>
          <tpl fld="1" item="0"/>
        </tpls>
      </n>
      <n v="896">
        <tpls c="2">
          <tpl fld="2" item="1"/>
          <tpl fld="0" item="165"/>
        </tpls>
      </n>
      <m>
        <tpls c="3">
          <tpl fld="2" item="0"/>
          <tpl fld="0" item="165"/>
          <tpl fld="1" item="0"/>
        </tpls>
      </m>
      <n v="20">
        <tpls c="3">
          <tpl fld="2" item="1"/>
          <tpl fld="0" item="221"/>
          <tpl fld="1" item="2"/>
        </tpls>
      </n>
      <m>
        <tpls c="3">
          <tpl fld="2" item="1"/>
          <tpl fld="0" item="277"/>
          <tpl fld="1" item="2"/>
        </tpls>
      </m>
      <m>
        <tpls c="3">
          <tpl fld="2" item="0"/>
          <tpl fld="0" item="298"/>
          <tpl fld="1" item="2"/>
        </tpls>
      </m>
      <n v="11323">
        <tpls c="2">
          <tpl fld="2" item="0"/>
          <tpl fld="0" item="437"/>
        </tpls>
      </n>
      <m>
        <tpls c="3">
          <tpl fld="2" item="0"/>
          <tpl fld="0" item="437"/>
          <tpl fld="1" item="1"/>
        </tpls>
      </m>
      <n v="377">
        <tpls c="3">
          <tpl fld="2" item="1"/>
          <tpl fld="0" item="321"/>
          <tpl fld="1" item="3"/>
        </tpls>
      </n>
      <m>
        <tpls c="3">
          <tpl fld="2" item="1"/>
          <tpl fld="0" item="54"/>
          <tpl fld="1" item="1"/>
        </tpls>
      </m>
      <m>
        <tpls c="3">
          <tpl fld="2" item="0"/>
          <tpl fld="0" item="110"/>
          <tpl fld="1" item="0"/>
        </tpls>
      </m>
      <m>
        <tpls c="3">
          <tpl fld="2" item="1"/>
          <tpl fld="0" item="166"/>
          <tpl fld="1" item="2"/>
        </tpls>
      </m>
      <n v="47">
        <tpls c="3">
          <tpl fld="2" item="1"/>
          <tpl fld="0" item="166"/>
          <tpl fld="1" item="3"/>
        </tpls>
      </n>
      <m>
        <tpls c="3">
          <tpl fld="2" item="1"/>
          <tpl fld="0" item="222"/>
          <tpl fld="1" item="1"/>
        </tpls>
      </m>
      <m>
        <tpls c="3">
          <tpl fld="2" item="1"/>
          <tpl fld="0" item="278"/>
          <tpl fld="1" item="0"/>
        </tpls>
      </m>
      <n v="195">
        <tpls c="3">
          <tpl fld="2" item="0"/>
          <tpl fld="0" item="351"/>
          <tpl fld="1" item="1"/>
        </tpls>
      </n>
      <n v="7">
        <tpls c="3">
          <tpl fld="2" item="1"/>
          <tpl fld="0" item="365"/>
          <tpl fld="1" item="1"/>
        </tpls>
      </n>
      <n v="3047">
        <tpls c="2">
          <tpl fld="2" item="0"/>
          <tpl fld="0" item="365"/>
        </tpls>
      </n>
      <n v="1218">
        <tpls c="3">
          <tpl fld="2" item="0"/>
          <tpl fld="0" item="142"/>
          <tpl fld="1" item="3"/>
        </tpls>
      </n>
      <n v="1216">
        <tpls c="3">
          <tpl fld="2" item="0"/>
          <tpl fld="0" item="187"/>
          <tpl fld="1" item="3"/>
        </tpls>
      </n>
      <n v="4826">
        <tpls c="3">
          <tpl fld="2" item="0"/>
          <tpl fld="0" item="366"/>
          <tpl fld="1" item="3"/>
        </tpls>
      </n>
      <n v="10755">
        <tpls c="3">
          <tpl fld="2" item="0"/>
          <tpl fld="0" item="380"/>
          <tpl fld="1" item="3"/>
        </tpls>
      </n>
      <n v="3670">
        <tpls c="3">
          <tpl fld="2" item="0"/>
          <tpl fld="0" item="228"/>
          <tpl fld="1" item="3"/>
        </tpls>
      </n>
      <n v="1605">
        <tpls c="3">
          <tpl fld="2" item="0"/>
          <tpl fld="0" item="117"/>
          <tpl fld="1" item="3"/>
        </tpls>
      </n>
      <n v="12677.01">
        <tpls c="3">
          <tpl fld="2" item="0"/>
          <tpl fld="0" item="50"/>
          <tpl fld="1" item="3"/>
        </tpls>
      </n>
      <m>
        <tpls c="3">
          <tpl fld="2" item="1"/>
          <tpl fld="0" item="275"/>
          <tpl fld="1" item="2"/>
        </tpls>
      </m>
      <m>
        <tpls c="3">
          <tpl fld="2" item="1"/>
          <tpl fld="0" item="108"/>
          <tpl fld="1" item="2"/>
        </tpls>
      </m>
      <n v="28520">
        <tpls c="2">
          <tpl fld="2" item="0"/>
          <tpl fld="0" item="402"/>
        </tpls>
      </n>
      <m>
        <tpls c="3">
          <tpl fld="2" item="1"/>
          <tpl fld="0" item="221"/>
          <tpl fld="1" item="0"/>
        </tpls>
      </m>
      <m>
        <tpls c="3">
          <tpl fld="2" item="0"/>
          <tpl fld="0" item="54"/>
          <tpl fld="1" item="2"/>
        </tpls>
      </m>
      <n v="33">
        <tpls c="3">
          <tpl fld="2" item="1"/>
          <tpl fld="0" item="351"/>
          <tpl fld="1" item="3"/>
        </tpls>
      </n>
      <n v="559">
        <tpls c="3">
          <tpl fld="2" item="0"/>
          <tpl fld="0" item="332"/>
          <tpl fld="1" item="3"/>
        </tpls>
      </n>
      <n v="2115">
        <tpls c="3">
          <tpl fld="2" item="0"/>
          <tpl fld="0" item="130"/>
          <tpl fld="1" item="1"/>
        </tpls>
      </n>
      <m>
        <tpls c="3">
          <tpl fld="2" item="0"/>
          <tpl fld="0" item="259"/>
          <tpl fld="1" item="0"/>
        </tpls>
      </m>
      <m>
        <tpls c="3">
          <tpl fld="2" item="0"/>
          <tpl fld="0" item="150"/>
          <tpl fld="1" item="0"/>
        </tpls>
      </m>
      <n v="0">
        <tpls c="2">
          <tpl fld="2" item="0"/>
          <tpl fld="0" item="293"/>
        </tpls>
      </n>
      <n v="7495">
        <tpls c="3">
          <tpl fld="2" item="0"/>
          <tpl fld="0" item="153"/>
          <tpl fld="1" item="3"/>
        </tpls>
      </n>
      <n v="26452">
        <tpls c="2">
          <tpl fld="2" item="0"/>
          <tpl fld="0" item="242"/>
        </tpls>
      </n>
      <m>
        <tpls c="3">
          <tpl fld="2" item="1"/>
          <tpl fld="0" item="44"/>
          <tpl fld="1" item="0"/>
        </tpls>
      </m>
      <m>
        <tpls c="3">
          <tpl fld="2" item="0"/>
          <tpl fld="0" item="213"/>
          <tpl fld="1" item="1"/>
        </tpls>
      </m>
      <n v="531">
        <tpls c="2">
          <tpl fld="2" item="1"/>
          <tpl fld="0" item="352"/>
        </tpls>
      </n>
      <n v="8315.01">
        <tpls c="3">
          <tpl fld="2" item="0"/>
          <tpl fld="0" item="103"/>
          <tpl fld="1" item="1"/>
        </tpls>
      </n>
      <n v="6">
        <tpls c="3">
          <tpl fld="2" item="1"/>
          <tpl fld="0" item="364"/>
          <tpl fld="1" item="2"/>
        </tpls>
      </n>
      <n v="17396">
        <tpls c="3">
          <tpl fld="2" item="0"/>
          <tpl fld="0" item="375"/>
          <tpl fld="1" item="3"/>
        </tpls>
      </n>
      <m>
        <tpls c="3">
          <tpl fld="2" item="0"/>
          <tpl fld="0" item="161"/>
          <tpl fld="1" item="2"/>
        </tpls>
      </m>
      <m>
        <tpls c="3">
          <tpl fld="2" item="1"/>
          <tpl fld="0" item="401"/>
          <tpl fld="1" item="2"/>
        </tpls>
      </m>
      <n v="40595733.369999997">
        <tpls c="3">
          <tpl fld="2" item="0"/>
          <tpl hier="4" item="4294967295"/>
          <tpl fld="1" item="3"/>
        </tpls>
      </n>
      <n v="26">
        <tpls c="3">
          <tpl fld="2" item="1"/>
          <tpl fld="0" item="320"/>
          <tpl fld="1" item="1"/>
        </tpls>
      </n>
      <n v="1">
        <tpls c="2">
          <tpl fld="2" item="0"/>
          <tpl fld="0" item="108"/>
        </tpls>
      </n>
      <m>
        <tpls c="3">
          <tpl fld="2" item="1"/>
          <tpl fld="0" item="402"/>
          <tpl fld="1" item="0"/>
        </tpls>
      </m>
      <n v="23175">
        <tpls c="3">
          <tpl fld="2" item="0"/>
          <tpl fld="0" item="221"/>
          <tpl fld="1" item="3"/>
        </tpls>
      </n>
      <n v="13612">
        <tpls c="3">
          <tpl fld="2" item="0"/>
          <tpl fld="0" item="110"/>
          <tpl fld="1" item="1"/>
        </tpls>
      </n>
      <m>
        <tpls c="3">
          <tpl fld="2" item="0"/>
          <tpl fld="0" item="365"/>
          <tpl fld="1" item="2"/>
        </tpls>
      </m>
      <n v="2411">
        <tpls c="3">
          <tpl fld="2" item="0"/>
          <tpl fld="0" item="173"/>
          <tpl fld="1" item="3"/>
        </tpls>
      </n>
      <m>
        <tpls c="3">
          <tpl fld="2" item="1"/>
          <tpl fld="0" item="55"/>
          <tpl fld="1" item="0"/>
        </tpls>
      </m>
      <m>
        <tpls c="3">
          <tpl fld="2" item="1"/>
          <tpl fld="0" item="55"/>
          <tpl fld="1" item="2"/>
        </tpls>
      </m>
      <m>
        <tpls c="3">
          <tpl fld="2" item="1"/>
          <tpl fld="0" item="56"/>
          <tpl fld="1" item="0"/>
        </tpls>
      </m>
      <m>
        <tpls c="3">
          <tpl fld="2" item="1"/>
          <tpl fld="0" item="56"/>
          <tpl fld="1" item="3"/>
        </tpls>
      </m>
      <n v="791888">
        <tpls c="2">
          <tpl fld="2" item="0"/>
          <tpl fld="0" item="57"/>
        </tpls>
      </n>
      <n v="26">
        <tpls c="3">
          <tpl fld="2" item="0"/>
          <tpl fld="0" item="57"/>
          <tpl fld="1" item="1"/>
        </tpls>
      </n>
      <m>
        <tpls c="3">
          <tpl fld="2" item="1"/>
          <tpl fld="0" item="58"/>
          <tpl fld="1" item="0"/>
        </tpls>
      </m>
      <m>
        <tpls c="3">
          <tpl fld="2" item="0"/>
          <tpl fld="0" item="58"/>
          <tpl fld="1" item="0"/>
        </tpls>
      </m>
      <n v="7">
        <tpls c="3">
          <tpl fld="2" item="1"/>
          <tpl fld="0" item="90"/>
          <tpl fld="1" item="1"/>
        </tpls>
      </n>
      <n v="380">
        <tpls c="3">
          <tpl fld="2" item="0"/>
          <tpl fld="0" item="90"/>
          <tpl fld="1" item="1"/>
        </tpls>
      </n>
      <m>
        <tpls c="3">
          <tpl fld="2" item="0"/>
          <tpl fld="0" item="111"/>
          <tpl fld="1" item="1"/>
        </tpls>
      </m>
      <m>
        <tpls c="3">
          <tpl fld="2" item="1"/>
          <tpl fld="0" item="111"/>
          <tpl fld="1" item="1"/>
        </tpls>
      </m>
      <n v="188">
        <tpls c="3">
          <tpl fld="2" item="1"/>
          <tpl fld="0" item="112"/>
          <tpl fld="1" item="1"/>
        </tpls>
      </n>
      <n v="25655">
        <tpls c="2">
          <tpl fld="2" item="0"/>
          <tpl fld="0" item="112"/>
        </tpls>
      </n>
      <n v="5">
        <tpls c="3">
          <tpl fld="2" item="0"/>
          <tpl fld="0" item="113"/>
          <tpl fld="1" item="1"/>
        </tpls>
      </n>
      <n v="5">
        <tpls c="2">
          <tpl fld="2" item="0"/>
          <tpl fld="0" item="113"/>
        </tpls>
      </n>
      <n v="250">
        <tpls c="3">
          <tpl fld="2" item="0"/>
          <tpl fld="0" item="114"/>
          <tpl fld="1" item="2"/>
        </tpls>
      </n>
      <n v="286">
        <tpls c="3">
          <tpl fld="2" item="1"/>
          <tpl fld="0" item="114"/>
          <tpl fld="1" item="1"/>
        </tpls>
      </n>
      <n v="1806">
        <tpls c="2">
          <tpl fld="2" item="1"/>
          <tpl fld="0" item="114"/>
        </tpls>
      </n>
      <n v="8900">
        <tpls c="3">
          <tpl fld="2" item="0"/>
          <tpl fld="0" item="115"/>
          <tpl fld="1" item="1"/>
        </tpls>
      </n>
      <n v="1578">
        <tpls c="3">
          <tpl fld="2" item="1"/>
          <tpl fld="0" item="115"/>
          <tpl fld="1" item="3"/>
        </tpls>
      </n>
      <n v="161">
        <tpls c="3">
          <tpl fld="2" item="1"/>
          <tpl fld="0" item="115"/>
          <tpl fld="1" item="1"/>
        </tpls>
      </n>
      <n v="20">
        <tpls c="2">
          <tpl fld="2" item="1"/>
          <tpl fld="0" item="117"/>
        </tpls>
      </n>
      <m>
        <tpls c="3">
          <tpl fld="2" item="1"/>
          <tpl fld="0" item="117"/>
          <tpl fld="1" item="2"/>
        </tpls>
      </m>
      <m>
        <tpls c="3">
          <tpl fld="2" item="0"/>
          <tpl fld="0" item="117"/>
          <tpl fld="1" item="2"/>
        </tpls>
      </m>
      <m>
        <tpls c="3">
          <tpl fld="2" item="0"/>
          <tpl fld="0" item="117"/>
          <tpl fld="1" item="1"/>
        </tpls>
      </m>
      <n v="341">
        <tpls c="3">
          <tpl fld="2" item="0"/>
          <tpl fld="0" item="116"/>
          <tpl fld="1" item="1"/>
        </tpls>
      </n>
      <m>
        <tpls c="3">
          <tpl fld="2" item="0"/>
          <tpl fld="0" item="5"/>
          <tpl fld="1" item="1"/>
        </tpls>
      </m>
      <m>
        <tpls c="3">
          <tpl fld="2" item="0"/>
          <tpl fld="0" item="12"/>
          <tpl fld="1" item="1"/>
        </tpls>
      </m>
      <n v="138">
        <tpls c="3">
          <tpl fld="2" item="1"/>
          <tpl fld="0" item="131"/>
          <tpl fld="1" item="3"/>
        </tpls>
      </n>
      <m>
        <tpls c="3">
          <tpl fld="2" item="1"/>
          <tpl fld="0" item="131"/>
          <tpl fld="1" item="2"/>
        </tpls>
      </m>
      <m>
        <tpls c="3">
          <tpl fld="2" item="0"/>
          <tpl fld="0" item="131"/>
          <tpl fld="1" item="2"/>
        </tpls>
      </m>
      <m>
        <tpls c="3">
          <tpl fld="2" item="1"/>
          <tpl fld="0" item="4"/>
          <tpl fld="1" item="2"/>
        </tpls>
      </m>
      <m>
        <tpls c="3">
          <tpl fld="2" item="1"/>
          <tpl fld="0" item="1"/>
          <tpl fld="1" item="2"/>
        </tpls>
      </m>
      <m>
        <tpls c="3">
          <tpl fld="2" item="1"/>
          <tpl fld="0" item="6"/>
          <tpl fld="1" item="2"/>
        </tpls>
      </m>
      <m>
        <tpls c="3">
          <tpl fld="2" item="1"/>
          <tpl fld="0" item="75"/>
          <tpl fld="1" item="2"/>
        </tpls>
      </m>
      <n v="8">
        <tpls c="3">
          <tpl fld="2" item="1"/>
          <tpl fld="0" item="74"/>
          <tpl fld="1" item="2"/>
        </tpls>
      </n>
      <m>
        <tpls c="3">
          <tpl fld="2" item="1"/>
          <tpl fld="0" item="3"/>
          <tpl fld="1" item="2"/>
        </tpls>
      </m>
      <m>
        <tpls c="3">
          <tpl fld="2" item="1"/>
          <tpl fld="0" item="167"/>
          <tpl fld="1" item="1"/>
        </tpls>
      </m>
      <n v="1">
        <tpls c="2">
          <tpl fld="2" item="0"/>
          <tpl fld="0" item="167"/>
        </tpls>
      </n>
      <n v="1">
        <tpls c="3">
          <tpl fld="2" item="0"/>
          <tpl fld="0" item="167"/>
          <tpl fld="1" item="2"/>
        </tpls>
      </n>
      <n v="10">
        <tpls c="2">
          <tpl fld="2" item="0"/>
          <tpl fld="0" item="168"/>
        </tpls>
      </n>
      <m>
        <tpls c="3">
          <tpl fld="2" item="0"/>
          <tpl fld="0" item="168"/>
          <tpl fld="1" item="2"/>
        </tpls>
      </m>
      <m>
        <tpls c="3">
          <tpl fld="2" item="1"/>
          <tpl fld="0" item="168"/>
          <tpl fld="1" item="3"/>
        </tpls>
      </m>
      <n v="116">
        <tpls c="2">
          <tpl fld="2" item="0"/>
          <tpl fld="0" item="169"/>
        </tpls>
      </n>
      <m>
        <tpls c="3">
          <tpl fld="2" item="0"/>
          <tpl fld="0" item="169"/>
          <tpl fld="1" item="2"/>
        </tpls>
      </m>
      <n v="4">
        <tpls c="3">
          <tpl fld="2" item="1"/>
          <tpl fld="0" item="169"/>
          <tpl fld="1" item="1"/>
        </tpls>
      </n>
      <n v="1971">
        <tpls c="2">
          <tpl fld="2" item="1"/>
          <tpl fld="0" item="170"/>
        </tpls>
      </n>
      <n v="129">
        <tpls c="3">
          <tpl fld="2" item="1"/>
          <tpl fld="0" item="170"/>
          <tpl fld="1" item="2"/>
        </tpls>
      </n>
      <n v="268760.21000000002">
        <tpls c="3">
          <tpl fld="2" item="0"/>
          <tpl fld="0" item="170"/>
          <tpl fld="1" item="3"/>
        </tpls>
      </n>
      <m>
        <tpls c="3">
          <tpl fld="2" item="1"/>
          <tpl fld="0" item="171"/>
          <tpl fld="1" item="1"/>
        </tpls>
      </m>
      <n v="11747.18">
        <tpls c="2">
          <tpl fld="2" item="0"/>
          <tpl fld="0" item="171"/>
        </tpls>
      </n>
      <m>
        <tpls c="3">
          <tpl fld="2" item="0"/>
          <tpl fld="0" item="171"/>
          <tpl fld="1" item="2"/>
        </tpls>
      </m>
      <m>
        <tpls c="3">
          <tpl fld="2" item="1"/>
          <tpl fld="0" item="173"/>
          <tpl fld="1" item="2"/>
        </tpls>
      </m>
      <m>
        <tpls c="3">
          <tpl fld="2" item="0"/>
          <tpl fld="0" item="173"/>
          <tpl fld="1" item="1"/>
        </tpls>
      </m>
      <m>
        <tpls c="3">
          <tpl fld="2" item="0"/>
          <tpl fld="0" item="180"/>
          <tpl fld="1" item="0"/>
        </tpls>
      </m>
      <m>
        <tpls c="3">
          <tpl fld="2" item="1"/>
          <tpl fld="0" item="180"/>
          <tpl fld="1" item="1"/>
        </tpls>
      </m>
      <n v="28">
        <tpls c="3">
          <tpl fld="2" item="1"/>
          <tpl fld="0" item="6"/>
          <tpl fld="1" item="3"/>
        </tpls>
      </n>
      <m>
        <tpls c="3">
          <tpl fld="2" item="1"/>
          <tpl fld="0" item="2"/>
          <tpl fld="1" item="3"/>
        </tpls>
      </m>
      <m>
        <tpls c="3">
          <tpl fld="2" item="1"/>
          <tpl fld="0" item="0"/>
          <tpl fld="1" item="3"/>
        </tpls>
      </m>
      <n v="4128">
        <tpls c="3">
          <tpl fld="2" item="1"/>
          <tpl fld="0" item="74"/>
          <tpl fld="1" item="3"/>
        </tpls>
      </n>
      <m>
        <tpls c="3">
          <tpl fld="2" item="1"/>
          <tpl fld="0" item="198"/>
          <tpl fld="1" item="1"/>
        </tpls>
      </m>
      <m>
        <tpls c="3">
          <tpl fld="2" item="1"/>
          <tpl fld="0" item="198"/>
          <tpl fld="1" item="2"/>
        </tpls>
      </m>
      <n v="0">
        <tpls c="3">
          <tpl fld="2" item="1"/>
          <tpl fld="0" item="1"/>
          <tpl fld="1" item="1"/>
        </tpls>
      </n>
      <n v="2">
        <tpls c="3">
          <tpl fld="2" item="1"/>
          <tpl fld="0" item="57"/>
          <tpl fld="1" item="1"/>
        </tpls>
      </n>
      <n v="8">
        <tpls c="3">
          <tpl fld="2" item="1"/>
          <tpl fld="0" item="210"/>
          <tpl fld="1" item="2"/>
        </tpls>
      </n>
      <n v="115">
        <tpls c="3">
          <tpl fld="2" item="1"/>
          <tpl fld="0" item="210"/>
          <tpl fld="1" item="1"/>
        </tpls>
      </n>
      <n v="19824">
        <tpls c="2">
          <tpl fld="2" item="0"/>
          <tpl fld="0" item="223"/>
        </tpls>
      </n>
      <n v="19824">
        <tpls c="3">
          <tpl fld="2" item="0"/>
          <tpl fld="0" item="223"/>
          <tpl fld="1" item="2"/>
        </tpls>
      </n>
      <m>
        <tpls c="3">
          <tpl fld="2" item="0"/>
          <tpl fld="0" item="223"/>
          <tpl fld="1" item="3"/>
        </tpls>
      </m>
      <m>
        <tpls c="3">
          <tpl fld="2" item="0"/>
          <tpl fld="0" item="224"/>
          <tpl fld="1" item="2"/>
        </tpls>
      </m>
      <m>
        <tpls c="3">
          <tpl fld="2" item="1"/>
          <tpl fld="0" item="224"/>
          <tpl fld="1" item="3"/>
        </tpls>
      </m>
      <m>
        <tpls c="3">
          <tpl fld="2" item="0"/>
          <tpl fld="0" item="224"/>
          <tpl fld="1" item="3"/>
        </tpls>
      </m>
      <m>
        <tpls c="3">
          <tpl fld="2" item="1"/>
          <tpl fld="0" item="224"/>
          <tpl fld="1" item="0"/>
        </tpls>
      </m>
      <n v="8">
        <tpls c="2">
          <tpl fld="2" item="0"/>
          <tpl fld="0" item="225"/>
        </tpls>
      </n>
      <n v="8">
        <tpls c="3">
          <tpl fld="2" item="0"/>
          <tpl fld="0" item="225"/>
          <tpl fld="1" item="2"/>
        </tpls>
      </n>
      <m>
        <tpls c="3">
          <tpl fld="2" item="1"/>
          <tpl fld="0" item="225"/>
          <tpl fld="1" item="1"/>
        </tpls>
      </m>
      <n v="2">
        <tpls c="3">
          <tpl fld="2" item="1"/>
          <tpl fld="0" item="225"/>
          <tpl fld="1" item="2"/>
        </tpls>
      </n>
      <m>
        <tpls c="3">
          <tpl fld="2" item="1"/>
          <tpl fld="0" item="226"/>
          <tpl fld="1" item="2"/>
        </tpls>
      </m>
      <n v="47978">
        <tpls c="3">
          <tpl fld="2" item="0"/>
          <tpl fld="0" item="226"/>
          <tpl fld="1" item="3"/>
        </tpls>
      </n>
      <n v="321">
        <tpls c="3">
          <tpl fld="2" item="1"/>
          <tpl fld="0" item="226"/>
          <tpl fld="1" item="3"/>
        </tpls>
      </n>
      <m>
        <tpls c="3">
          <tpl fld="2" item="1"/>
          <tpl fld="0" item="226"/>
          <tpl fld="1" item="0"/>
        </tpls>
      </m>
      <n v="980">
        <tpls c="3">
          <tpl fld="2" item="1"/>
          <tpl fld="0" item="227"/>
          <tpl fld="1" item="1"/>
        </tpls>
      </n>
      <n v="1958514.22">
        <tpls c="2">
          <tpl fld="2" item="0"/>
          <tpl fld="0" item="227"/>
        </tpls>
      </n>
      <n v="11328">
        <tpls c="3">
          <tpl fld="2" item="0"/>
          <tpl fld="0" item="227"/>
          <tpl fld="1" item="2"/>
        </tpls>
      </n>
      <n v="24387">
        <tpls c="2">
          <tpl fld="2" item="1"/>
          <tpl fld="0" item="227"/>
        </tpls>
      </n>
      <m>
        <tpls c="3">
          <tpl fld="2" item="1"/>
          <tpl fld="0" item="229"/>
          <tpl fld="1" item="2"/>
        </tpls>
      </m>
      <m>
        <tpls c="3">
          <tpl fld="2" item="0"/>
          <tpl fld="0" item="229"/>
          <tpl fld="1" item="2"/>
        </tpls>
      </m>
      <n v="3">
        <tpls c="3">
          <tpl fld="2" item="1"/>
          <tpl fld="0" item="236"/>
          <tpl fld="1" item="1"/>
        </tpls>
      </n>
      <m>
        <tpls c="3">
          <tpl fld="2" item="1"/>
          <tpl fld="0" item="236"/>
          <tpl fld="1" item="0"/>
        </tpls>
      </m>
      <m>
        <tpls c="3">
          <tpl fld="2" item="0"/>
          <tpl fld="0" item="236"/>
          <tpl fld="1" item="0"/>
        </tpls>
      </m>
      <n v="15">
        <tpls c="2">
          <tpl fld="2" item="1"/>
          <tpl fld="0" item="254"/>
        </tpls>
      </n>
      <m>
        <tpls c="3">
          <tpl fld="2" item="1"/>
          <tpl fld="0" item="254"/>
          <tpl fld="1" item="2"/>
        </tpls>
      </m>
      <m>
        <tpls c="3">
          <tpl fld="2" item="1"/>
          <tpl fld="0" item="112"/>
          <tpl fld="1" item="0"/>
        </tpls>
      </m>
      <m>
        <tpls c="3">
          <tpl fld="2" item="1"/>
          <tpl fld="0" item="115"/>
          <tpl fld="1" item="0"/>
        </tpls>
      </m>
      <m>
        <tpls c="3">
          <tpl fld="2" item="1"/>
          <tpl fld="0" item="57"/>
          <tpl fld="1" item="0"/>
        </tpls>
      </m>
      <m>
        <tpls c="3">
          <tpl fld="2" item="1"/>
          <tpl fld="0" item="113"/>
          <tpl fld="1" item="0"/>
        </tpls>
      </m>
      <m>
        <tpls c="3">
          <tpl fld="2" item="1"/>
          <tpl fld="0" item="111"/>
          <tpl fld="1" item="0"/>
        </tpls>
      </m>
      <m>
        <tpls c="3">
          <tpl fld="2" item="1"/>
          <tpl fld="0" item="50"/>
          <tpl fld="1" item="0"/>
        </tpls>
      </m>
      <m>
        <tpls c="3">
          <tpl fld="2" item="1"/>
          <tpl fld="0" item="30"/>
          <tpl fld="1" item="0"/>
        </tpls>
      </m>
      <m>
        <tpls c="3">
          <tpl fld="2" item="1"/>
          <tpl fld="0" item="2"/>
          <tpl fld="1" item="0"/>
        </tpls>
      </m>
      <n v="0">
        <tpls c="3">
          <tpl fld="2" item="1"/>
          <tpl fld="0" item="270"/>
          <tpl fld="1" item="2"/>
        </tpls>
      </n>
      <n v="0">
        <tpls c="3">
          <tpl fld="2" item="0"/>
          <tpl fld="0" item="270"/>
          <tpl fld="1" item="2"/>
        </tpls>
      </n>
      <m>
        <tpls c="3">
          <tpl fld="2" item="1"/>
          <tpl fld="0" item="279"/>
          <tpl fld="1" item="3"/>
        </tpls>
      </m>
      <n v="0">
        <tpls c="3">
          <tpl fld="2" item="0"/>
          <tpl fld="0" item="279"/>
          <tpl fld="1" item="1"/>
        </tpls>
      </n>
      <n v="0">
        <tpls c="3">
          <tpl fld="2" item="1"/>
          <tpl fld="0" item="279"/>
          <tpl fld="1" item="1"/>
        </tpls>
      </n>
      <m>
        <tpls c="3">
          <tpl fld="2" item="0"/>
          <tpl fld="0" item="279"/>
          <tpl fld="1" item="0"/>
        </tpls>
      </m>
      <n v="0">
        <tpls c="2">
          <tpl fld="2" item="1"/>
          <tpl fld="0" item="279"/>
        </tpls>
      </n>
      <m>
        <tpls c="3">
          <tpl fld="2" item="1"/>
          <tpl fld="0" item="280"/>
          <tpl fld="1" item="1"/>
        </tpls>
      </m>
      <m>
        <tpls c="3">
          <tpl fld="2" item="0"/>
          <tpl fld="0" item="280"/>
          <tpl fld="1" item="0"/>
        </tpls>
      </m>
      <m>
        <tpls c="3">
          <tpl fld="2" item="0"/>
          <tpl fld="0" item="280"/>
          <tpl fld="1" item="1"/>
        </tpls>
      </m>
      <m>
        <tpls c="3">
          <tpl fld="2" item="1"/>
          <tpl fld="0" item="280"/>
          <tpl fld="1" item="0"/>
        </tpls>
      </m>
      <n v="1">
        <tpls c="3">
          <tpl fld="2" item="1"/>
          <tpl fld="0" item="280"/>
          <tpl fld="1" item="2"/>
        </tpls>
      </n>
      <n v="5">
        <tpls c="2">
          <tpl fld="2" item="0"/>
          <tpl fld="0" item="280"/>
        </tpls>
      </n>
      <n v="0">
        <tpls c="3">
          <tpl fld="2" item="1"/>
          <tpl fld="0" item="287"/>
          <tpl fld="1" item="2"/>
        </tpls>
      </n>
      <m>
        <tpls c="3">
          <tpl fld="2" item="1"/>
          <tpl fld="0" item="287"/>
          <tpl fld="1" item="0"/>
        </tpls>
      </m>
      <n v="90">
        <tpls c="3">
          <tpl fld="2" item="0"/>
          <tpl fld="0" item="299"/>
          <tpl fld="1" item="2"/>
        </tpls>
      </n>
      <m>
        <tpls c="3">
          <tpl fld="2" item="0"/>
          <tpl fld="0" item="299"/>
          <tpl fld="1" item="3"/>
        </tpls>
      </m>
      <m>
        <tpls c="3">
          <tpl fld="2" item="1"/>
          <tpl fld="0" item="299"/>
          <tpl fld="1" item="3"/>
        </tpls>
      </m>
      <m>
        <tpls c="3">
          <tpl fld="2" item="0"/>
          <tpl fld="0" item="299"/>
          <tpl fld="1" item="0"/>
        </tpls>
      </m>
      <n v="1">
        <tpls c="2">
          <tpl fld="2" item="1"/>
          <tpl fld="0" item="299"/>
        </tpls>
      </n>
      <m>
        <tpls c="3">
          <tpl fld="2" item="1"/>
          <tpl fld="0" item="299"/>
          <tpl fld="1" item="0"/>
        </tpls>
      </m>
      <n v="1">
        <tpls c="3">
          <tpl fld="2" item="1"/>
          <tpl fld="0" item="299"/>
          <tpl fld="1" item="2"/>
        </tpls>
      </n>
      <m>
        <tpls c="3">
          <tpl fld="2" item="1"/>
          <tpl fld="0" item="300"/>
          <tpl fld="1" item="3"/>
        </tpls>
      </m>
      <m>
        <tpls c="3">
          <tpl fld="2" item="0"/>
          <tpl fld="0" item="300"/>
          <tpl fld="1" item="0"/>
        </tpls>
      </m>
      <n v="1">
        <tpls c="2">
          <tpl fld="2" item="1"/>
          <tpl fld="0" item="300"/>
        </tpls>
      </n>
      <m>
        <tpls c="3">
          <tpl fld="2" item="1"/>
          <tpl fld="0" item="300"/>
          <tpl fld="1" item="0"/>
        </tpls>
      </m>
      <m>
        <tpls c="3">
          <tpl fld="2" item="1"/>
          <tpl fld="0" item="300"/>
          <tpl fld="1" item="2"/>
        </tpls>
      </m>
      <n v="50">
        <tpls c="3">
          <tpl fld="2" item="0"/>
          <tpl fld="0" item="300"/>
          <tpl fld="1" item="1"/>
        </tpls>
      </n>
      <n v="1">
        <tpls c="3">
          <tpl fld="2" item="1"/>
          <tpl fld="0" item="300"/>
          <tpl fld="1" item="1"/>
        </tpls>
      </n>
      <n v="1134828.3600000001">
        <tpls c="3">
          <tpl fld="2" item="0"/>
          <tpl fld="0" item="301"/>
          <tpl fld="1" item="3"/>
        </tpls>
      </n>
      <n v="1215746.52">
        <tpls c="2">
          <tpl fld="2" item="0"/>
          <tpl fld="0" item="301"/>
        </tpls>
      </n>
      <m>
        <tpls c="3">
          <tpl fld="2" item="0"/>
          <tpl fld="0" item="301"/>
          <tpl fld="1" item="0"/>
        </tpls>
      </m>
      <n v="71129.16">
        <tpls c="3">
          <tpl fld="2" item="0"/>
          <tpl fld="0" item="301"/>
          <tpl fld="1" item="1"/>
        </tpls>
      </n>
      <n v="12276">
        <tpls c="2">
          <tpl fld="2" item="1"/>
          <tpl fld="0" item="301"/>
        </tpls>
      </n>
      <n v="454">
        <tpls c="3">
          <tpl fld="2" item="1"/>
          <tpl fld="0" item="301"/>
          <tpl fld="1" item="1"/>
        </tpls>
      </n>
      <n v="5876">
        <tpls c="3">
          <tpl fld="2" item="0"/>
          <tpl fld="0" item="303"/>
          <tpl fld="1" item="2"/>
        </tpls>
      </n>
      <n v="70">
        <tpls c="3">
          <tpl fld="2" item="1"/>
          <tpl fld="0" item="303"/>
          <tpl fld="1" item="2"/>
        </tpls>
      </n>
      <m>
        <tpls c="3">
          <tpl fld="2" item="1"/>
          <tpl fld="0" item="308"/>
          <tpl fld="1" item="2"/>
        </tpls>
      </m>
      <n v="12">
        <tpls c="3">
          <tpl fld="2" item="1"/>
          <tpl fld="0" item="308"/>
          <tpl fld="1" item="3"/>
        </tpls>
      </n>
      <m>
        <tpls c="3">
          <tpl fld="2" item="0"/>
          <tpl fld="0" item="308"/>
          <tpl fld="1" item="2"/>
        </tpls>
      </m>
      <n v="26024">
        <tpls c="2">
          <tpl fld="2" item="0"/>
          <tpl fld="0" item="304"/>
        </tpls>
      </n>
      <n v="3976">
        <tpls c="2">
          <tpl fld="2" item="0"/>
          <tpl fld="0" item="179"/>
        </tpls>
      </n>
      <n v="0">
        <tpls c="2">
          <tpl fld="2" item="0"/>
          <tpl fld="0" item="2"/>
        </tpls>
      </n>
      <n v="0">
        <tpls c="2">
          <tpl fld="2" item="0"/>
          <tpl fld="0" item="279"/>
        </tpls>
      </n>
      <n v="0">
        <tpls c="2">
          <tpl fld="2" item="0"/>
          <tpl fld="0" item="111"/>
        </tpls>
      </n>
      <n v="2886">
        <tpls c="2">
          <tpl fld="2" item="0"/>
          <tpl fld="0" item="294"/>
        </tpls>
      </n>
      <n v="3318">
        <tpls c="2">
          <tpl fld="2" item="0"/>
          <tpl fld="0" item="281"/>
        </tpls>
      </n>
      <n v="22197">
        <tpls c="2">
          <tpl fld="2" item="0"/>
          <tpl fld="0" item="3"/>
        </tpls>
      </n>
      <n v="30751">
        <tpls c="2">
          <tpl fld="2" item="0"/>
          <tpl fld="0" item="0"/>
        </tpls>
      </n>
      <n v="1605">
        <tpls c="2">
          <tpl fld="2" item="0"/>
          <tpl fld="0" item="117"/>
        </tpls>
      </n>
      <n v="246093.45">
        <tpls c="2">
          <tpl fld="2" item="0"/>
          <tpl fld="0" item="114"/>
        </tpls>
      </n>
      <n v="5366">
        <tpls c="2">
          <tpl fld="2" item="0"/>
          <tpl fld="0" item="137"/>
        </tpls>
      </n>
      <n v="4495">
        <tpls c="2">
          <tpl fld="2" item="0"/>
          <tpl fld="0" item="38"/>
        </tpls>
      </n>
      <m>
        <tpls c="3">
          <tpl fld="2" item="1"/>
          <tpl fld="0" item="322"/>
          <tpl fld="1" item="3"/>
        </tpls>
      </m>
      <m>
        <tpls c="3">
          <tpl fld="2" item="0"/>
          <tpl fld="0" item="322"/>
          <tpl fld="1" item="3"/>
        </tpls>
      </m>
      <m>
        <tpls c="3">
          <tpl fld="2" item="1"/>
          <tpl fld="0" item="322"/>
          <tpl fld="1" item="0"/>
        </tpls>
      </m>
      <n v="276">
        <tpls c="3">
          <tpl fld="2" item="1"/>
          <tpl fld="0" item="322"/>
          <tpl fld="1" item="2"/>
        </tpls>
      </n>
      <m>
        <tpls c="3">
          <tpl fld="2" item="0"/>
          <tpl fld="0" item="322"/>
          <tpl fld="1" item="1"/>
        </tpls>
      </m>
      <m>
        <tpls c="3">
          <tpl fld="2" item="1"/>
          <tpl fld="0" item="322"/>
          <tpl fld="1" item="1"/>
        </tpls>
      </m>
      <n v="14303">
        <tpls c="2">
          <tpl fld="2" item="0"/>
          <tpl fld="0" item="322"/>
        </tpls>
      </n>
      <n v="14303">
        <tpls c="3">
          <tpl fld="2" item="0"/>
          <tpl fld="0" item="322"/>
          <tpl fld="1" item="2"/>
        </tpls>
      </n>
      <m>
        <tpls c="3">
          <tpl fld="2" item="1"/>
          <tpl fld="0" item="323"/>
          <tpl fld="1" item="2"/>
        </tpls>
      </m>
      <n v="30177">
        <tpls c="3">
          <tpl fld="2" item="0"/>
          <tpl fld="0" item="323"/>
          <tpl fld="1" item="3"/>
        </tpls>
      </n>
      <m>
        <tpls c="3">
          <tpl fld="2" item="1"/>
          <tpl fld="0" item="323"/>
          <tpl fld="1" item="0"/>
        </tpls>
      </m>
      <m>
        <tpls c="3">
          <tpl fld="2" item="0"/>
          <tpl fld="0" item="323"/>
          <tpl fld="1" item="0"/>
        </tpls>
      </m>
      <m>
        <tpls c="3">
          <tpl fld="2" item="0"/>
          <tpl fld="0" item="323"/>
          <tpl fld="1" item="1"/>
        </tpls>
      </m>
      <n v="276">
        <tpls c="3">
          <tpl fld="2" item="1"/>
          <tpl fld="0" item="323"/>
          <tpl fld="1" item="3"/>
        </tpls>
      </n>
      <m>
        <tpls c="3">
          <tpl fld="2" item="1"/>
          <tpl fld="0" item="323"/>
          <tpl fld="1" item="1"/>
        </tpls>
      </m>
      <m>
        <tpls c="3">
          <tpl fld="2" item="0"/>
          <tpl fld="0" item="324"/>
          <tpl fld="1" item="2"/>
        </tpls>
      </m>
      <n v="19">
        <tpls c="3">
          <tpl fld="2" item="1"/>
          <tpl fld="0" item="324"/>
          <tpl fld="1" item="3"/>
        </tpls>
      </n>
      <m>
        <tpls c="3">
          <tpl fld="2" item="0"/>
          <tpl fld="0" item="325"/>
          <tpl fld="1" item="2"/>
        </tpls>
      </m>
      <m>
        <tpls c="3">
          <tpl fld="2" item="1"/>
          <tpl fld="0" item="325"/>
          <tpl fld="1" item="2"/>
        </tpls>
      </m>
      <m>
        <tpls c="3">
          <tpl fld="2" item="1"/>
          <tpl fld="0" item="325"/>
          <tpl fld="1" item="3"/>
        </tpls>
      </m>
      <n v="13451">
        <tpls c="2">
          <tpl fld="2" item="0"/>
          <tpl fld="0" item="326"/>
        </tpls>
      </n>
      <m>
        <tpls c="3">
          <tpl fld="2" item="1"/>
          <tpl fld="0" item="326"/>
          <tpl fld="1" item="2"/>
        </tpls>
      </m>
      <m>
        <tpls c="3">
          <tpl fld="2" item="1"/>
          <tpl fld="0" item="326"/>
          <tpl fld="1" item="1"/>
        </tpls>
      </m>
      <n v="108">
        <tpls c="3">
          <tpl fld="2" item="0"/>
          <tpl fld="0" item="330"/>
          <tpl fld="1" item="2"/>
        </tpls>
      </n>
      <n v="108">
        <tpls c="2">
          <tpl fld="2" item="0"/>
          <tpl fld="0" item="330"/>
        </tpls>
      </n>
      <m>
        <tpls c="3">
          <tpl fld="2" item="0"/>
          <tpl fld="0" item="330"/>
          <tpl fld="1" item="3"/>
        </tpls>
      </m>
      <m>
        <tpls c="3">
          <tpl fld="2" item="0"/>
          <tpl fld="0" item="330"/>
          <tpl fld="1" item="0"/>
        </tpls>
      </m>
      <m>
        <tpls c="3">
          <tpl fld="2" item="1"/>
          <tpl fld="0" item="330"/>
          <tpl fld="1" item="3"/>
        </tpls>
      </m>
      <m>
        <tpls c="3">
          <tpl fld="2" item="0"/>
          <tpl fld="0" item="330"/>
          <tpl fld="1" item="1"/>
        </tpls>
      </m>
      <m>
        <tpls c="3">
          <tpl fld="2" item="1"/>
          <tpl fld="0" item="330"/>
          <tpl fld="1" item="0"/>
        </tpls>
      </m>
      <m>
        <tpls c="3">
          <tpl fld="2" item="1"/>
          <tpl fld="0" item="331"/>
          <tpl fld="1" item="0"/>
        </tpls>
      </m>
      <m>
        <tpls c="3">
          <tpl fld="2" item="1"/>
          <tpl fld="0" item="331"/>
          <tpl fld="1" item="2"/>
        </tpls>
      </m>
      <m>
        <tpls c="3">
          <tpl fld="2" item="0"/>
          <tpl fld="0" item="331"/>
          <tpl fld="1" item="1"/>
        </tpls>
      </m>
      <n v="302">
        <tpls c="3">
          <tpl fld="2" item="1"/>
          <tpl fld="0" item="331"/>
          <tpl fld="1" item="3"/>
        </tpls>
      </n>
      <m>
        <tpls c="3">
          <tpl fld="2" item="1"/>
          <tpl fld="0" item="331"/>
          <tpl fld="1" item="1"/>
        </tpls>
      </m>
      <n v="25375">
        <tpls c="2">
          <tpl fld="2" item="0"/>
          <tpl fld="0" item="331"/>
        </tpls>
      </n>
      <m>
        <tpls c="3">
          <tpl fld="2" item="0"/>
          <tpl fld="0" item="331"/>
          <tpl fld="1" item="2"/>
        </tpls>
      </m>
      <n v="13">
        <tpls c="2">
          <tpl fld="2" item="1"/>
          <tpl fld="0" item="332"/>
        </tpls>
      </n>
      <n v="559">
        <tpls c="2">
          <tpl fld="2" item="0"/>
          <tpl fld="0" item="332"/>
        </tpls>
      </n>
      <m>
        <tpls c="3">
          <tpl fld="2" item="0"/>
          <tpl fld="0" item="332"/>
          <tpl fld="1" item="2"/>
        </tpls>
      </m>
      <m>
        <tpls c="3">
          <tpl fld="2" item="1"/>
          <tpl fld="0" item="332"/>
          <tpl fld="1" item="2"/>
        </tpls>
      </m>
      <m>
        <tpls c="3">
          <tpl fld="2" item="0"/>
          <tpl fld="0" item="332"/>
          <tpl fld="1" item="1"/>
        </tpls>
      </m>
      <m>
        <tpls c="3">
          <tpl fld="2" item="0"/>
          <tpl fld="0" item="333"/>
          <tpl fld="1" item="0"/>
        </tpls>
      </m>
      <m>
        <tpls c="3">
          <tpl fld="2" item="1"/>
          <tpl fld="0" item="333"/>
          <tpl fld="1" item="0"/>
        </tpls>
      </m>
      <m>
        <tpls c="3">
          <tpl fld="2" item="1"/>
          <tpl fld="0" item="334"/>
          <tpl fld="1" item="2"/>
        </tpls>
      </m>
      <m>
        <tpls c="3">
          <tpl fld="2" item="1"/>
          <tpl fld="0" item="334"/>
          <tpl fld="1" item="1"/>
        </tpls>
      </m>
      <n v="167">
        <tpls c="3">
          <tpl fld="2" item="1"/>
          <tpl fld="0" item="334"/>
          <tpl fld="1" item="3"/>
        </tpls>
      </n>
      <m>
        <tpls c="3">
          <tpl fld="2" item="0"/>
          <tpl fld="0" item="285"/>
          <tpl fld="1" item="2"/>
        </tpls>
      </m>
      <n v="81">
        <tpls c="3">
          <tpl fld="2" item="0"/>
          <tpl fld="0" item="181"/>
          <tpl fld="1" item="2"/>
        </tpls>
      </n>
      <m>
        <tpls c="3">
          <tpl fld="2" item="0"/>
          <tpl fld="0" item="67"/>
          <tpl fld="1" item="2"/>
        </tpls>
      </m>
      <m>
        <tpls c="3">
          <tpl fld="2" item="0"/>
          <tpl fld="0" item="176"/>
          <tpl fld="1" item="2"/>
        </tpls>
      </m>
      <m>
        <tpls c="3">
          <tpl fld="2" item="0"/>
          <tpl fld="0" item="175"/>
          <tpl fld="1" item="2"/>
        </tpls>
      </m>
      <n v="0">
        <tpls c="3">
          <tpl fld="2" item="0"/>
          <tpl fld="0" item="174"/>
          <tpl fld="1" item="2"/>
        </tpls>
      </n>
      <n v="0">
        <tpls c="3">
          <tpl fld="2" item="0"/>
          <tpl fld="0" item="282"/>
          <tpl fld="1" item="2"/>
        </tpls>
      </n>
      <m>
        <tpls c="3">
          <tpl fld="2" item="0"/>
          <tpl fld="0" item="58"/>
          <tpl fld="1" item="2"/>
        </tpls>
      </m>
      <m>
        <tpls c="3">
          <tpl fld="2" item="0"/>
          <tpl fld="0" item="55"/>
          <tpl fld="1" item="2"/>
        </tpls>
      </m>
      <m>
        <tpls c="3">
          <tpl fld="2" item="0"/>
          <tpl fld="0" item="305"/>
          <tpl fld="1" item="2"/>
        </tpls>
      </m>
      <m>
        <tpls c="3">
          <tpl fld="2" item="0"/>
          <tpl fld="0" item="125"/>
          <tpl fld="1" item="2"/>
        </tpls>
      </m>
      <n v="1087105.05">
        <tpls c="3">
          <tpl fld="2" item="0"/>
          <tpl fld="0" item="59"/>
          <tpl fld="1" item="2"/>
        </tpls>
      </n>
      <n v="0">
        <tpls c="3">
          <tpl fld="2" item="0"/>
          <tpl fld="0" item="68"/>
          <tpl fld="1" item="2"/>
        </tpls>
      </n>
      <m>
        <tpls c="3">
          <tpl fld="2" item="0"/>
          <tpl fld="0" item="284"/>
          <tpl fld="1" item="2"/>
        </tpls>
      </m>
      <m>
        <tpls c="3">
          <tpl fld="2" item="0"/>
          <tpl fld="0" item="178"/>
          <tpl fld="1" item="2"/>
        </tpls>
      </m>
      <m>
        <tpls c="3">
          <tpl fld="2" item="0"/>
          <tpl fld="0" item="283"/>
          <tpl fld="1" item="2"/>
        </tpls>
      </m>
      <m>
        <tpls c="3">
          <tpl fld="2" item="0"/>
          <tpl fld="0" item="120"/>
          <tpl fld="1" item="2"/>
        </tpls>
      </m>
      <m>
        <tpls c="3">
          <tpl fld="2" item="0"/>
          <tpl fld="0" item="119"/>
          <tpl fld="1" item="2"/>
        </tpls>
      </m>
      <m>
        <tpls c="3">
          <tpl fld="2" item="0"/>
          <tpl fld="0" item="118"/>
          <tpl fld="1" item="2"/>
        </tpls>
      </m>
      <n v="0">
        <tpls c="3">
          <tpl fld="2" item="0"/>
          <tpl fld="0" item="115"/>
          <tpl fld="1" item="2"/>
        </tpls>
      </n>
      <m>
        <tpls c="3">
          <tpl fld="2" item="0"/>
          <tpl fld="0" item="242"/>
          <tpl fld="1" item="2"/>
        </tpls>
      </m>
      <n v="0">
        <tpls c="3">
          <tpl fld="2" item="0"/>
          <tpl fld="0" item="287"/>
          <tpl fld="1" item="2"/>
        </tpls>
      </n>
      <m>
        <tpls c="3">
          <tpl fld="2" item="0"/>
          <tpl fld="0" item="202"/>
          <tpl fld="1" item="2"/>
        </tpls>
      </m>
      <m>
        <tpls c="3">
          <tpl fld="2" item="0"/>
          <tpl fld="0" item="173"/>
          <tpl fld="1" item="2"/>
        </tpls>
      </m>
      <m>
        <tpls c="3">
          <tpl fld="2" item="0"/>
          <tpl fld="0" item="228"/>
          <tpl fld="1" item="2"/>
        </tpls>
      </m>
      <n v="13215">
        <tpls c="3">
          <tpl fld="2" item="0"/>
          <tpl fld="0" item="170"/>
          <tpl fld="1" item="2"/>
        </tpls>
      </n>
      <m>
        <tpls c="3">
          <tpl fld="2" item="0"/>
          <tpl fld="0" item="1"/>
          <tpl fld="1" item="2"/>
        </tpls>
      </m>
      <m>
        <tpls c="3">
          <tpl fld="2" item="0"/>
          <tpl fld="0" item="187"/>
          <tpl fld="1" item="2"/>
        </tpls>
      </m>
      <m>
        <tpls c="3">
          <tpl fld="2" item="0"/>
          <tpl fld="0" item="172"/>
          <tpl fld="1" item="2"/>
        </tpls>
      </m>
      <m>
        <tpls c="3">
          <tpl fld="2" item="0"/>
          <tpl fld="0" item="3"/>
          <tpl fld="1" item="2"/>
        </tpls>
      </m>
      <m>
        <tpls c="3">
          <tpl fld="2" item="0"/>
          <tpl fld="0" item="0"/>
          <tpl fld="1" item="2"/>
        </tpls>
      </m>
      <m>
        <tpls c="3">
          <tpl fld="2" item="0"/>
          <tpl fld="0" item="6"/>
          <tpl fld="1" item="2"/>
        </tpls>
      </m>
      <m>
        <tpls c="3">
          <tpl fld="2" item="0"/>
          <tpl fld="0" item="60"/>
          <tpl fld="1" item="2"/>
        </tpls>
      </m>
      <m>
        <tpls c="3">
          <tpl fld="2" item="0"/>
          <tpl fld="0" item="61"/>
          <tpl fld="1" item="2"/>
        </tpls>
      </m>
      <m>
        <tpls c="3">
          <tpl fld="2" item="0"/>
          <tpl fld="0" item="73"/>
          <tpl fld="1" item="2"/>
        </tpls>
      </m>
      <m>
        <tpls c="3">
          <tpl fld="2" item="1"/>
          <tpl fld="0" item="336"/>
          <tpl fld="1" item="0"/>
        </tpls>
      </m>
      <n v="4">
        <tpls c="2">
          <tpl fld="2" item="1"/>
          <tpl fld="0" item="336"/>
        </tpls>
      </n>
      <n v="80">
        <tpls c="3">
          <tpl fld="2" item="0"/>
          <tpl fld="0" item="336"/>
          <tpl fld="1" item="1"/>
        </tpls>
      </n>
      <n v="80">
        <tpls c="2">
          <tpl fld="2" item="0"/>
          <tpl fld="0" item="336"/>
        </tpls>
      </n>
      <m>
        <tpls c="3">
          <tpl fld="2" item="0"/>
          <tpl fld="0" item="336"/>
          <tpl fld="1" item="2"/>
        </tpls>
      </m>
      <n v="4">
        <tpls c="3">
          <tpl fld="2" item="1"/>
          <tpl fld="0" item="336"/>
          <tpl fld="1" item="1"/>
        </tpls>
      </n>
      <m>
        <tpls c="3">
          <tpl fld="2" item="1"/>
          <tpl fld="0" item="337"/>
          <tpl fld="1" item="0"/>
        </tpls>
      </m>
      <n v="307">
        <tpls c="2">
          <tpl fld="2" item="1"/>
          <tpl fld="0" item="337"/>
        </tpls>
      </n>
      <m>
        <tpls c="3">
          <tpl fld="2" item="0"/>
          <tpl fld="0" item="337"/>
          <tpl fld="1" item="1"/>
        </tpls>
      </m>
      <m>
        <tpls c="3">
          <tpl fld="2" item="1"/>
          <tpl fld="0" item="338"/>
          <tpl fld="1" item="0"/>
        </tpls>
      </m>
      <n v="151">
        <tpls c="3">
          <tpl fld="2" item="0"/>
          <tpl fld="0" item="338"/>
          <tpl fld="1" item="2"/>
        </tpls>
      </n>
      <n v="204">
        <tpls c="3">
          <tpl fld="2" item="1"/>
          <tpl fld="0" item="338"/>
          <tpl fld="1" item="1"/>
        </tpls>
      </n>
      <n v="22886.01">
        <tpls c="2">
          <tpl fld="2" item="0"/>
          <tpl fld="0" item="340"/>
        </tpls>
      </n>
      <m>
        <tpls c="3">
          <tpl fld="2" item="1"/>
          <tpl fld="0" item="340"/>
          <tpl fld="1" item="2"/>
        </tpls>
      </m>
      <n v="0">
        <tpls c="2">
          <tpl fld="2" item="1"/>
          <tpl fld="0" item="176"/>
        </tpls>
      </n>
      <n v="29">
        <tpls c="2">
          <tpl fld="2" item="1"/>
          <tpl fld="0" item="228"/>
        </tpls>
      </n>
      <n v="321">
        <tpls c="2">
          <tpl fld="2" item="1"/>
          <tpl fld="0" item="226"/>
        </tpls>
      </n>
      <n v="34">
        <tpls c="2">
          <tpl fld="2" item="1"/>
          <tpl fld="0" item="123"/>
        </tpls>
      </n>
      <n v="242">
        <tpls c="2">
          <tpl fld="2" item="1"/>
          <tpl fld="0" item="12"/>
        </tpls>
      </n>
      <n v="117">
        <tpls c="2">
          <tpl fld="2" item="1"/>
          <tpl fld="0" item="234"/>
        </tpls>
      </n>
      <n v="124">
        <tpls c="2">
          <tpl fld="2" item="1"/>
          <tpl fld="0" item="224"/>
        </tpls>
      </n>
      <n v="235">
        <tpls c="2">
          <tpl fld="2" item="1"/>
          <tpl fld="0" item="82"/>
        </tpls>
      </n>
      <n v="835">
        <tpls c="2">
          <tpl fld="2" item="1"/>
          <tpl fld="0" item="58"/>
        </tpls>
      </n>
      <n v="0">
        <tpls c="2">
          <tpl fld="2" item="1"/>
          <tpl fld="0" item="111"/>
        </tpls>
      </n>
      <n v="26">
        <tpls c="2">
          <tpl fld="2" item="1"/>
          <tpl fld="0" item="4"/>
        </tpls>
      </n>
      <n v="31">
        <tpls c="2">
          <tpl fld="2" item="1"/>
          <tpl fld="0" item="56"/>
        </tpls>
      </n>
      <n v="312">
        <tpls c="2">
          <tpl fld="2" item="1"/>
          <tpl fld="0" item="55"/>
        </tpls>
      </n>
      <n v="41">
        <tpls c="2">
          <tpl fld="2" item="1"/>
          <tpl fld="0" item="150"/>
        </tpls>
      </n>
      <n v="191">
        <tpls c="2">
          <tpl fld="2" item="1"/>
          <tpl fld="0" item="3"/>
        </tpls>
      </n>
      <n v="0">
        <tpls c="2">
          <tpl fld="2" item="1"/>
          <tpl fld="0" item="1"/>
        </tpls>
      </n>
      <n v="179">
        <tpls c="2">
          <tpl fld="2" item="1"/>
          <tpl fld="0" item="0"/>
        </tpls>
      </n>
      <m>
        <tpls c="3">
          <tpl fld="2" item="1"/>
          <tpl fld="0" item="352"/>
          <tpl fld="1" item="2"/>
        </tpls>
      </m>
      <n v="128.25">
        <tpls c="3">
          <tpl fld="2" item="0"/>
          <tpl fld="0" item="352"/>
          <tpl fld="1" item="1"/>
        </tpls>
      </n>
      <n v="445">
        <tpls c="3">
          <tpl fld="2" item="1"/>
          <tpl fld="0" item="353"/>
          <tpl fld="1" item="3"/>
        </tpls>
      </n>
      <m>
        <tpls c="3">
          <tpl fld="2" item="0"/>
          <tpl fld="0" item="353"/>
          <tpl fld="1" item="2"/>
        </tpls>
      </m>
      <m>
        <tpls c="3">
          <tpl fld="2" item="1"/>
          <tpl fld="0" item="353"/>
          <tpl fld="1" item="2"/>
        </tpls>
      </m>
      <n v="0">
        <tpls c="3">
          <tpl fld="2" item="0"/>
          <tpl fld="0" item="355"/>
          <tpl fld="1" item="2"/>
        </tpls>
      </n>
      <m>
        <tpls c="3">
          <tpl fld="2" item="1"/>
          <tpl fld="0" item="355"/>
          <tpl fld="1" item="0"/>
        </tpls>
      </m>
      <m>
        <tpls c="3">
          <tpl fld="2" item="0"/>
          <tpl fld="0" item="17"/>
          <tpl fld="1" item="0"/>
        </tpls>
      </m>
      <m>
        <tpls c="3">
          <tpl fld="2" item="0"/>
          <tpl fld="0" item="328"/>
          <tpl fld="1" item="0"/>
        </tpls>
      </m>
      <m>
        <tpls c="3">
          <tpl fld="2" item="0"/>
          <tpl fld="0" item="177"/>
          <tpl fld="1" item="0"/>
        </tpls>
      </m>
      <m>
        <tpls c="3">
          <tpl fld="2" item="0"/>
          <tpl fld="0" item="121"/>
          <tpl fld="1" item="0"/>
        </tpls>
      </m>
      <m>
        <tpls c="3">
          <tpl fld="2" item="0"/>
          <tpl fld="0" item="337"/>
          <tpl fld="1" item="0"/>
        </tpls>
      </m>
      <m>
        <tpls c="3">
          <tpl fld="2" item="0"/>
          <tpl fld="0" item="2"/>
          <tpl fld="1" item="0"/>
        </tpls>
      </m>
      <m>
        <tpls c="3">
          <tpl fld="2" item="0"/>
          <tpl fld="0" item="169"/>
          <tpl fld="1" item="0"/>
        </tpls>
      </m>
      <m>
        <tpls c="3">
          <tpl fld="2" item="0"/>
          <tpl fld="0" item="336"/>
          <tpl fld="1" item="0"/>
        </tpls>
      </m>
      <m>
        <tpls c="3">
          <tpl fld="2" item="0"/>
          <tpl fld="0" item="178"/>
          <tpl fld="1" item="0"/>
        </tpls>
      </m>
      <m>
        <tpls c="3">
          <tpl fld="2" item="0"/>
          <tpl fld="0" item="119"/>
          <tpl fld="1" item="0"/>
        </tpls>
      </m>
      <m>
        <tpls c="3">
          <tpl fld="2" item="0"/>
          <tpl fld="0" item="63"/>
          <tpl fld="1" item="0"/>
        </tpls>
      </m>
      <n v="2408">
        <tpls c="3">
          <tpl fld="2" item="0"/>
          <tpl fld="0" item="59"/>
          <tpl fld="1" item="0"/>
        </tpls>
      </n>
      <m>
        <tpls c="3">
          <tpl fld="2" item="0"/>
          <tpl fld="0" item="171"/>
          <tpl fld="1" item="0"/>
        </tpls>
      </m>
      <m>
        <tpls c="3">
          <tpl fld="2" item="0"/>
          <tpl fld="0" item="13"/>
          <tpl fld="1" item="0"/>
        </tpls>
      </m>
      <m>
        <tpls c="3">
          <tpl fld="2" item="0"/>
          <tpl fld="0" item="237"/>
          <tpl fld="1" item="0"/>
        </tpls>
      </m>
      <m>
        <tpls c="3">
          <tpl fld="2" item="0"/>
          <tpl fld="0" item="122"/>
          <tpl fld="1" item="0"/>
        </tpls>
      </m>
      <m>
        <tpls c="3">
          <tpl fld="2" item="0"/>
          <tpl fld="0" item="9"/>
          <tpl fld="1" item="0"/>
        </tpls>
      </m>
      <m>
        <tpls c="3">
          <tpl fld="2" item="0"/>
          <tpl fld="0" item="231"/>
          <tpl fld="1" item="0"/>
        </tpls>
      </m>
      <m>
        <tpls c="3">
          <tpl fld="2" item="0"/>
          <tpl fld="0" item="8"/>
          <tpl fld="1" item="0"/>
        </tpls>
      </m>
      <m>
        <tpls c="3">
          <tpl fld="2" item="0"/>
          <tpl fld="0" item="123"/>
          <tpl fld="1" item="0"/>
        </tpls>
      </m>
      <n v="0">
        <tpls c="3">
          <tpl fld="2" item="0"/>
          <tpl fld="0" item="26"/>
          <tpl fld="1" item="0"/>
        </tpls>
      </n>
      <m>
        <tpls c="3">
          <tpl fld="2" item="0"/>
          <tpl fld="0" item="124"/>
          <tpl fld="1" item="0"/>
        </tpls>
      </m>
      <m>
        <tpls c="3">
          <tpl fld="2" item="0"/>
          <tpl fld="0" item="114"/>
          <tpl fld="1" item="0"/>
        </tpls>
      </m>
      <m>
        <tpls c="3">
          <tpl fld="2" item="0"/>
          <tpl fld="0" item="113"/>
          <tpl fld="1" item="0"/>
        </tpls>
      </m>
      <m>
        <tpls c="3">
          <tpl fld="2" item="0"/>
          <tpl fld="0" item="112"/>
          <tpl fld="1" item="0"/>
        </tpls>
      </m>
      <m>
        <tpls c="3">
          <tpl fld="2" item="0"/>
          <tpl fld="0" item="111"/>
          <tpl fld="1" item="0"/>
        </tpls>
      </m>
      <m>
        <tpls c="3">
          <tpl fld="2" item="0"/>
          <tpl fld="0" item="197"/>
          <tpl fld="1" item="0"/>
        </tpls>
      </m>
      <m>
        <tpls c="3">
          <tpl fld="2" item="0"/>
          <tpl fld="0" item="115"/>
          <tpl fld="1" item="0"/>
        </tpls>
      </m>
      <m>
        <tpls c="3">
          <tpl fld="2" item="0"/>
          <tpl fld="0" item="42"/>
          <tpl fld="1" item="0"/>
        </tpls>
      </m>
      <m>
        <tpls c="3">
          <tpl fld="2" item="0"/>
          <tpl fld="0" item="56"/>
          <tpl fld="1" item="0"/>
        </tpls>
      </m>
      <m>
        <tpls c="3">
          <tpl fld="2" item="0"/>
          <tpl fld="0" item="55"/>
          <tpl fld="1" item="0"/>
        </tpls>
      </m>
      <n v="10">
        <tpls c="3">
          <tpl fld="2" item="1"/>
          <tpl fld="0" item="366"/>
          <tpl fld="1" item="1"/>
        </tpls>
      </n>
      <n v="5636">
        <tpls c="2">
          <tpl fld="2" item="0"/>
          <tpl fld="0" item="366"/>
        </tpls>
      </n>
      <n v="75">
        <tpls c="2">
          <tpl fld="2" item="1"/>
          <tpl fld="0" item="366"/>
        </tpls>
      </n>
      <n v="333158">
        <tpls c="3">
          <tpl fld="2" item="0"/>
          <tpl fld="0" item="185"/>
          <tpl fld="1" item="3"/>
        </tpls>
      </n>
      <m>
        <tpls c="3">
          <tpl fld="2" item="0"/>
          <tpl fld="0" item="126"/>
          <tpl fld="1" item="3"/>
        </tpls>
      </m>
      <n v="13451">
        <tpls c="3">
          <tpl fld="2" item="0"/>
          <tpl fld="0" item="326"/>
          <tpl fld="1" item="3"/>
        </tpls>
      </n>
      <n v="26024">
        <tpls c="3">
          <tpl fld="2" item="0"/>
          <tpl fld="0" item="304"/>
          <tpl fld="1" item="3"/>
        </tpls>
      </n>
      <n v="78313">
        <tpls c="3">
          <tpl fld="2" item="0"/>
          <tpl fld="0" item="233"/>
          <tpl fld="1" item="3"/>
        </tpls>
      </n>
      <n v="471567">
        <tpls c="3">
          <tpl fld="2" item="0"/>
          <tpl fld="0" item="232"/>
          <tpl fld="1" item="3"/>
        </tpls>
      </n>
      <m>
        <tpls c="3">
          <tpl fld="2" item="0"/>
          <tpl fld="0" item="175"/>
          <tpl fld="1" item="3"/>
        </tpls>
      </m>
      <n v="3318">
        <tpls c="3">
          <tpl fld="2" item="0"/>
          <tpl fld="0" item="281"/>
          <tpl fld="1" item="3"/>
        </tpls>
      </n>
      <n v="11747.18">
        <tpls c="3">
          <tpl fld="2" item="0"/>
          <tpl fld="0" item="171"/>
          <tpl fld="1" item="3"/>
        </tpls>
      </n>
      <m>
        <tpls c="3">
          <tpl fld="2" item="0"/>
          <tpl fld="0" item="280"/>
          <tpl fld="1" item="3"/>
        </tpls>
      </m>
      <n v="301719.59000000003">
        <tpls c="3">
          <tpl fld="2" item="0"/>
          <tpl fld="0" item="283"/>
          <tpl fld="1" item="3"/>
        </tpls>
      </n>
      <n v="791862">
        <tpls c="3">
          <tpl fld="2" item="0"/>
          <tpl fld="0" item="57"/>
          <tpl fld="1" item="3"/>
        </tpls>
      </n>
      <m>
        <tpls c="3">
          <tpl fld="2" item="0"/>
          <tpl fld="0" item="169"/>
          <tpl fld="1" item="3"/>
        </tpls>
      </m>
      <m>
        <tpls c="3">
          <tpl fld="2" item="0"/>
          <tpl fld="0" item="64"/>
          <tpl fld="1" item="3"/>
        </tpls>
      </m>
      <n v="1878181.72">
        <tpls c="3">
          <tpl fld="2" item="0"/>
          <tpl fld="0" item="227"/>
          <tpl fld="1" item="3"/>
        </tpls>
      </n>
      <n v="212215.45">
        <tpls c="3">
          <tpl fld="2" item="0"/>
          <tpl fld="0" item="114"/>
          <tpl fld="1" item="3"/>
        </tpls>
      </n>
      <m>
        <tpls c="3">
          <tpl fld="2" item="0"/>
          <tpl fld="0" item="225"/>
          <tpl fld="1" item="3"/>
        </tpls>
      </m>
      <n v="119531.51">
        <tpls c="3">
          <tpl fld="2" item="0"/>
          <tpl fld="0" item="115"/>
          <tpl fld="1" item="3"/>
        </tpls>
      </n>
      <m>
        <tpls c="3">
          <tpl fld="2" item="0"/>
          <tpl fld="0" item="2"/>
          <tpl fld="1" item="3"/>
        </tpls>
      </m>
      <m>
        <tpls c="3">
          <tpl fld="2" item="0"/>
          <tpl fld="0" item="113"/>
          <tpl fld="1" item="3"/>
        </tpls>
      </m>
      <n v="1202555.83">
        <tpls c="3">
          <tpl fld="2" item="0"/>
          <tpl fld="0" item="59"/>
          <tpl fld="1" item="3"/>
        </tpls>
      </n>
      <n v="63021.11">
        <tpls c="3">
          <tpl fld="2" item="0"/>
          <tpl fld="0" item="58"/>
          <tpl fld="1" item="3"/>
        </tpls>
      </n>
      <m>
        <tpls c="3">
          <tpl fld="2" item="0"/>
          <tpl fld="0" item="56"/>
          <tpl fld="1" item="3"/>
        </tpls>
      </m>
      <m>
        <tpls c="3">
          <tpl fld="2" item="0"/>
          <tpl fld="0" item="55"/>
          <tpl fld="1" item="3"/>
        </tpls>
      </m>
      <n v="5985">
        <tpls c="3">
          <tpl fld="2" item="0"/>
          <tpl fld="0" item="4"/>
          <tpl fld="1" item="3"/>
        </tpls>
      </n>
      <n v="200">
        <tpls c="2">
          <tpl fld="2" item="0"/>
          <tpl fld="0" item="377"/>
        </tpls>
      </n>
      <n v="2">
        <tpls c="2">
          <tpl fld="2" item="1"/>
          <tpl fld="0" item="377"/>
        </tpls>
      </n>
      <m>
        <tpls c="3">
          <tpl fld="2" item="0"/>
          <tpl fld="0" item="377"/>
          <tpl fld="1" item="0"/>
        </tpls>
      </m>
      <m>
        <tpls c="3">
          <tpl fld="2" item="0"/>
          <tpl fld="0" item="377"/>
          <tpl fld="1" item="3"/>
        </tpls>
      </m>
      <n v="200">
        <tpls c="3">
          <tpl fld="2" item="0"/>
          <tpl fld="0" item="377"/>
          <tpl fld="1" item="1"/>
        </tpls>
      </n>
      <m>
        <tpls c="3">
          <tpl fld="2" item="1"/>
          <tpl fld="0" item="377"/>
          <tpl fld="1" item="2"/>
        </tpls>
      </m>
      <n v="2">
        <tpls c="3">
          <tpl fld="2" item="1"/>
          <tpl fld="0" item="377"/>
          <tpl fld="1" item="1"/>
        </tpls>
      </n>
      <m>
        <tpls c="3">
          <tpl fld="2" item="1"/>
          <tpl fld="0" item="377"/>
          <tpl fld="1" item="3"/>
        </tpls>
      </m>
      <m>
        <tpls c="3">
          <tpl fld="2" item="0"/>
          <tpl fld="0" item="378"/>
          <tpl fld="1" item="0"/>
        </tpls>
      </m>
      <n v="0">
        <tpls c="3">
          <tpl fld="2" item="1"/>
          <tpl fld="0" item="378"/>
          <tpl fld="1" item="2"/>
        </tpls>
      </n>
      <m>
        <tpls c="3">
          <tpl fld="2" item="1"/>
          <tpl fld="0" item="378"/>
          <tpl fld="1" item="0"/>
        </tpls>
      </m>
      <n v="0">
        <tpls c="3">
          <tpl fld="2" item="0"/>
          <tpl fld="0" item="378"/>
          <tpl fld="1" item="2"/>
        </tpls>
      </n>
      <m>
        <tpls c="3">
          <tpl fld="2" item="0"/>
          <tpl fld="0" item="378"/>
          <tpl fld="1" item="3"/>
        </tpls>
      </m>
      <m>
        <tpls c="3">
          <tpl fld="2" item="1"/>
          <tpl fld="0" item="378"/>
          <tpl fld="1" item="3"/>
        </tpls>
      </m>
      <m>
        <tpls c="3">
          <tpl fld="2" item="0"/>
          <tpl fld="0" item="378"/>
          <tpl fld="1" item="1"/>
        </tpls>
      </m>
      <m>
        <tpls c="3">
          <tpl fld="2" item="1"/>
          <tpl fld="0" item="379"/>
          <tpl fld="1" item="0"/>
        </tpls>
      </m>
      <m>
        <tpls c="3">
          <tpl fld="2" item="1"/>
          <tpl fld="0" item="379"/>
          <tpl fld="1" item="3"/>
        </tpls>
      </m>
      <n v="11">
        <tpls c="3">
          <tpl fld="2" item="1"/>
          <tpl fld="0" item="379"/>
          <tpl fld="1" item="1"/>
        </tpls>
      </n>
      <n v="620">
        <tpls c="3">
          <tpl fld="2" item="0"/>
          <tpl fld="0" item="380"/>
          <tpl fld="1" item="1"/>
        </tpls>
      </n>
      <m>
        <tpls c="3">
          <tpl fld="2" item="0"/>
          <tpl fld="0" item="380"/>
          <tpl fld="1" item="0"/>
        </tpls>
      </m>
      <m>
        <tpls c="3">
          <tpl fld="2" item="1"/>
          <tpl fld="0" item="380"/>
          <tpl fld="1" item="0"/>
        </tpls>
      </m>
      <n v="9044">
        <tpls c="2">
          <tpl fld="2" item="0"/>
          <tpl fld="0" item="391"/>
        </tpls>
      </n>
      <m>
        <tpls c="3">
          <tpl fld="2" item="0"/>
          <tpl fld="0" item="391"/>
          <tpl fld="1" item="0"/>
        </tpls>
      </m>
      <m>
        <tpls c="3">
          <tpl fld="2" item="0"/>
          <tpl fld="0" item="391"/>
          <tpl fld="1" item="1"/>
        </tpls>
      </m>
      <m>
        <tpls c="3">
          <tpl fld="2" item="0"/>
          <tpl fld="0" item="391"/>
          <tpl fld="1" item="2"/>
        </tpls>
      </m>
      <n v="26">
        <tpls c="2">
          <tpl fld="2" item="1"/>
          <tpl fld="0" item="391"/>
        </tpls>
      </n>
      <n v="9044">
        <tpls c="3">
          <tpl fld="2" item="0"/>
          <tpl fld="0" item="391"/>
          <tpl fld="1" item="3"/>
        </tpls>
      </n>
      <n v="26">
        <tpls c="3">
          <tpl fld="2" item="1"/>
          <tpl fld="0" item="391"/>
          <tpl fld="1" item="3"/>
        </tpls>
      </n>
      <m>
        <tpls c="3">
          <tpl fld="2" item="1"/>
          <tpl fld="0" item="392"/>
          <tpl fld="1" item="3"/>
        </tpls>
      </m>
      <n v="14">
        <tpls c="2">
          <tpl fld="2" item="1"/>
          <tpl fld="0" item="392"/>
        </tpls>
      </n>
      <n v="12">
        <tpls c="3">
          <tpl fld="2" item="1"/>
          <tpl fld="0" item="392"/>
          <tpl fld="1" item="0"/>
        </tpls>
      </n>
      <m>
        <tpls c="3">
          <tpl fld="2" item="0"/>
          <tpl fld="0" item="392"/>
          <tpl fld="1" item="2"/>
        </tpls>
      </m>
      <n v="2">
        <tpls c="3">
          <tpl fld="2" item="1"/>
          <tpl fld="0" item="392"/>
          <tpl fld="1" item="1"/>
        </tpls>
      </n>
      <n v="6134">
        <tpls c="3">
          <tpl fld="2" item="0"/>
          <tpl fld="0" item="395"/>
          <tpl fld="1" item="1"/>
        </tpls>
      </n>
      <n v="228">
        <tpls c="3">
          <tpl fld="2" item="1"/>
          <tpl fld="0" item="395"/>
          <tpl fld="1" item="1"/>
        </tpls>
      </n>
      <m>
        <tpls c="3">
          <tpl fld="2" item="1"/>
          <tpl fld="0" item="403"/>
          <tpl fld="1" item="3"/>
        </tpls>
      </m>
      <n v="722">
        <tpls c="2">
          <tpl fld="2" item="0"/>
          <tpl fld="0" item="403"/>
        </tpls>
      </n>
      <m>
        <tpls c="3">
          <tpl fld="2" item="0"/>
          <tpl fld="0" item="403"/>
          <tpl fld="1" item="2"/>
        </tpls>
      </m>
      <n v="4">
        <tpls c="3">
          <tpl fld="2" item="1"/>
          <tpl fld="0" item="403"/>
          <tpl fld="1" item="1"/>
        </tpls>
      </n>
      <m>
        <tpls c="3">
          <tpl fld="2" item="1"/>
          <tpl fld="0" item="403"/>
          <tpl fld="1" item="2"/>
        </tpls>
      </m>
      <n v="137254.84">
        <tpls c="2">
          <tpl fld="2" item="0"/>
          <tpl fld="0" item="407"/>
        </tpls>
      </n>
      <m>
        <tpls c="3">
          <tpl fld="2" item="0"/>
          <tpl fld="0" item="407"/>
          <tpl fld="1" item="1"/>
        </tpls>
      </m>
      <m>
        <tpls c="3">
          <tpl fld="2" item="0"/>
          <tpl fld="0" item="407"/>
          <tpl fld="1" item="2"/>
        </tpls>
      </m>
      <m>
        <tpls c="3">
          <tpl fld="2" item="1"/>
          <tpl fld="0" item="407"/>
          <tpl fld="1" item="2"/>
        </tpls>
      </m>
      <n v="137254.84">
        <tpls c="3">
          <tpl fld="2" item="0"/>
          <tpl fld="0" item="407"/>
          <tpl fld="1" item="3"/>
        </tpls>
      </n>
      <m>
        <tpls c="3">
          <tpl fld="2" item="0"/>
          <tpl fld="0" item="408"/>
          <tpl fld="1" item="2"/>
        </tpls>
      </m>
      <m>
        <tpls c="3">
          <tpl fld="2" item="0"/>
          <tpl fld="0" item="408"/>
          <tpl fld="1" item="0"/>
        </tpls>
      </m>
      <n v="116">
        <tpls c="3">
          <tpl fld="2" item="1"/>
          <tpl fld="0" item="411"/>
          <tpl fld="1" item="3"/>
        </tpls>
      </n>
      <n v="116">
        <tpls c="2">
          <tpl fld="2" item="1"/>
          <tpl fld="0" item="411"/>
        </tpls>
      </n>
      <m>
        <tpls c="3">
          <tpl fld="2" item="1"/>
          <tpl fld="0" item="411"/>
          <tpl fld="1" item="1"/>
        </tpls>
      </m>
      <m>
        <tpls c="3">
          <tpl fld="2" item="0"/>
          <tpl fld="0" item="411"/>
          <tpl fld="1" item="2"/>
        </tpls>
      </m>
      <m>
        <tpls c="3">
          <tpl fld="2" item="0"/>
          <tpl fld="0" item="411"/>
          <tpl fld="1" item="1"/>
        </tpls>
      </m>
      <m>
        <tpls c="3">
          <tpl fld="2" item="0"/>
          <tpl fld="0" item="415"/>
          <tpl fld="1" item="1"/>
        </tpls>
      </m>
      <n v="0">
        <tpls c="3">
          <tpl fld="2" item="0"/>
          <tpl fld="0" item="415"/>
          <tpl fld="1" item="2"/>
        </tpls>
      </n>
      <m>
        <tpls c="3">
          <tpl fld="2" item="0"/>
          <tpl fld="0" item="415"/>
          <tpl fld="1" item="3"/>
        </tpls>
      </m>
      <n v="0">
        <tpls c="2">
          <tpl fld="2" item="0"/>
          <tpl fld="0" item="415"/>
        </tpls>
      </n>
      <m>
        <tpls c="3">
          <tpl fld="2" item="0"/>
          <tpl fld="0" item="415"/>
          <tpl fld="1" item="0"/>
        </tpls>
      </m>
      <m>
        <tpls c="3">
          <tpl fld="2" item="1"/>
          <tpl fld="0" item="415"/>
          <tpl fld="1" item="1"/>
        </tpls>
      </m>
      <m>
        <tpls c="3">
          <tpl fld="2" item="1"/>
          <tpl fld="0" item="415"/>
          <tpl fld="1" item="3"/>
        </tpls>
      </m>
      <m>
        <tpls c="3">
          <tpl fld="2" item="1"/>
          <tpl fld="0" item="417"/>
          <tpl fld="1" item="0"/>
        </tpls>
      </m>
      <n v="13">
        <tpls c="3">
          <tpl fld="2" item="1"/>
          <tpl fld="0" item="417"/>
          <tpl fld="1" item="3"/>
        </tpls>
      </n>
      <m>
        <tpls c="3">
          <tpl fld="2" item="1"/>
          <tpl fld="0" item="418"/>
          <tpl fld="1" item="3"/>
        </tpls>
      </m>
      <m>
        <tpls c="3">
          <tpl fld="2" item="0"/>
          <tpl fld="0" item="418"/>
          <tpl fld="1" item="3"/>
        </tpls>
      </m>
      <n v="2040">
        <tpls c="3">
          <tpl fld="2" item="0"/>
          <tpl fld="0" item="418"/>
          <tpl fld="1" item="1"/>
        </tpls>
      </n>
      <n v="4">
        <tpls c="3">
          <tpl fld="2" item="1"/>
          <tpl fld="0" item="418"/>
          <tpl fld="1" item="1"/>
        </tpls>
      </n>
      <m>
        <tpls c="3">
          <tpl fld="2" item="0"/>
          <tpl fld="0" item="418"/>
          <tpl fld="1" item="0"/>
        </tpls>
      </m>
      <n v="2028">
        <tpls c="3">
          <tpl fld="2" item="0"/>
          <tpl fld="0" item="418"/>
          <tpl fld="1" item="2"/>
        </tpls>
      </n>
      <m>
        <tpls c="3">
          <tpl fld="2" item="0"/>
          <tpl fld="0" item="419"/>
          <tpl fld="1" item="3"/>
        </tpls>
      </m>
      <m>
        <tpls c="3">
          <tpl fld="2" item="1"/>
          <tpl fld="0" item="419"/>
          <tpl fld="1" item="1"/>
        </tpls>
      </m>
      <m>
        <tpls c="3">
          <tpl fld="2" item="1"/>
          <tpl fld="0" item="419"/>
          <tpl fld="1" item="3"/>
        </tpls>
      </m>
      <n v="220">
        <tpls c="3">
          <tpl fld="2" item="0"/>
          <tpl fld="0" item="419"/>
          <tpl fld="1" item="2"/>
        </tpls>
      </n>
      <n v="564050.12">
        <tpls c="3">
          <tpl fld="2" item="0"/>
          <tpl fld="0" item="422"/>
          <tpl fld="1" item="3"/>
        </tpls>
      </n>
      <n v="8885">
        <tpls c="3">
          <tpl fld="2" item="1"/>
          <tpl fld="0" item="422"/>
          <tpl fld="1" item="3"/>
        </tpls>
      </n>
      <n v="8730">
        <tpls c="3">
          <tpl fld="2" item="0"/>
          <tpl fld="0" item="422"/>
          <tpl fld="1" item="0"/>
        </tpls>
      </n>
      <n v="101">
        <tpls c="3">
          <tpl fld="2" item="1"/>
          <tpl fld="0" item="422"/>
          <tpl fld="1" item="0"/>
        </tpls>
      </n>
      <n v="486">
        <tpls c="3">
          <tpl fld="2" item="0"/>
          <tpl fld="0" item="422"/>
          <tpl fld="1" item="2"/>
        </tpls>
      </n>
      <n v="14490.01">
        <tpls c="3">
          <tpl fld="2" item="0"/>
          <tpl fld="0" item="422"/>
          <tpl fld="1" item="1"/>
        </tpls>
      </n>
      <n v="280">
        <tpls c="3">
          <tpl fld="2" item="1"/>
          <tpl fld="0" item="422"/>
          <tpl fld="1" item="1"/>
        </tpls>
      </n>
      <n v="9280">
        <tpls c="2">
          <tpl fld="2" item="1"/>
          <tpl fld="0" item="422"/>
        </tpls>
      </n>
      <n v="14">
        <tpls c="3">
          <tpl fld="2" item="1"/>
          <tpl fld="0" item="422"/>
          <tpl fld="1" item="2"/>
        </tpls>
      </n>
      <m>
        <tpls c="3">
          <tpl fld="2" item="0"/>
          <tpl fld="0" item="423"/>
          <tpl fld="1" item="1"/>
        </tpls>
      </m>
      <m>
        <tpls c="3">
          <tpl fld="2" item="1"/>
          <tpl fld="0" item="423"/>
          <tpl fld="1" item="2"/>
        </tpls>
      </m>
      <n v="625">
        <tpls c="3">
          <tpl fld="2" item="1"/>
          <tpl fld="0" item="423"/>
          <tpl fld="1" item="3"/>
        </tpls>
      </n>
      <m>
        <tpls c="3">
          <tpl fld="2" item="1"/>
          <tpl fld="0" item="423"/>
          <tpl fld="1" item="0"/>
        </tpls>
      </m>
      <m>
        <tpls c="3">
          <tpl fld="2" item="1"/>
          <tpl fld="0" item="423"/>
          <tpl fld="1" item="1"/>
        </tpls>
      </m>
      <m>
        <tpls c="3">
          <tpl fld="2" item="0"/>
          <tpl fld="0" item="423"/>
          <tpl fld="1" item="2"/>
        </tpls>
      </m>
      <m>
        <tpls c="3">
          <tpl fld="2" item="0"/>
          <tpl fld="0" item="424"/>
          <tpl fld="1" item="3"/>
        </tpls>
      </m>
      <m>
        <tpls c="3">
          <tpl fld="2" item="1"/>
          <tpl fld="0" item="424"/>
          <tpl fld="1" item="1"/>
        </tpls>
      </m>
      <m>
        <tpls c="3">
          <tpl fld="2" item="0"/>
          <tpl fld="0" item="424"/>
          <tpl fld="1" item="0"/>
        </tpls>
      </m>
      <m>
        <tpls c="3">
          <tpl fld="2" item="1"/>
          <tpl fld="0" item="424"/>
          <tpl fld="1" item="0"/>
        </tpls>
      </m>
      <n v="0">
        <tpls c="2">
          <tpl fld="2" item="0"/>
          <tpl fld="0" item="430"/>
        </tpls>
      </n>
      <m>
        <tpls c="3">
          <tpl fld="2" item="1"/>
          <tpl fld="0" item="430"/>
          <tpl fld="1" item="2"/>
        </tpls>
      </m>
      <m>
        <tpls c="3">
          <tpl fld="2" item="0"/>
          <tpl fld="0" item="430"/>
          <tpl fld="1" item="3"/>
        </tpls>
      </m>
      <m>
        <tpls c="3">
          <tpl fld="2" item="0"/>
          <tpl fld="0" item="430"/>
          <tpl fld="1" item="0"/>
        </tpls>
      </m>
      <n v="0">
        <tpls c="2">
          <tpl fld="2" item="1"/>
          <tpl fld="0" item="430"/>
        </tpls>
      </n>
      <n v="0">
        <tpls c="3">
          <tpl fld="2" item="0"/>
          <tpl fld="0" item="430"/>
          <tpl fld="1" item="1"/>
        </tpls>
      </n>
      <m>
        <tpls c="3">
          <tpl fld="2" item="0"/>
          <tpl fld="0" item="430"/>
          <tpl fld="1" item="2"/>
        </tpls>
      </m>
      <m>
        <tpls c="3">
          <tpl fld="2" item="1"/>
          <tpl fld="0" item="430"/>
          <tpl fld="1" item="0"/>
        </tpls>
      </m>
      <n v="302">
        <tpls c="3">
          <tpl fld="2" item="1"/>
          <tpl fld="0" item="431"/>
          <tpl fld="1" item="1"/>
        </tpls>
      </n>
      <n v="9320">
        <tpls c="2">
          <tpl fld="2" item="1"/>
          <tpl fld="0" item="431"/>
        </tpls>
      </n>
      <n v="9001">
        <tpls c="3">
          <tpl fld="2" item="1"/>
          <tpl fld="0" item="431"/>
          <tpl fld="1" item="3"/>
        </tpls>
      </n>
      <n v="439923.02">
        <tpls c="2">
          <tpl fld="2" item="0"/>
          <tpl fld="0" item="431"/>
        </tpls>
      </n>
      <n v="3">
        <tpls c="3">
          <tpl fld="2" item="1"/>
          <tpl fld="0" item="434"/>
          <tpl fld="1" item="1"/>
        </tpls>
      </n>
      <n v="69">
        <tpls c="3">
          <tpl fld="2" item="0"/>
          <tpl fld="0" item="434"/>
          <tpl fld="1" item="1"/>
        </tpls>
      </n>
      <n v="0">
        <tpls c="3">
          <tpl fld="2" item="1"/>
          <tpl fld="0" item="438"/>
          <tpl fld="1" item="2"/>
        </tpls>
      </n>
      <m>
        <tpls c="3">
          <tpl fld="2" item="1"/>
          <tpl fld="0" item="438"/>
          <tpl fld="1" item="3"/>
        </tpls>
      </m>
      <m>
        <tpls c="3">
          <tpl fld="2" item="0"/>
          <tpl fld="0" item="438"/>
          <tpl fld="1" item="0"/>
        </tpls>
      </m>
      <m>
        <tpls c="3">
          <tpl fld="2" item="1"/>
          <tpl fld="0" item="438"/>
          <tpl fld="1" item="0"/>
        </tpls>
      </m>
      <n v="14855">
        <tpls c="3">
          <tpl fld="2" item="0"/>
          <tpl fld="0" item="443"/>
          <tpl fld="1" item="1"/>
        </tpls>
      </n>
      <n v="278188.89">
        <tpls c="2">
          <tpl fld="2" item="0"/>
          <tpl fld="0" item="443"/>
        </tpls>
      </n>
      <n v="3542">
        <tpls c="3">
          <tpl fld="2" item="1"/>
          <tpl fld="0" item="443"/>
          <tpl fld="1" item="3"/>
        </tpls>
      </n>
      <m>
        <tpls c="3">
          <tpl fld="2" item="1"/>
          <tpl fld="0" item="443"/>
          <tpl fld="1" item="0"/>
        </tpls>
      </m>
      <m>
        <tpls c="3">
          <tpl fld="2" item="0"/>
          <tpl fld="0" item="443"/>
          <tpl fld="1" item="0"/>
        </tpls>
      </m>
      <n v="226">
        <tpls c="3">
          <tpl fld="2" item="1"/>
          <tpl fld="0" item="443"/>
          <tpl fld="1" item="1"/>
        </tpls>
      </n>
      <n v="3772">
        <tpls c="2">
          <tpl fld="2" item="1"/>
          <tpl fld="0" item="443"/>
        </tpls>
      </n>
      <n v="4">
        <tpls c="3">
          <tpl fld="2" item="1"/>
          <tpl fld="0" item="443"/>
          <tpl fld="1" item="2"/>
        </tpls>
      </n>
      <n v="263268.89">
        <tpls c="3">
          <tpl fld="2" item="0"/>
          <tpl fld="0" item="443"/>
          <tpl fld="1" item="3"/>
        </tpls>
      </n>
      <n v="65">
        <tpls c="3">
          <tpl fld="2" item="0"/>
          <tpl fld="0" item="443"/>
          <tpl fld="1" item="2"/>
        </tpls>
      </n>
      <n v="3036">
        <tpls c="3">
          <tpl fld="2" item="0"/>
          <tpl fld="0" item="444"/>
          <tpl fld="1" item="3"/>
        </tpls>
      </n>
      <m>
        <tpls c="3">
          <tpl fld="2" item="1"/>
          <tpl fld="0" item="444"/>
          <tpl fld="1" item="1"/>
        </tpls>
      </m>
      <n v="55">
        <tpls c="3">
          <tpl fld="2" item="1"/>
          <tpl fld="0" item="444"/>
          <tpl fld="1" item="3"/>
        </tpls>
      </n>
      <m>
        <tpls c="3">
          <tpl fld="2" item="0"/>
          <tpl fld="0" item="444"/>
          <tpl fld="1" item="0"/>
        </tpls>
      </m>
      <n v="3036">
        <tpls c="2">
          <tpl fld="2" item="0"/>
          <tpl fld="0" item="444"/>
        </tpls>
      </n>
      <m>
        <tpls c="3">
          <tpl fld="2" item="1"/>
          <tpl fld="0" item="444"/>
          <tpl fld="1" item="0"/>
        </tpls>
      </m>
      <m>
        <tpls c="3">
          <tpl fld="2" item="0"/>
          <tpl fld="0" item="444"/>
          <tpl fld="1" item="1"/>
        </tpls>
      </m>
      <n v="55">
        <tpls c="2">
          <tpl fld="2" item="1"/>
          <tpl fld="0" item="444"/>
        </tpls>
      </n>
      <m>
        <tpls c="3">
          <tpl fld="2" item="1"/>
          <tpl fld="0" item="444"/>
          <tpl fld="1" item="2"/>
        </tpls>
      </m>
      <m>
        <tpls c="3">
          <tpl fld="2" item="0"/>
          <tpl fld="0" item="444"/>
          <tpl fld="1" item="2"/>
        </tpls>
      </m>
    </entries>
    <queryCache count="452">
      <query mdx="[Table1].[goal].&amp;[1.04219E5]">
        <tpls c="1">
          <tpl fld="0" item="0"/>
        </tpls>
      </query>
      <query mdx="[Table1].[goal].&amp;[8.88E3]">
        <tpls c="1">
          <tpl fld="0" item="1"/>
        </tpls>
      </query>
      <query mdx="[Table1].[goal].&amp;[2.]">
        <tpls c="1">
          <tpl fld="0" item="2"/>
        </tpls>
      </query>
      <query mdx="[Table1].[goal].&amp;[1.98E4]">
        <tpls c="1">
          <tpl fld="0" item="3"/>
        </tpls>
      </query>
      <query mdx="[Table1].[goal].&amp;[5.875E3]">
        <tpls c="1">
          <tpl fld="0" item="4"/>
        </tpls>
      </query>
      <query mdx="[Table1].[goal].&amp;[1.96E3]">
        <tpls c="1">
          <tpl fld="0" item="5"/>
        </tpls>
      </query>
      <query mdx="[Table1].[goal].&amp;[1.1E2]">
        <tpls c="1">
          <tpl fld="0" item="6"/>
        </tpls>
      </query>
      <query mdx="[Table1].[goal].&amp;[8.E5]">
        <tpls c="1">
          <tpl fld="0" item="7"/>
        </tpls>
      </query>
      <query mdx="[Table1].[goal].&amp;[2.75E4]">
        <tpls c="1">
          <tpl fld="0" item="8"/>
        </tpls>
      </query>
      <query mdx="[Table1].[goal].&amp;[2.885E3]">
        <tpls c="1">
          <tpl fld="0" item="9"/>
        </tpls>
      </query>
      <query mdx="[Table1].[goal].&amp;[4.35E4]">
        <tpls c="1">
          <tpl fld="0" item="10"/>
        </tpls>
      </query>
      <query mdx="[Table1].[goal].&amp;[9.85E3]">
        <tpls c="1">
          <tpl fld="0" item="11"/>
        </tpls>
      </query>
      <query mdx="[Table1].[goal].&amp;[3.35E3]">
        <tpls c="1">
          <tpl fld="0" item="12"/>
        </tpls>
      </query>
      <query mdx="[Table1].[goal].&amp;[7.73E2]">
        <tpls c="1">
          <tpl fld="0" item="13"/>
        </tpls>
      </query>
      <query mdx="[Table1].[goal].&amp;[9.5E4]">
        <tpls c="1">
          <tpl fld="0" item="14"/>
        </tpls>
      </query>
      <query mdx="[Table1].[goal].&amp;[7.175E3]">
        <tpls c="1">
          <tpl fld="0" item="15"/>
        </tpls>
      </query>
      <query mdx="[Table1].[goal].&amp;[2.61962E5]">
        <tpls c="1">
          <tpl fld="0" item="16"/>
        </tpls>
      </query>
      <query mdx="[Table1].[goal].&amp;[1.88E4]">
        <tpls c="1">
          <tpl fld="0" item="17"/>
        </tpls>
      </query>
      <query mdx="[Table1].[goal].&amp;[5.55555E3]">
        <tpls c="1">
          <tpl fld="0" item="18"/>
        </tpls>
      </query>
      <query mdx="[Table1].[goal].&amp;[1.75E3]">
        <tpls c="1">
          <tpl fld="0" item="19"/>
        </tpls>
      </query>
      <query mdx="[Table1].[goal].&amp;[8.E1]">
        <tpls c="1">
          <tpl fld="0" item="20"/>
        </tpls>
      </query>
      <query mdx="[Table1].[goal].&amp;[6.5108E4]">
        <tpls c="1">
          <tpl fld="0" item="21"/>
        </tpls>
      </query>
      <query mdx="[Table1].[goal].&amp;[4.95E3]">
        <tpls c="1">
          <tpl fld="0" item="22"/>
        </tpls>
      </query>
      <query mdx="[Table1].[goal].&amp;[3.3E4]">
        <tpls c="1">
          <tpl fld="0" item="23"/>
        </tpls>
      </query>
      <query mdx="[Table1].[goal].&amp;[5.8425E4]">
        <tpls c="1">
          <tpl fld="0" item="24"/>
        </tpls>
      </query>
      <query mdx="[Table1].[goal].&amp;[6.E3]">
        <tpls c="1">
          <tpl fld="0" item="25"/>
        </tpls>
      </query>
      <query mdx="[Table1].[goal].&amp;[7.E2]">
        <tpls c="1">
          <tpl fld="0" item="26"/>
        </tpls>
      </query>
      <query mdx="[Table1].[goal].&amp;[9.9E4]">
        <tpls c="1">
          <tpl fld="0" item="27"/>
        </tpls>
      </query>
      <query mdx="[Table1].[goal].&amp;[4.E5]">
        <tpls c="1">
          <tpl fld="0" item="28"/>
        </tpls>
      </query>
      <query mdx="[Table1].[goal].&amp;[9.E3]">
        <tpls c="1">
          <tpl fld="0" item="29"/>
        </tpls>
      </query>
      <query mdx="[Table1].[goal].&amp;[1.395E3]">
        <tpls c="1">
          <tpl fld="0" item="30"/>
        </tpls>
      </query>
      <query mdx="[Table1].[goal].&amp;[4.8725E4]">
        <tpls c="1">
          <tpl fld="0" item="31"/>
        </tpls>
      </query>
      <query mdx="[Table1].[goal].&amp;[8.92E4]">
        <tpls c="1">
          <tpl fld="0" item="32"/>
        </tpls>
      </query>
      <query mdx="[Table1].[goal].&amp;[7.214E3]">
        <tpls c="1">
          <tpl fld="0" item="33"/>
        </tpls>
      </query>
      <query mdx="[Table1].[goal].&amp;[9.3E2]">
        <tpls c="1">
          <tpl fld="0" item="34"/>
        </tpls>
      </query>
      <query mdx="[Table1].[goal].&amp;[1.998E4]">
        <tpls c="1">
          <tpl fld="0" item="35"/>
        </tpls>
      </query>
      <query mdx="[Table1].[goal].&amp;[4.7E4]">
        <tpls c="1">
          <tpl fld="0" item="36"/>
        </tpls>
      </query>
      <query mdx="[Table1].[goal].&amp;[5.494E3]">
        <tpls c="1">
          <tpl fld="0" item="37"/>
        </tpls>
      </query>
      <query mdx="[Table1].[goal].&amp;[5.5E2]">
        <tpls c="1">
          <tpl fld="0" item="38"/>
        </tpls>
      </query>
      <query mdx="[Table1].[goal].&amp;[1.338E5]">
        <tpls c="1">
          <tpl fld="0" item="39"/>
        </tpls>
      </query>
      <query mdx="[Table1].[goal].&amp;[5.16E2]">
        <tpls c="1">
          <tpl fld="0" item="40"/>
        </tpls>
      </query>
      <query mdx="[Table1].[goal].&amp;[1.005E4]">
        <tpls c="1">
          <tpl fld="0" item="41"/>
        </tpls>
      </query>
      <query mdx="[Table1].[goal].&amp;[1.6E3]">
        <tpls c="1">
          <tpl fld="0" item="42"/>
        </tpls>
      </query>
      <query mdx="[Table1].[goal].&amp;[1.3E5]">
        <tpls c="1">
          <tpl fld="0" item="43"/>
        </tpls>
      </query>
      <query mdx="[Table1].[goal].&amp;[5.12E2]">
        <tpls c="1">
          <tpl fld="0" item="44"/>
        </tpls>
      </query>
      <query mdx="[Table1].[goal].&amp;[9.999E3]">
        <tpls c="1">
          <tpl fld="0" item="45"/>
        </tpls>
      </query>
      <query mdx="[Table1].[goal].&amp;[1.57079E3]">
        <tpls c="1">
          <tpl fld="0" item="46"/>
        </tpls>
      </query>
      <query mdx="[Table1].[goal].&amp;[7.1764E4]">
        <tpls c="1">
          <tpl fld="0" item="47"/>
        </tpls>
      </query>
      <query mdx="[Table1].[goal].&amp;[1.5E5]">
        <tpls c="1">
          <tpl fld="0" item="48"/>
        </tpls>
      </query>
      <query mdx="[Table1].[goal].&amp;[8.012E3]">
        <tpls c="1">
          <tpl fld="0" item="49"/>
        </tpls>
      </query>
      <query mdx="[Table1].[goal].&amp;[1.1E3]">
        <tpls c="1">
          <tpl fld="0" item="50"/>
        </tpls>
      </query>
      <query mdx="[Table1].[goal].&amp;[1.E6]">
        <tpls c="1">
          <tpl fld="0" item="51"/>
        </tpls>
      </query>
      <query mdx="[Table1].[goal].&amp;[3.255E3]">
        <tpls c="1">
          <tpl fld="0" item="52"/>
        </tpls>
      </query>
      <query mdx="[Table1].[goal].&amp;[1.6E4]">
        <tpls c="1">
          <tpl fld="0" item="53"/>
        </tpls>
      </query>
      <query mdx="[Table1].[goal].&amp;[2.56E3]">
        <tpls c="1">
          <tpl fld="0" item="54"/>
        </tpls>
      </query>
      <query mdx="[Table1].[outcomes].&amp;[live]">
        <tpls c="1">
          <tpl fld="1" item="0"/>
        </tpls>
      </query>
      <query mdx="[Table1].[goal].&amp;[8.8E4]">
        <tpls c="1">
          <tpl fld="0" item="55"/>
        </tpls>
      </query>
      <query mdx="[Table1].[goal].&amp;[5.845E3]">
        <tpls c="1">
          <tpl fld="0" item="56"/>
        </tpls>
      </query>
      <query mdx="[Table1].[goal].&amp;[1.6E5]">
        <tpls c="1">
          <tpl fld="0" item="57"/>
        </tpls>
      </query>
      <query mdx="[Table1].[goal].&amp;[1.7E4]">
        <tpls c="1">
          <tpl fld="0" item="58"/>
        </tpls>
      </query>
      <query mdx="[Table1].[goal].&amp;[5.E3]">
        <tpls c="1">
          <tpl fld="0" item="59"/>
        </tpls>
      </query>
      <query mdx="[Table1].[goal].&amp;[1.57E3]">
        <tpls c="1">
          <tpl fld="0" item="60"/>
        </tpls>
      </query>
      <query mdx="[Table1].[goal].&amp;[1.3E1]">
        <tpls c="1">
          <tpl fld="0" item="61"/>
        </tpls>
      </query>
      <query mdx="[Table1].[goal].&amp;[3.8E5]">
        <tpls c="1">
          <tpl fld="0" item="62"/>
        </tpls>
      </query>
      <query mdx="[Table1].[goal].&amp;[1.71E4]">
        <tpls c="1">
          <tpl fld="0" item="63"/>
        </tpls>
      </query>
      <query mdx="[Table1].[goal].&amp;[1.897E3]">
        <tpls c="1">
          <tpl fld="0" item="64"/>
        </tpls>
      </query>
      <query mdx="[Table1].[goal].&amp;[3.35E4]">
        <tpls c="1">
          <tpl fld="0" item="65"/>
        </tpls>
      </query>
      <query mdx="[Table1].[goal].&amp;[8.6E3]">
        <tpls c="1">
          <tpl fld="0" item="66"/>
        </tpls>
      </query>
      <query mdx="[Table1].[goal].&amp;[2.827E3]">
        <tpls c="1">
          <tpl fld="0" item="67"/>
        </tpls>
      </query>
      <query mdx="[Table1].[goal].&amp;[6.2E2]">
        <tpls c="1">
          <tpl fld="0" item="68"/>
        </tpls>
      </query>
      <query mdx="[Table1].[goal].&amp;[7.4997E4]">
        <tpls c="1">
          <tpl fld="0" item="69"/>
        </tpls>
      </query>
      <query mdx="[Table1].[goal].&amp;[5.105E3]">
        <tpls c="1">
          <tpl fld="0" item="70"/>
        </tpls>
      </query>
      <query mdx="[Table1].[goal].&amp;[1.25E5]">
        <tpls c="1">
          <tpl fld="0" item="71"/>
        </tpls>
      </query>
      <query mdx="[Table1].[goal].&amp;[1.63E4]">
        <tpls c="1">
          <tpl fld="0" item="72"/>
        </tpls>
      </query>
      <query mdx="[Table1].[goal].&amp;[4.8E3]">
        <tpls c="1">
          <tpl fld="0" item="73"/>
        </tpls>
      </query>
      <query mdx="[Table1].[goal].&amp;[1.5E3]">
        <tpls c="1">
          <tpl fld="0" item="74"/>
        </tpls>
      </query>
      <query mdx="[Table1].[goal].&amp;[1.]">
        <tpls c="1">
          <tpl fld="0" item="75"/>
        </tpls>
      </query>
      <query mdx="[Table1].[goal].&amp;[5.E6]">
        <tpls c="1">
          <tpl fld="0" item="76"/>
        </tpls>
      </query>
      <query mdx="[Table1].[goal].&amp;[4.85E4]">
        <tpls c="1">
          <tpl fld="0" item="77"/>
        </tpls>
      </query>
      <query mdx="[Table1].[goal].&amp;[3.87E3]">
        <tpls c="1">
          <tpl fld="0" item="78"/>
        </tpls>
      </query>
      <query mdx="[Table1].[goal].&amp;[1.3803E4]">
        <tpls c="1">
          <tpl fld="0" item="79"/>
        </tpls>
      </query>
      <query mdx="[Table1].[goal].&amp;[3.75E4]">
        <tpls c="1">
          <tpl fld="0" item="80"/>
        </tpls>
      </query>
      <query mdx="[Table1].[goal].&amp;[4.6E3]">
        <tpls c="1">
          <tpl fld="0" item="81"/>
        </tpls>
      </query>
      <query mdx="[Table1].[goal].&amp;[3.5E2]">
        <tpls c="1">
          <tpl fld="0" item="82"/>
        </tpls>
      </query>
      <query mdx="[Table1].[goal].&amp;[5.4E4]">
        <tpls c="1">
          <tpl fld="0" item="83"/>
        </tpls>
      </query>
      <query mdx="[Table1].[goal].&amp;[9.8E4]">
        <tpls c="1">
          <tpl fld="0" item="84"/>
        </tpls>
      </query>
      <query mdx="[Table1].[goal].&amp;[7.5E3]">
        <tpls c="1">
          <tpl fld="0" item="85"/>
        </tpls>
      </query>
      <query mdx="[Table1].[goal].&amp;[9.6E2]">
        <tpls c="1">
          <tpl fld="0" item="86"/>
        </tpls>
      </query>
      <query mdx="[Table1].[goal].&amp;[2.39E4]">
        <tpls c="1">
          <tpl fld="0" item="87"/>
        </tpls>
      </query>
      <query mdx="[Table1].[goal].&amp;[4.8E4]">
        <tpls c="1">
          <tpl fld="0" item="88"/>
        </tpls>
      </query>
      <query mdx="[Table1].[goal].&amp;[5.5E3]">
        <tpls c="1">
          <tpl fld="0" item="89"/>
        </tpls>
      </query>
      <query mdx="[Table1].[goal].&amp;[6.5E2]">
        <tpls c="1">
          <tpl fld="0" item="90"/>
        </tpls>
      </query>
      <query mdx="[Table1].[goal].&amp;[1.1999E4]">
        <tpls c="1">
          <tpl fld="0" item="91"/>
        </tpls>
      </query>
      <query mdx="[Table1].[goal].&amp;[3.236E4]">
        <tpls c="1">
          <tpl fld="0" item="92"/>
        </tpls>
      </query>
      <query mdx="[Table1].[goal].&amp;[4.444E3]">
        <tpls c="1">
          <tpl fld="0" item="93"/>
        </tpls>
      </query>
      <query mdx="[Table1].[goal].&amp;[3.15E2]">
        <tpls c="1">
          <tpl fld="0" item="94"/>
        </tpls>
      </query>
      <query mdx="[Table1].[goal].&amp;[8.8888E4]">
        <tpls c="1">
          <tpl fld="0" item="95"/>
        </tpls>
      </query>
      <query mdx="[Table1].[goal].&amp;[1.98E5]">
        <tpls c="1">
          <tpl fld="0" item="96"/>
        </tpls>
      </query>
      <query mdx="[Table1].[goal].&amp;[8.3E3]">
        <tpls c="1">
          <tpl fld="0" item="97"/>
        </tpls>
      </query>
      <query mdx="[Table1].[goal].&amp;[1.2E3]">
        <tpls c="1">
          <tpl fld="0" item="98"/>
        </tpls>
      </query>
      <query mdx="[Table1].[goal].&amp;[8.635E4]">
        <tpls c="1">
          <tpl fld="0" item="99"/>
        </tpls>
      </query>
      <query mdx="[Table1].[goal].&amp;[1.79E5]">
        <tpls c="1">
          <tpl fld="0" item="100"/>
        </tpls>
      </query>
      <query mdx="[Table1].[goal].&amp;[8.2E3]">
        <tpls c="1">
          <tpl fld="0" item="101"/>
        </tpls>
      </query>
      <query mdx="[Table1].[goal].&amp;[1.15E3]">
        <tpls c="1">
          <tpl fld="0" item="102"/>
        </tpls>
      </query>
      <query mdx="[Table1].[goal].&amp;[3.7956E4]">
        <tpls c="1">
          <tpl fld="0" item="103"/>
        </tpls>
      </query>
      <query mdx="[Table1].[goal].&amp;[6.8E4]">
        <tpls c="1">
          <tpl fld="0" item="104"/>
        </tpls>
      </query>
      <query mdx="[Table1].[goal].&amp;[6.45E3]">
        <tpls c="1">
          <tpl fld="0" item="105"/>
        </tpls>
      </query>
      <query mdx="[Table1].[goal].&amp;[7.45E2]">
        <tpls c="1">
          <tpl fld="0" item="106"/>
        </tpls>
      </query>
      <query mdx="[Table1].[goal].&amp;[3.2E5]">
        <tpls c="1">
          <tpl fld="0" item="107"/>
        </tpls>
      </query>
      <query mdx="[Table1].[goal].&amp;[1.01E3]">
        <tpls c="1">
          <tpl fld="0" item="108"/>
        </tpls>
      </query>
      <query mdx="[Table1].[goal].&amp;[1.2E4]">
        <tpls c="1">
          <tpl fld="0" item="109"/>
        </tpls>
      </query>
      <query mdx="[Table1].[goal].&amp;[2.E3]">
        <tpls c="1">
          <tpl fld="0" item="110"/>
        </tpls>
      </query>
      <query mdx="[Table1].[goal].&amp;[3.E7]">
        <tpls c="1">
          <tpl fld="0" item="111"/>
        </tpls>
      </query>
      <query mdx="[Table1].[goal].&amp;[5.565E4]">
        <tpls c="1">
          <tpl fld="0" item="112"/>
        </tpls>
      </query>
      <query mdx="[Table1].[goal].&amp;[4.29E3]">
        <tpls c="1">
          <tpl fld="0" item="113"/>
        </tpls>
      </query>
      <query mdx="[Table1].[goal].&amp;[8.5E4]">
        <tpls c="1">
          <tpl fld="0" item="114"/>
        </tpls>
      </query>
      <query mdx="[Table1].[goal].&amp;[1.4E4]">
        <tpls c="1">
          <tpl fld="0" item="115"/>
        </tpls>
      </query>
      <query mdx="[Table1].[goal].&amp;[4.5E3]">
        <tpls c="1">
          <tpl fld="0" item="116"/>
        </tpls>
      </query>
      <query mdx="[Table1].[goal].&amp;[1.35E3]">
        <tpls c="1">
          <tpl fld="0" item="117"/>
        </tpls>
      </query>
      <query mdx="[Table1].[outcomes].&amp;[failed]">
        <tpls c="1">
          <tpl fld="1" item="1"/>
        </tpls>
      </query>
      <query mdx="[Measures].[Sum of pledged]">
        <tpls c="1">
          <tpl fld="2" item="0"/>
        </tpls>
      </query>
      <query mdx="[Table1].[goal].&amp;[2.2E5]">
        <tpls c="1">
          <tpl fld="0" item="118"/>
        </tpls>
      </query>
      <query mdx="[Table1].[goal].&amp;[1.2999E4]">
        <tpls c="1">
          <tpl fld="0" item="119"/>
        </tpls>
      </query>
      <query mdx="[Table1].[goal].&amp;[6.78E2]">
        <tpls c="1">
          <tpl fld="0" item="120"/>
        </tpls>
      </query>
      <query mdx="[Table1].[goal].&amp;[2.8E4]">
        <tpls c="1">
          <tpl fld="0" item="121"/>
        </tpls>
      </query>
      <query mdx="[Table1].[goal].&amp;[7.777E3]">
        <tpls c="1">
          <tpl fld="0" item="122"/>
        </tpls>
      </query>
      <query mdx="[Table1].[goal].&amp;[2.55E3]">
        <tpls c="1">
          <tpl fld="0" item="123"/>
        </tpls>
      </query>
      <query mdx="[Table1].[goal].&amp;[4.2E2]">
        <tpls c="1">
          <tpl fld="0" item="124"/>
        </tpls>
      </query>
      <query mdx="[Table1].[goal].&amp;[8.E6]">
        <tpls c="1">
          <tpl fld="0" item="125"/>
        </tpls>
      </query>
      <query mdx="[Table1].[goal].&amp;[4.9E4]">
        <tpls c="1">
          <tpl fld="0" item="126"/>
        </tpls>
      </query>
      <query mdx="[Table1].[goal].&amp;[4.059E3]">
        <tpls c="1">
          <tpl fld="0" item="127"/>
        </tpls>
      </query>
      <query mdx="[Table1].[goal].&amp;[7.5E4]">
        <tpls c="1">
          <tpl fld="0" item="128"/>
        </tpls>
      </query>
      <query mdx="[Table1].[goal].&amp;[1.2516E4]">
        <tpls c="1">
          <tpl fld="0" item="129"/>
        </tpls>
      </query>
      <query mdx="[Table1].[goal].&amp;[4.3E3]">
        <tpls c="1">
          <tpl fld="0" item="130"/>
        </tpls>
      </query>
      <query mdx="[Table1].[goal].&amp;[1.25E3]">
        <tpls c="1">
          <tpl fld="0" item="131"/>
        </tpls>
      </query>
      <query mdx="[Table1].[outcomes].&amp;[canceled]">
        <tpls c="1">
          <tpl fld="1" item="2"/>
        </tpls>
      </query>
      <query mdx="[Measures].[Sum of backers_count]">
        <tpls c="1">
          <tpl fld="2" item="1"/>
        </tpls>
      </query>
      <query mdx="[Table1].[goal].&amp;[1.3E6]">
        <tpls c="1">
          <tpl fld="0" item="132"/>
        </tpls>
      </query>
      <query mdx="[Table1].[goal].&amp;[3.7E4]">
        <tpls c="1">
          <tpl fld="0" item="133"/>
        </tpls>
      </query>
      <query mdx="[Table1].[goal].&amp;[3.265E3]">
        <tpls c="1">
          <tpl fld="0" item="134"/>
        </tpls>
      </query>
      <query mdx="[Table1].[goal].&amp;[8.888E3]">
        <tpls c="1">
          <tpl fld="0" item="135"/>
        </tpls>
      </query>
      <query mdx="[Table1].[goal].&amp;[2.7E4]">
        <tpls c="1">
          <tpl fld="0" item="136"/>
        </tpls>
      </query>
      <query mdx="[Table1].[goal].&amp;[3.871E3]">
        <tpls c="1">
          <tpl fld="0" item="137"/>
        </tpls>
      </query>
      <query mdx="[Table1].[goal].&amp;[1.25E2]">
        <tpls c="1">
          <tpl fld="0" item="138"/>
        </tpls>
      </query>
      <query mdx="[Table1].[goal].&amp;[2.9E4]">
        <tpls c="1">
          <tpl fld="0" item="139"/>
        </tpls>
      </query>
      <query mdx="[Table1].[goal].&amp;[5.E4]">
        <tpls c="1">
          <tpl fld="0" item="140"/>
        </tpls>
      </query>
      <query mdx="[Table1].[goal].&amp;[5.862E3]">
        <tpls c="1">
          <tpl fld="0" item="141"/>
        </tpls>
      </query>
      <query mdx="[Table1].[goal].&amp;[6.75E2]">
        <tpls c="1">
          <tpl fld="0" item="142"/>
        </tpls>
      </query>
      <query mdx="[Table1].[goal].&amp;[1.21E4]">
        <tpls c="1">
          <tpl fld="0" item="143"/>
        </tpls>
      </query>
      <query mdx="[Table1].[goal].&amp;[3.4E4]">
        <tpls c="1">
          <tpl fld="0" item="144"/>
        </tpls>
      </query>
      <query mdx="[Table1].[goal].&amp;[4.575E3]">
        <tpls c="1">
          <tpl fld="0" item="145"/>
        </tpls>
      </query>
      <query mdx="[Table1].[goal].&amp;[3.33E2]">
        <tpls c="1">
          <tpl fld="0" item="146"/>
        </tpls>
      </query>
      <query mdx="[Table1].[goal].&amp;[6.048E3]">
        <tpls c="1">
          <tpl fld="0" item="147"/>
        </tpls>
      </query>
      <query mdx="[Table1].[goal].&amp;[2.5E4]">
        <tpls c="1">
          <tpl fld="0" item="148"/>
        </tpls>
      </query>
      <query mdx="[Table1].[goal].&amp;[3.6E3]">
        <tpls c="1">
          <tpl fld="0" item="149"/>
        </tpls>
      </query>
      <query mdx="[Table1].[goal].&amp;[5.E1]">
        <tpls c="1">
          <tpl fld="0" item="150"/>
        </tpls>
      </query>
      <query mdx="[Table1].[goal].&amp;[4.285E4]">
        <tpls c="1">
          <tpl fld="0" item="151"/>
        </tpls>
      </query>
      <query mdx="[Table1].[goal].&amp;[7.15E4]">
        <tpls c="1">
          <tpl fld="0" item="152"/>
        </tpls>
      </query>
      <query mdx="[Table1].[goal].&amp;[6.999E3]">
        <tpls c="1">
          <tpl fld="0" item="153"/>
        </tpls>
      </query>
      <query mdx="[Table1].[goal].&amp;[8.5E2]">
        <tpls c="1">
          <tpl fld="0" item="154"/>
        </tpls>
      </query>
      <query mdx="[Table1].[goal].&amp;[3.94E4]">
        <tpls c="1">
          <tpl fld="0" item="155"/>
        </tpls>
      </query>
      <query mdx="[Table1].[goal].&amp;[7.E4]">
        <tpls c="1">
          <tpl fld="0" item="156"/>
        </tpls>
      </query>
      <query mdx="[Table1].[goal].&amp;[6.5E3]">
        <tpls c="1">
          <tpl fld="0" item="157"/>
        </tpls>
      </query>
      <query mdx="[Table1].[goal].&amp;[8.E2]">
        <tpls c="1">
          <tpl fld="0" item="158"/>
        </tpls>
      </query>
      <query mdx="[Table1].[goal].&amp;[1.65E4]">
        <tpls c="1">
          <tpl fld="0" item="159"/>
        </tpls>
      </query>
      <query mdx="[Table1].[goal].&amp;[4.E4]">
        <tpls c="1">
          <tpl fld="0" item="160"/>
        </tpls>
      </query>
      <query mdx="[Table1].[goal].&amp;[4.999E3]">
        <tpls c="1">
          <tpl fld="0" item="161"/>
        </tpls>
      </query>
      <query mdx="[Table1].[goal].&amp;[4.8E2]">
        <tpls c="1">
          <tpl fld="0" item="162"/>
        </tpls>
      </query>
      <query mdx="[Table1].[goal].&amp;[1.1E5]">
        <tpls c="1">
          <tpl fld="0" item="163"/>
        </tpls>
      </query>
      <query mdx="[Table1].[goal].&amp;[6.E1]">
        <tpls c="1">
          <tpl fld="0" item="164"/>
        </tpls>
      </query>
      <query mdx="[Table1].[goal].&amp;[9.5E3]">
        <tpls c="1">
          <tpl fld="0" item="165"/>
        </tpls>
      </query>
      <query mdx="[Table1].[goal].&amp;[1.45E3]">
        <tpls c="1">
          <tpl fld="0" item="166"/>
        </tpls>
      </query>
      <query mdx="[Table1].[goal].&amp;[2.5E6]">
        <tpls c="1">
          <tpl fld="0" item="167"/>
        </tpls>
      </query>
      <query mdx="[Table1].[goal].&amp;[4.25E4]">
        <tpls c="1">
          <tpl fld="0" item="168"/>
        </tpls>
      </query>
      <query mdx="[Table1].[goal].&amp;[3.55E3]">
        <tpls c="1">
          <tpl fld="0" item="169"/>
        </tpls>
      </query>
      <query mdx="[Table1].[goal].&amp;[6.E4]">
        <tpls c="1">
          <tpl fld="0" item="170"/>
        </tpls>
      </query>
      <query mdx="[Table1].[goal].&amp;[1.1737E4]">
        <tpls c="1">
          <tpl fld="0" item="171"/>
        </tpls>
      </query>
      <query mdx="[Table1].[goal].&amp;[3.91E3]">
        <tpls c="1">
          <tpl fld="0" item="172"/>
        </tpls>
      </query>
      <query mdx="[Table1].[goal].&amp;[1.05E3]">
        <tpls c="1">
          <tpl fld="0" item="173"/>
        </tpls>
      </query>
      <query mdx="[Table1].[goal].&amp;[1.24E5]">
        <tpls c="1">
          <tpl fld="0" item="174"/>
        </tpls>
      </query>
      <query mdx="[Table1].[goal].&amp;[1.0557E4]">
        <tpls c="1">
          <tpl fld="0" item="175"/>
        </tpls>
      </query>
      <query mdx="[Table1].[goal].&amp;[2.8E2]">
        <tpls c="1">
          <tpl fld="0" item="176"/>
        </tpls>
      </query>
      <query mdx="[Table1].[goal].&amp;[2.3E4]">
        <tpls c="1">
          <tpl fld="0" item="177"/>
        </tpls>
      </query>
      <query mdx="[Table1].[goal].&amp;[6.9E3]">
        <tpls c="1">
          <tpl fld="0" item="178"/>
        </tpls>
      </query>
      <query mdx="[Table1].[goal].&amp;[2.22E3]">
        <tpls c="1">
          <tpl fld="0" item="179"/>
        </tpls>
      </query>
      <query mdx="[Table1].[goal].&amp;[2.25E2]">
        <tpls c="1">
          <tpl fld="0" item="180"/>
        </tpls>
      </query>
      <query mdx="[Table1].[goal].&amp;[1.35E6]">
        <tpls c="1">
          <tpl fld="0" item="181"/>
        </tpls>
      </query>
      <query mdx="[Table1].[goal].&amp;[3.8888E4]">
        <tpls c="1">
          <tpl fld="0" item="182"/>
        </tpls>
      </query>
      <query mdx="[Table1].[goal].&amp;[3.333E3]">
        <tpls c="1">
          <tpl fld="0" item="183"/>
        </tpls>
      </query>
      <query mdx="[Table1].[goal].&amp;[5.2E4]">
        <tpls c="1">
          <tpl fld="0" item="184"/>
        </tpls>
      </query>
      <query mdx="[Table1].[goal].&amp;[1.1E4]">
        <tpls c="1">
          <tpl fld="0" item="185"/>
        </tpls>
      </query>
      <query mdx="[Table1].[goal].&amp;[3.75E3]">
        <tpls c="1">
          <tpl fld="0" item="186"/>
        </tpls>
      </query>
      <query mdx="[Table1].[goal].&amp;[9.78E2]">
        <tpls c="1">
          <tpl fld="0" item="187"/>
        </tpls>
      </query>
      <query mdx="[Table1].[goal].&amp;[5.E5]">
        <tpls c="1">
          <tpl fld="0" item="188"/>
        </tpls>
      </query>
      <query mdx="[Table1].[goal].&amp;[2.25E4]">
        <tpls c="1">
          <tpl fld="0" item="189"/>
        </tpls>
      </query>
      <query mdx="[Table1].[goal].&amp;[2.725E3]">
        <tpls c="1">
          <tpl fld="0" item="190"/>
        </tpls>
      </query>
      <query mdx="[Table1].[goal].&amp;[1.E8]">
        <tpls c="1">
          <tpl fld="0" item="191"/>
        </tpls>
      </query>
      <query mdx="[Table1].[goal].&amp;[4.336E3]">
        <tpls c="1">
          <tpl fld="0" item="192"/>
        </tpls>
      </query>
      <query mdx="[Table1].[goal].&amp;[2.E4]">
        <tpls c="1">
          <tpl fld="0" item="193"/>
        </tpls>
      </query>
      <query mdx="[Table1].[goal].&amp;[3.1E3]">
        <tpls c="1">
          <tpl fld="0" item="194"/>
        </tpls>
      </query>
      <query mdx="[Table1].[outcomes].&amp;[successful]">
        <tpls c="1">
          <tpl fld="1" item="3"/>
        </tpls>
      </query>
      <query mdx="[Table1].[goal].&amp;[1.3111E4]">
        <tpls c="1">
          <tpl fld="0" item="195"/>
        </tpls>
      </query>
      <query mdx="[Table1].[goal].&amp;[3.64E4]">
        <tpls c="1">
          <tpl fld="0" item="196"/>
        </tpls>
      </query>
      <query mdx="[Table1].[goal].&amp;[4.589E3]">
        <tpls c="1">
          <tpl fld="0" item="197"/>
        </tpls>
      </query>
      <query mdx="[Table1].[goal].&amp;[3.47E2]">
        <tpls c="1">
          <tpl fld="0" item="198"/>
        </tpls>
      </query>
      <query mdx="[Table1].[goal].&amp;[6.75E3]">
        <tpls c="1">
          <tpl fld="0" item="199"/>
        </tpls>
      </query>
      <query mdx="[Table1].[goal].&amp;[2.6E4]">
        <tpls c="1">
          <tpl fld="0" item="200"/>
        </tpls>
      </query>
      <query mdx="[Table1].[goal].&amp;[3.675E3]">
        <tpls c="1">
          <tpl fld="0" item="201"/>
        </tpls>
      </query>
      <query mdx="[Table1].[goal].&amp;[7.E1]">
        <tpls c="1">
          <tpl fld="0" item="202"/>
        </tpls>
      </query>
      <query mdx="[Table1].[goal].&amp;[3.E6]">
        <tpls c="1">
          <tpl fld="0" item="203"/>
        </tpls>
      </query>
      <query mdx="[Table1].[goal].&amp;[3.78E3]">
        <tpls c="1">
          <tpl fld="0" item="204"/>
        </tpls>
      </query>
      <query mdx="[Table1].[goal].&amp;[1.8E4]">
        <tpls c="1">
          <tpl fld="0" item="205"/>
        </tpls>
      </query>
      <query mdx="[Table1].[goal].&amp;[2.8E3]">
        <tpls c="1">
          <tpl fld="0" item="206"/>
        </tpls>
      </query>
      <query mdx="[Table1].[goal].&amp;[1.895E4]">
        <tpls c="1">
          <tpl fld="0" item="207"/>
        </tpls>
      </query>
      <query mdx="[Table1].[goal].&amp;[4.5E4]">
        <tpls c="1">
          <tpl fld="0" item="208"/>
        </tpls>
      </query>
      <query mdx="[Table1].[goal].&amp;[5.4E3]">
        <tpls c="1">
          <tpl fld="0" item="209"/>
        </tpls>
      </query>
      <query mdx="[Table1].[goal].&amp;[5.E2]">
        <tpls c="1">
          <tpl fld="0" item="210"/>
        </tpls>
      </query>
      <query mdx="[Table1].[goal].&amp;[1.76E4]">
        <tpls c="1">
          <tpl fld="0" item="211"/>
        </tpls>
      </query>
      <query mdx="[Table1].[goal].&amp;[4.4E4]">
        <tpls c="1">
          <tpl fld="0" item="212"/>
        </tpls>
      </query>
      <query mdx="[Table1].[goal].&amp;[5.25E3]">
        <tpls c="1">
          <tpl fld="0" item="213"/>
        </tpls>
      </query>
      <query mdx="[Table1].[goal].&amp;[4.95E2]">
        <tpls c="1">
          <tpl fld="0" item="214"/>
        </tpls>
      </query>
      <query mdx="[Table1].[goal].&amp;[9.6E3]">
        <tpls c="1">
          <tpl fld="0" item="215"/>
        </tpls>
      </query>
      <query mdx="[Table1].[goal].&amp;[3.E4]">
        <tpls c="1">
          <tpl fld="0" item="216"/>
        </tpls>
      </query>
      <query mdx="[Table1].[goal].&amp;[3.999E3]">
        <tpls c="1">
          <tpl fld="0" item="217"/>
        </tpls>
      </query>
      <query mdx="[Table1].[goal].&amp;[1.53E2]">
        <tpls c="1">
          <tpl fld="0" item="218"/>
        </tpls>
      </query>
      <query mdx="[Table1].[goal].&amp;[5.7E4]">
        <tpls c="1">
          <tpl fld="0" item="219"/>
        </tpls>
      </query>
      <query mdx="[Table1].[goal].&amp;[1.16E5]">
        <tpls c="1">
          <tpl fld="0" item="220"/>
        </tpls>
      </query>
      <query mdx="[Table1].[goal].&amp;[7.9E3]">
        <tpls c="1">
          <tpl fld="0" item="221"/>
        </tpls>
      </query>
      <query mdx="[Table1].[goal].&amp;[1.07E3]">
        <tpls c="1">
          <tpl fld="0" item="222"/>
        </tpls>
      </query>
      <query mdx="[Table1].[goal].&amp;[8.947E5]">
        <tpls c="1">
          <tpl fld="0" item="223"/>
        </tpls>
      </query>
      <query mdx="[Table1].[goal].&amp;[3.25E4]">
        <tpls c="1">
          <tpl fld="0" item="224"/>
        </tpls>
      </query>
      <query mdx="[Table1].[goal].&amp;[2.995E3]">
        <tpls c="1">
          <tpl fld="0" item="225"/>
        </tpls>
      </query>
      <query mdx="[Table1].[goal].&amp;[4.425E4]">
        <tpls c="1">
          <tpl fld="0" item="226"/>
        </tpls>
      </query>
      <query mdx="[Table1].[goal].&amp;[1.E4]">
        <tpls c="1">
          <tpl fld="0" item="227"/>
        </tpls>
      </query>
      <query mdx="[Table1].[goal].&amp;[3.405E3]">
        <tpls c="1">
          <tpl fld="0" item="228"/>
        </tpls>
      </query>
      <query mdx="[Table1].[goal].&amp;[8.39E2]">
        <tpls c="1">
          <tpl fld="0" item="229"/>
        </tpls>
      </query>
      <query mdx="[Table1].[goal].&amp;[9.7E4]">
        <tpls c="1">
          <tpl fld="0" item="230"/>
        </tpls>
      </query>
      <query mdx="[Table1].[goal].&amp;[7.534E3]">
        <tpls c="1">
          <tpl fld="0" item="231"/>
        </tpls>
      </query>
      <query mdx="[Table1].[goal].&amp;[3.E5]">
        <tpls c="1">
          <tpl fld="0" item="232"/>
        </tpls>
      </query>
      <query mdx="[Table1].[goal].&amp;[1.9E4]">
        <tpls c="1">
          <tpl fld="0" item="233"/>
        </tpls>
      </query>
      <query mdx="[Table1].[goal].&amp;[5.8E3]">
        <tpls c="1">
          <tpl fld="0" item="234"/>
        </tpls>
      </query>
      <query mdx="[Table1].[goal].&amp;[1.8E3]">
        <tpls c="1">
          <tpl fld="0" item="235"/>
        </tpls>
      </query>
      <query mdx="[Table1].[goal].&amp;[1.E2]">
        <tpls c="1">
          <tpl fld="0" item="236"/>
        </tpls>
      </query>
      <query mdx="[Table1].[goal].&amp;[5.5E5]">
        <tpls c="1">
          <tpl fld="0" item="237"/>
        </tpls>
      </query>
      <query mdx="[Table1].[goal].&amp;[2.45E4]">
        <tpls c="1">
          <tpl fld="0" item="238"/>
        </tpls>
      </query>
      <query mdx="[Table1].[goal].&amp;[2.88E3]">
        <tpls c="1">
          <tpl fld="0" item="239"/>
        </tpls>
      </query>
      <query mdx="[Table1].[goal].&amp;[4.2E4]">
        <tpls c="1">
          <tpl fld="0" item="240"/>
        </tpls>
      </query>
      <query mdx="[Table1].[goal].&amp;[9.8E3]">
        <tpls c="1">
          <tpl fld="0" item="241"/>
        </tpls>
      </query>
      <query mdx="[Table1].[goal].&amp;[3.3E3]">
        <tpls c="1">
          <tpl fld="0" item="242"/>
        </tpls>
      </query>
      <query mdx="[Table1].[goal].&amp;[7.5E2]">
        <tpls c="1">
          <tpl fld="0" item="243"/>
        </tpls>
      </query>
      <query mdx="[Table1].[goal].&amp;[3.5E5]">
        <tpls c="1">
          <tpl fld="0" item="244"/>
        </tpls>
      </query>
      <query mdx="[Table1].[goal].&amp;[1.492E4]">
        <tpls c="1">
          <tpl fld="0" item="245"/>
        </tpls>
      </query>
      <query mdx="[Table1].[goal].&amp;[1.11E3]">
        <tpls c="1">
          <tpl fld="0" item="246"/>
        </tpls>
      </query>
      <query mdx="[Table1].[goal].&amp;[9.E5]">
        <tpls c="1">
          <tpl fld="0" item="247"/>
        </tpls>
      </query>
      <query mdx="[Table1].[goal].&amp;[3.152E3]">
        <tpls c="1">
          <tpl fld="0" item="248"/>
        </tpls>
      </query>
      <query mdx="[Table1].[goal].&amp;[1.55E4]">
        <tpls c="1">
          <tpl fld="0" item="249"/>
        </tpls>
      </query>
      <query mdx="[Table1].[goal].&amp;[2.468E3]">
        <tpls c="1">
          <tpl fld="0" item="250"/>
        </tpls>
      </query>
      <query mdx="[Table1].[goal].&amp;[8.8E3]">
        <tpls c="1">
          <tpl fld="0" item="251"/>
        </tpls>
      </query>
      <query mdx="[Table1].[goal].&amp;[2.65E4]">
        <tpls c="1">
          <tpl fld="0" item="252"/>
        </tpls>
      </query>
      <query mdx="[Table1].[goal].&amp;[3.7E3]">
        <tpls c="1">
          <tpl fld="0" item="253"/>
        </tpls>
      </query>
      <query mdx="[Table1].[goal].&amp;[1.01E2]">
        <tpls c="1">
          <tpl fld="0" item="254"/>
        </tpls>
      </query>
      <query mdx="[Table1].[goal].&amp;[6.E6]">
        <tpls c="1">
          <tpl fld="0" item="255"/>
        </tpls>
      </query>
      <query mdx="[Table1].[goal].&amp;[3.9E3]">
        <tpls c="1">
          <tpl fld="0" item="256"/>
        </tpls>
      </query>
      <query mdx="[Table1].[goal].&amp;[1.85E4]">
        <tpls c="1">
          <tpl fld="0" item="257"/>
        </tpls>
      </query>
      <query mdx="[Table1].[goal].&amp;[2.9E3]">
        <tpls c="1">
          <tpl fld="0" item="258"/>
        </tpls>
      </query>
      <query mdx="[Table1].[goal].&amp;[4.749E5]">
        <tpls c="1">
          <tpl fld="0" item="259"/>
        </tpls>
      </query>
      <query mdx="[Table1].[goal].&amp;[2.413E3]">
        <tpls c="1">
          <tpl fld="0" item="260"/>
        </tpls>
      </query>
      <query mdx="[Table1].[goal].&amp;[1.3E4]">
        <tpls c="1">
          <tpl fld="0" item="261"/>
        </tpls>
      </query>
      <query mdx="[Table1].[goal].&amp;[2.35E3]">
        <tpls c="1">
          <tpl fld="0" item="262"/>
        </tpls>
      </query>
      <query mdx="[Table1].[goal].&amp;[1.12E4]">
        <tpls c="1">
          <tpl fld="0" item="263"/>
        </tpls>
      </query>
      <query mdx="[Table1].[goal].&amp;[3.2E4]">
        <tpls c="1">
          <tpl fld="0" item="264"/>
        </tpls>
      </query>
      <query mdx="[Table1].[goal].&amp;[4.2E3]">
        <tpls c="1">
          <tpl fld="0" item="265"/>
        </tpls>
      </query>
      <query mdx="[Table1].[goal].&amp;[2.5E2]">
        <tpls c="1">
          <tpl fld="0" item="266"/>
        </tpls>
      </query>
      <query mdx="[Table1].[goal].&amp;[1.114E4]">
        <tpls c="1">
          <tpl fld="0" item="267"/>
        </tpls>
      </query>
      <query mdx="[Table1].[goal].&amp;[3.1E4]">
        <tpls c="1">
          <tpl fld="0" item="268"/>
        </tpls>
      </query>
      <query mdx="[Table1].[goal].&amp;[4.E3]">
        <tpls c="1">
          <tpl fld="0" item="269"/>
        </tpls>
      </query>
      <query mdx="[Table1].[goal].&amp;[2.E2]">
        <tpls c="1">
          <tpl fld="0" item="270"/>
        </tpls>
      </query>
      <query mdx="[Table1].[goal].&amp;[5.05E3]">
        <tpls c="1">
          <tpl fld="0" item="271"/>
        </tpls>
      </query>
      <query mdx="[Table1].[goal].&amp;[2.2E4]">
        <tpls c="1">
          <tpl fld="0" item="272"/>
        </tpls>
      </query>
      <query mdx="[Table1].[goal].&amp;[3.25E3]">
        <tpls c="1">
          <tpl fld="0" item="273"/>
        </tpls>
      </query>
      <query mdx="[Table1].[goal].&amp;[1.E1]">
        <tpls c="1">
          <tpl fld="0" item="274"/>
        </tpls>
      </query>
      <query mdx="[Table1].[goal].&amp;[3.55E4]">
        <tpls c="1">
          <tpl fld="0" item="275"/>
        </tpls>
      </query>
      <query mdx="[Table1].[goal].&amp;[6.5E4]">
        <tpls c="1">
          <tpl fld="0" item="276"/>
        </tpls>
      </query>
      <query mdx="[Table1].[goal].&amp;[6.35E3]">
        <tpls c="1">
          <tpl fld="0" item="277"/>
        </tpls>
      </query>
      <query mdx="[Table1].[goal].&amp;[7.4E2]">
        <tpls c="1">
          <tpl fld="0" item="278"/>
        </tpls>
      </query>
      <query mdx="[Table1].[goal].&amp;[1.999E3]">
        <tpls c="1">
          <tpl fld="0" item="279"/>
        </tpls>
      </query>
      <query mdx="[Table1].[goal].&amp;[7.8E2]">
        <tpls c="1">
          <tpl fld="0" item="280"/>
        </tpls>
      </query>
      <query mdx="[Table1].[goal].&amp;[2.987E3]">
        <tpls c="1">
          <tpl fld="0" item="281"/>
        </tpls>
      </query>
      <query mdx="[Table1].[goal].&amp;[1.5E6]">
        <tpls c="1">
          <tpl fld="0" item="282"/>
        </tpls>
      </query>
      <query mdx="[Table1].[goal].&amp;[7.8E4]">
        <tpls c="1">
          <tpl fld="0" item="283"/>
        </tpls>
      </query>
      <query mdx="[Table1].[goal].&amp;[1.55E3]">
        <tpls c="1">
          <tpl fld="0" item="284"/>
        </tpls>
      </query>
      <query mdx="[Table1].[goal].&amp;[1.2E5]">
        <tpls c="1">
          <tpl fld="0" item="285"/>
        </tpls>
      </query>
      <query mdx="[Table1].[goal].&amp;[2.78E4]">
        <tpls c="1">
          <tpl fld="0" item="286"/>
        </tpls>
      </query>
      <query mdx="[Table1].[goal].&amp;[6.E2]">
        <tpls c="1">
          <tpl fld="0" item="287"/>
        </tpls>
      </query>
      <query mdx="[Table1].[goal].&amp;[5.3E2]">
        <tpls c="1">
          <tpl fld="0" item="288"/>
        </tpls>
      </query>
      <query mdx="[Table1].[goal].&amp;[1.E5]">
        <tpls c="1">
          <tpl fld="0" item="289"/>
        </tpls>
      </query>
      <query mdx="[Table1].[goal].&amp;[1.95E4]">
        <tpls c="1">
          <tpl fld="0" item="290"/>
        </tpls>
      </query>
      <query mdx="[Table1].[goal].&amp;[1.05E4]">
        <tpls c="1">
          <tpl fld="0" item="291"/>
        </tpls>
      </query>
      <query mdx="[Table1].[goal].&amp;[8.E4]">
        <tpls c="1">
          <tpl fld="0" item="292"/>
        </tpls>
      </query>
      <query mdx="[Table1].[goal].&amp;[5.999E3]">
        <tpls c="1">
          <tpl fld="0" item="293"/>
        </tpls>
      </query>
      <query mdx="[Table1].[goal].&amp;[2.25E3]">
        <tpls c="1">
          <tpl fld="0" item="294"/>
        </tpls>
      </query>
      <query mdx="[Table1].[goal].&amp;[2.24E4]">
        <tpls c="1">
          <tpl fld="0" item="295"/>
        </tpls>
      </query>
      <query mdx="[Table1].[goal].&amp;[3.72625E5]">
        <tpls c="1">
          <tpl fld="0" item="296"/>
        </tpls>
      </query>
      <query mdx="[Table1].[goal].&amp;[2.658E3]">
        <tpls c="1">
          <tpl fld="0" item="297"/>
        </tpls>
      </query>
      <query mdx="[Table1].[goal].&amp;[4.7E3]">
        <tpls c="1">
          <tpl fld="0" item="298"/>
        </tpls>
      </query>
      <query mdx="[Table1].[goal].&amp;[4.5E5]">
        <tpls c="1">
          <tpl fld="0" item="299"/>
        </tpls>
      </query>
      <query mdx="[Table1].[goal].&amp;[2.4E5]">
        <tpls c="1">
          <tpl fld="0" item="300"/>
        </tpls>
      </query>
      <query mdx="[Table1].[goal].&amp;[3.5E4]">
        <tpls c="1">
          <tpl fld="0" item="301"/>
        </tpls>
      </query>
      <query mdx="[Table1].[goal].&amp;[2.3E3]">
        <tpls c="1">
          <tpl fld="0" item="302"/>
        </tpls>
      </query>
      <query mdx="[Table1].[goal].&amp;[5.1E4]">
        <tpls c="1">
          <tpl fld="0" item="303"/>
        </tpls>
      </query>
      <query mdx="[Table1].[goal].&amp;[1.635E4]">
        <tpls c="1">
          <tpl fld="0" item="304"/>
        </tpls>
      </query>
      <query mdx="[Table1].[goal].&amp;[9.99E2]">
        <tpls c="1">
          <tpl fld="0" item="305"/>
        </tpls>
      </query>
      <query mdx="[Table1].[goal].&amp;[1.27E4]">
        <tpls c="1">
          <tpl fld="0" item="306"/>
        </tpls>
      </query>
      <query mdx="[Table1].[goal].&amp;[8.5E3]">
        <tpls c="1">
          <tpl fld="0" item="307"/>
        </tpls>
      </query>
      <query mdx="[Table1].[goal].&amp;[2.2E2]">
        <tpls c="1">
          <tpl fld="0" item="308"/>
        </tpls>
      </query>
      <query mdx="[Table1].[goal].&amp;[1.72889E5]">
        <tpls c="1">
          <tpl fld="0" item="309"/>
        </tpls>
      </query>
      <query mdx="[Table1].[goal].&amp;[9.072E3]">
        <tpls c="1">
          <tpl fld="0" item="310"/>
        </tpls>
      </query>
      <query mdx="[Table1].[goal].&amp;[2.5E7]">
        <tpls c="1">
          <tpl fld="0" item="311"/>
        </tpls>
      </query>
      <query mdx="[Table1].[goal].&amp;[1.06E4]">
        <tpls c="1">
          <tpl fld="0" item="312"/>
        </tpls>
      </query>
      <query mdx="[Table1].[goal].&amp;[1.75E5]">
        <tpls c="1">
          <tpl fld="0" item="313"/>
        </tpls>
      </query>
      <query mdx="[Table1].[goal].&amp;[2.4E3]">
        <tpls c="1">
          <tpl fld="0" item="314"/>
        </tpls>
      </query>
      <query mdx="[Table1].[goal].&amp;[8.4E3]">
        <tpls c="1">
          <tpl fld="0" item="315"/>
        </tpls>
      </query>
      <query mdx="[Table1].[goal].&amp;[2.224E3]">
        <tpls c="1">
          <tpl fld="0" item="316"/>
        </tpls>
      </query>
      <query mdx="[Table1].[goal].&amp;[1.2444E4]">
        <tpls c="1">
          <tpl fld="0" item="317"/>
        </tpls>
      </query>
      <query mdx="[Table1].[goal].&amp;[3.274E3]">
        <tpls c="1">
          <tpl fld="0" item="318"/>
        </tpls>
      </query>
      <query mdx="[Table1].[goal].&amp;[1.551E3]">
        <tpls c="1">
          <tpl fld="0" item="319"/>
        </tpls>
      </query>
      <query mdx="[Table1].[goal].&amp;[1.444E4]">
        <tpls c="1">
          <tpl fld="0" item="320"/>
        </tpls>
      </query>
      <query mdx="[Table1].[goal].&amp;[3.2E3]">
        <tpls c="1">
          <tpl fld="0" item="321"/>
        </tpls>
      </query>
      <query mdx="[Table1].[goal].&amp;[1.33E5]">
        <tpls c="1">
          <tpl fld="0" item="322"/>
        </tpls>
      </query>
      <query mdx="[Table1].[goal].&amp;[2.8888E4]">
        <tpls c="1">
          <tpl fld="0" item="323"/>
        </tpls>
      </query>
      <query mdx="[Table1].[goal].&amp;[6.6E2]">
        <tpls c="1">
          <tpl fld="0" item="324"/>
        </tpls>
      </query>
      <query mdx="[Table1].[goal].&amp;[3.9E4]">
        <tpls c="1">
          <tpl fld="0" item="325"/>
        </tpls>
      </query>
      <query mdx="[Table1].[goal].&amp;[1.28E4]">
        <tpls c="1">
          <tpl fld="0" item="326"/>
        </tpls>
      </query>
      <query mdx="[Table1].[goal].&amp;[5.]">
        <tpls c="1">
          <tpl fld="0" item="327"/>
        </tpls>
      </query>
      <query mdx="[Table1].[goal].&amp;[1.0115E4]">
        <tpls c="1">
          <tpl fld="0" item="328"/>
        </tpls>
      </query>
      <query mdx="[Table1].[goal].&amp;[7.75E3]">
        <tpls c="1">
          <tpl fld="0" item="329"/>
        </tpls>
      </query>
      <query mdx="[Table1].[goal].&amp;[1.89E4]">
        <tpls c="1">
          <tpl fld="0" item="330"/>
        </tpls>
      </query>
      <query mdx="[Table1].[goal].&amp;[2.42E4]">
        <tpls c="1">
          <tpl fld="0" item="331"/>
        </tpls>
      </query>
      <query mdx="[Table1].[goal].&amp;[4.51E2]">
        <tpls c="1">
          <tpl fld="0" item="332"/>
        </tpls>
      </query>
      <query mdx="[Table1].[goal].&amp;[5.2E3]">
        <tpls c="1">
          <tpl fld="0" item="333"/>
        </tpls>
      </query>
      <query mdx="[Table1].[goal].&amp;[1.126E4]">
        <tpls c="1">
          <tpl fld="0" item="334"/>
        </tpls>
      </query>
      <query mdx="[Table1].[goal].&amp;[1.85E3]">
        <tpls c="1">
          <tpl fld="0" item="335"/>
        </tpls>
      </query>
      <query mdx="[Table1].[goal].&amp;[1.118E4]">
        <tpls c="1">
          <tpl fld="0" item="336"/>
        </tpls>
      </query>
      <query mdx="[Table1].[goal].&amp;[2.6E3]">
        <tpls c="1">
          <tpl fld="0" item="337"/>
        </tpls>
      </query>
      <query mdx="[Table1].[goal].&amp;[5.5E4]">
        <tpls c="1">
          <tpl fld="0" item="338"/>
        </tpls>
      </query>
      <query mdx="[Table1].[goal].&amp;[1.687E4]">
        <tpls c="1">
          <tpl fld="0" item="339"/>
        </tpls>
      </query>
      <query mdx="[Table1].[goal].&amp;[2.2E3]">
        <tpls c="1">
          <tpl fld="0" item="340"/>
        </tpls>
      </query>
      <query mdx="[Table1].[goal].&amp;[1.2001E4]">
        <tpls c="1">
          <tpl fld="0" item="341"/>
        </tpls>
      </query>
      <query mdx="[Table1].[goal].&amp;[2.E1]">
        <tpls c="1">
          <tpl fld="0" item="342"/>
        </tpls>
      </query>
      <query mdx="[Table1].[goal].&amp;[8.5E5]">
        <tpls c="1">
          <tpl fld="0" item="343"/>
        </tpls>
      </query>
      <query mdx="[Table1].[goal].&amp;[1.9E3]">
        <tpls c="1">
          <tpl fld="0" item="344"/>
        </tpls>
      </query>
      <query mdx="[Table1].[goal].&amp;[1.45E4]">
        <tpls c="1">
          <tpl fld="0" item="345"/>
        </tpls>
      </query>
      <query mdx="[Table1].[goal].&amp;[1.4E5]">
        <tpls c="1">
          <tpl fld="0" item="346"/>
        </tpls>
      </query>
      <query mdx="[Table1].[goal].&amp;[1.328E3]">
        <tpls c="1">
          <tpl fld="0" item="347"/>
        </tpls>
      </query>
      <query mdx="[Table1].[goal].&amp;[4.62E5]">
        <tpls c="1">
          <tpl fld="0" item="348"/>
        </tpls>
      </query>
      <query mdx="[Table1].[goal].&amp;[5.6E3]">
        <tpls c="1">
          <tpl fld="0" item="349"/>
        </tpls>
      </query>
      <query mdx="[Table1].[goal].&amp;[1.68E3]">
        <tpls c="1">
          <tpl fld="0" item="350"/>
        </tpls>
      </query>
      <query mdx="[Table1].[goal].&amp;[4.5E2]">
        <tpls c="1">
          <tpl fld="0" item="351"/>
        </tpls>
      </query>
      <query mdx="[Table1].[goal].&amp;[3.E2]">
        <tpls c="1">
          <tpl fld="0" item="352"/>
        </tpls>
      </query>
      <query mdx="[Table1].[goal].&amp;[4.9E3]">
        <tpls c="1">
          <tpl fld="0" item="353"/>
        </tpls>
      </query>
      <query mdx="[Table1].[goal].&amp;[6.66E2]">
        <tpls c="1">
          <tpl fld="0" item="354"/>
        </tpls>
      </query>
      <query mdx="[Table1].[goal].&amp;[4.E2]">
        <tpls c="1">
          <tpl fld="0" item="355"/>
        </tpls>
      </query>
      <query mdx="[Table1].[goal].&amp;[9.3E3]">
        <tpls c="1">
          <tpl fld="0" item="356"/>
        </tpls>
      </query>
      <query mdx="[Table1].[goal].&amp;[1.15E4]">
        <tpls c="1">
          <tpl fld="0" item="357"/>
        </tpls>
      </query>
      <query mdx="[Table1].[goal].&amp;[2.25E5]">
        <tpls c="1">
          <tpl fld="0" item="358"/>
        </tpls>
      </query>
      <query mdx="[Table1].[goal].&amp;[8.75E3]">
        <tpls c="1">
          <tpl fld="0" item="359"/>
        </tpls>
      </query>
      <query mdx="[Table1].[goal].&amp;[9.E4]">
        <tpls c="1">
          <tpl fld="0" item="360"/>
        </tpls>
      </query>
      <query mdx="[Table1].[goal].&amp;[9.E2]">
        <tpls c="1">
          <tpl fld="0" item="361"/>
        </tpls>
      </query>
      <query mdx="[Table1].[goal].&amp;[3.759E3]">
        <tpls c="1">
          <tpl fld="0" item="362"/>
        </tpls>
      </query>
      <query mdx="[Table1].[goal].&amp;[3.495E3]">
        <tpls c="1">
          <tpl fld="0" item="363"/>
        </tpls>
      </query>
      <query mdx="[Table1].[goal].&amp;[1.99E2]">
        <tpls c="1">
          <tpl fld="0" item="364"/>
        </tpls>
      </query>
      <query mdx="[Table1].[goal].[All]">
        <tpls c="1">
          <tpl hier="4" item="4294967295"/>
        </tpls>
      </query>
      <query mdx="[Table1].[goal].&amp;[1.5E2]">
        <tpls c="1">
          <tpl fld="0" item="365"/>
        </tpls>
      </query>
      <query mdx="[Table1].[goal].&amp;[4.4E3]">
        <tpls c="1">
          <tpl fld="0" item="366"/>
        </tpls>
      </query>
      <query mdx="[Table1].[goal].&amp;[2.7E2]">
        <tpls c="1">
          <tpl fld="0" item="367"/>
        </tpls>
      </query>
      <query mdx="[Table1].[goal].&amp;[6.3E3]">
        <tpls c="1">
          <tpl fld="0" item="368"/>
        </tpls>
      </query>
      <query mdx="[Table1].[goal].&amp;[7.501E3]">
        <tpls c="1">
          <tpl fld="0" item="369"/>
        </tpls>
      </query>
      <query mdx="[Table1].[goal].&amp;[4.19E3]">
        <tpls c="1">
          <tpl fld="0" item="370"/>
        </tpls>
      </query>
      <query mdx="[Table1].[goal].&amp;[1.7E3]">
        <tpls c="1">
          <tpl fld="0" item="371"/>
        </tpls>
      </query>
      <query mdx="[Table1].[goal].&amp;[4.626E4]">
        <tpls c="1">
          <tpl fld="0" item="372"/>
        </tpls>
      </query>
      <query mdx="[Table1].[goal].&amp;[2.4E4]">
        <tpls c="1">
          <tpl fld="0" item="373"/>
        </tpls>
      </query>
      <query mdx="[Table1].[goal].&amp;[1.93E3]">
        <tpls c="1">
          <tpl fld="0" item="374"/>
        </tpls>
      </query>
      <query mdx="[Table1].[goal].&amp;[1.67E4]">
        <tpls c="1">
          <tpl fld="0" item="375"/>
        </tpls>
      </query>
      <query mdx="[Table1].[goal].&amp;[9.041E3]">
        <tpls c="1">
          <tpl fld="0" item="376"/>
        </tpls>
      </query>
      <query mdx="[Table1].[goal].&amp;[1.35E4]">
        <tpls c="1">
          <tpl fld="0" item="377"/>
        </tpls>
      </query>
      <query mdx="[Table1].[goal].&amp;[5.15E2]">
        <tpls c="1">
          <tpl fld="0" item="378"/>
        </tpls>
      </query>
      <query mdx="[Table1].[goal].&amp;[8.2E4]">
        <tpls c="1">
          <tpl fld="0" item="379"/>
        </tpls>
      </query>
      <query mdx="[Table1].[goal].&amp;[1.3E3]">
        <tpls c="1">
          <tpl fld="0" item="380"/>
        </tpls>
      </query>
      <query mdx="[Table1].[goal].&amp;[2.2765E4]">
        <tpls c="1">
          <tpl fld="0" item="381"/>
        </tpls>
      </query>
      <query mdx="[Table1].[goal].&amp;[2.8E5]">
        <tpls c="1">
          <tpl fld="0" item="382"/>
        </tpls>
      </query>
      <query mdx="[Table1].[goal].&amp;[1.4E3]">
        <tpls c="1">
          <tpl fld="0" item="383"/>
        </tpls>
      </query>
      <query mdx="[Table1].[goal].&amp;[7.77E2]">
        <tpls c="1">
          <tpl fld="0" item="384"/>
        </tpls>
      </query>
      <query mdx="[Table1].[goal].&amp;[9.4875E4]">
        <tpls c="1">
          <tpl fld="0" item="385"/>
        </tpls>
      </query>
      <query mdx="[Table1].[goal].&amp;[2.E5]">
        <tpls c="1">
          <tpl fld="0" item="386"/>
        </tpls>
      </query>
      <query mdx="[Table1].[goal].&amp;[1.25E4]">
        <tpls c="1">
          <tpl fld="0" item="387"/>
        </tpls>
      </query>
      <query mdx="[Table1].[goal].&amp;[3.4E3]">
        <tpls c="1">
          <tpl fld="0" item="388"/>
        </tpls>
      </query>
      <query mdx="[Table1].[goal].&amp;[9.665E3]">
        <tpls c="1">
          <tpl fld="0" item="389"/>
        </tpls>
      </query>
      <query mdx="[Table1].[goal].&amp;[3.8E4]">
        <tpls c="1">
          <tpl fld="0" item="390"/>
        </tpls>
      </query>
      <query mdx="[Table1].[goal].&amp;[8.925E3]">
        <tpls c="1">
          <tpl fld="0" item="391"/>
        </tpls>
      </query>
      <query mdx="[Table1].[goal].&amp;[4.1E3]">
        <tpls c="1">
          <tpl fld="0" item="392"/>
        </tpls>
      </query>
      <query mdx="[Table1].[goal].&amp;[6.7E3]">
        <tpls c="1">
          <tpl fld="0" item="393"/>
        </tpls>
      </query>
      <query mdx="[Table1].[goal].&amp;[1.09225E5]">
        <tpls c="1">
          <tpl fld="0" item="394"/>
        </tpls>
      </query>
      <query mdx="[Table1].[goal].&amp;[1.E3]">
        <tpls c="1">
          <tpl fld="0" item="395"/>
        </tpls>
      </query>
      <query mdx="[Table1].[goal].&amp;[1.5E4]">
        <tpls c="1">
          <tpl fld="0" item="396"/>
        </tpls>
      </query>
      <query mdx="[Table1].[goal].&amp;[2.825E3]">
        <tpls c="1">
          <tpl fld="0" item="397"/>
        </tpls>
      </query>
      <query mdx="[Table1].[goal].&amp;[1.0275E4]">
        <tpls c="1">
          <tpl fld="0" item="398"/>
        </tpls>
      </query>
      <query mdx="[Table1].[goal].&amp;[3.5E3]">
        <tpls c="1">
          <tpl fld="0" item="399"/>
        </tpls>
      </query>
      <query mdx="[Table1].[goal].&amp;[2.7E3]">
        <tpls c="1">
          <tpl fld="0" item="400"/>
        </tpls>
      </query>
      <query mdx="[Table1].[goal].&amp;[2.001E3]">
        <tpls c="1">
          <tpl fld="0" item="401"/>
        </tpls>
      </query>
      <query mdx="[Table1].[goal].&amp;[2.845E4]">
        <tpls c="1">
          <tpl fld="0" item="402"/>
        </tpls>
      </query>
      <query mdx="[Table1].[goal].&amp;[3.423E3]">
        <tpls c="1">
          <tpl fld="0" item="403"/>
        </tpls>
      </query>
      <query mdx="[Table1].[goal].&amp;[9.11E2]">
        <tpls c="1">
          <tpl fld="0" item="404"/>
        </tpls>
      </query>
      <query mdx="[Table1].[goal].&amp;[5.75E2]">
        <tpls c="1">
          <tpl fld="0" item="405"/>
        </tpls>
      </query>
      <query mdx="[Table1].[goal].&amp;[3.9E5]">
        <tpls c="1">
          <tpl fld="0" item="406"/>
        </tpls>
      </query>
      <query mdx="[Table1].[goal].&amp;[1.26E5]">
        <tpls c="1">
          <tpl fld="0" item="407"/>
        </tpls>
      </query>
      <query mdx="[Table1].[goal].&amp;[1.96447E3]">
        <tpls c="1">
          <tpl fld="0" item="408"/>
        </tpls>
      </query>
      <query mdx="[Table1].[goal].&amp;[2.5E5]">
        <tpls c="1">
          <tpl fld="0" item="409"/>
        </tpls>
      </query>
      <query mdx="[Table1].[goal].&amp;[1.7482E4]">
        <tpls c="1">
          <tpl fld="0" item="410"/>
        </tpls>
      </query>
      <query mdx="[Table1].[goal].&amp;[3.8E3]">
        <tpls c="1">
          <tpl fld="0" item="411"/>
        </tpls>
      </query>
      <query mdx="[Table1].[goal].&amp;[1.385E3]">
        <tpls c="1">
          <tpl fld="0" item="412"/>
        </tpls>
      </query>
      <query mdx="[Table1].[goal].&amp;[2.8E6]">
        <tpls c="1">
          <tpl fld="0" item="413"/>
        </tpls>
      </query>
      <query mdx="[Table1].[goal].&amp;[2.1E3]">
        <tpls c="1">
          <tpl fld="0" item="414"/>
        </tpls>
      </query>
      <query mdx="[Table1].[goal].&amp;[3.75E5]">
        <tpls c="1">
          <tpl fld="0" item="415"/>
        </tpls>
      </query>
      <query mdx="[Table1].[goal].&amp;[1.75E4]">
        <tpls c="1">
          <tpl fld="0" item="416"/>
        </tpls>
      </query>
      <query mdx="[Table1].[goal].&amp;[2.5E1]">
        <tpls c="1">
          <tpl fld="0" item="417"/>
        </tpls>
      </query>
      <query mdx="[Table1].[goal].&amp;[1.8E5]">
        <tpls c="1">
          <tpl fld="0" item="418"/>
        </tpls>
      </query>
      <query mdx="[Table1].[goal].&amp;[1.1525E5]">
        <tpls c="1">
          <tpl fld="0" item="419"/>
        </tpls>
      </query>
      <query mdx="[Table1].[goal].&amp;[2.888E3]">
        <tpls c="1">
          <tpl fld="0" item="420"/>
        </tpls>
      </query>
      <query mdx="[Table1].[goal].&amp;[2.75E3]">
        <tpls c="1">
          <tpl fld="0" item="421"/>
        </tpls>
      </query>
      <query mdx="[Table1].[goal].&amp;[8.E3]">
        <tpls c="1">
          <tpl fld="0" item="422"/>
        </tpls>
      </query>
      <query mdx="[Table1].[goal].&amp;[3.2768E4]">
        <tpls c="1">
          <tpl fld="0" item="423"/>
        </tpls>
      </query>
      <query mdx="[Table1].[goal].&amp;[9.35E4]">
        <tpls c="1">
          <tpl fld="0" item="424"/>
        </tpls>
      </query>
      <query mdx="[Table1].[goal].&amp;[3.E3]">
        <tpls c="1">
          <tpl fld="0" item="425"/>
        </tpls>
      </query>
      <query mdx="[Table1].[goal].&amp;[5.25E2]">
        <tpls c="1">
          <tpl fld="0" item="426"/>
        </tpls>
      </query>
      <query mdx="[Table1].[goal].&amp;[4.E1]">
        <tpls c="1">
          <tpl fld="0" item="427"/>
        </tpls>
      </query>
      <query mdx="[Table1].[goal].&amp;[1.333666E6]">
        <tpls c="1">
          <tpl fld="0" item="428"/>
        </tpls>
      </query>
      <query mdx="[Table1].[goal].&amp;[4.48E3]">
        <tpls c="1">
          <tpl fld="0" item="429"/>
        </tpls>
      </query>
      <query mdx="[Table1].[goal].&amp;[1.E7]">
        <tpls c="1">
          <tpl fld="0" item="430"/>
        </tpls>
      </query>
      <query mdx="[Table1].[goal].&amp;[2.5E3]">
        <tpls c="1">
          <tpl fld="0" item="431"/>
        </tpls>
      </query>
      <query mdx="[Table1].[goal].&amp;[5.6E4]">
        <tpls c="1">
          <tpl fld="0" item="432"/>
        </tpls>
      </query>
      <query mdx="[Table1].[goal].&amp;[5.1E5]">
        <tpls c="1">
          <tpl fld="0" item="433"/>
        </tpls>
      </query>
      <query mdx="[Table1].[goal].&amp;[1.65E3]">
        <tpls c="1">
          <tpl fld="0" item="434"/>
        </tpls>
      </query>
      <query mdx="[Table1].[goal].&amp;[2.E6]">
        <tpls c="1">
          <tpl fld="0" item="435"/>
        </tpls>
      </query>
      <query mdx="[Table1].[goal].&amp;[1.22E4]">
        <tpls c="1">
          <tpl fld="0" item="436"/>
        </tpls>
      </query>
      <query mdx="[Table1].[goal].&amp;[3.95E3]">
        <tpls c="1">
          <tpl fld="0" item="437"/>
        </tpls>
      </query>
      <query mdx="[Table1].[goal].&amp;[1.28E2]">
        <tpls c="1">
          <tpl fld="0" item="438"/>
        </tpls>
      </query>
      <query mdx="[Table1].[goal].&amp;[2.45E3]">
        <tpls c="1">
          <tpl fld="0" item="439"/>
        </tpls>
      </query>
      <query mdx="[Table1].[goal].&amp;[7.2E3]">
        <tpls c="1">
          <tpl fld="0" item="440"/>
        </tpls>
      </query>
      <query mdx="[Table1].[goal].&amp;[1.17E5]">
        <tpls c="1">
          <tpl fld="0" item="441"/>
        </tpls>
      </query>
      <query mdx="[Table1].[goal].&amp;[2.1E4]">
        <tpls c="1">
          <tpl fld="0" item="442"/>
        </tpls>
      </query>
      <query mdx="[Table1].[goal].&amp;[7.E3]">
        <tpls c="1">
          <tpl fld="0" item="443"/>
        </tpls>
      </query>
      <query mdx="[Table1].[goal].&amp;[2.82E3]">
        <tpls c="1">
          <tpl fld="0" item="444"/>
        </tpls>
      </query>
    </queryCache>
  </tupleCache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ave" refreshedDate="44609.614233912034" createdVersion="5" refreshedVersion="7" minRefreshableVersion="3" recordCount="0" supportSubquery="1" supportAdvancedDrill="1" xr:uid="{8F97FB73-5F94-47E3-9980-5C8443AAC675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4">
    <cacheField name="[Table1].[Launched (Year)].[Launched (Year)]" caption="Launched (Year)" numFmtId="0" hierarchy="20" level="1">
      <sharedItems count="9">
        <s v="2009"/>
        <s v="2010"/>
        <s v="2011"/>
        <s v="2012"/>
        <s v="2013"/>
        <s v="2014"/>
        <s v="2015"/>
        <s v="2016"/>
        <s v="2017"/>
      </sharedItems>
    </cacheField>
    <cacheField name="[Table1].[Launched (Month)].[Launched (Month)]" caption="Launched (Month)" numFmtId="0" hierarchy="22" level="1">
      <sharedItems count="12">
        <s v="May"/>
        <s v="Jul"/>
        <s v="Aug"/>
        <s v="Sep"/>
        <s v="Oct"/>
        <s v="Nov"/>
        <s v="Jan"/>
        <s v="Feb"/>
        <s v="Mar"/>
        <s v="Apr"/>
        <s v="Jun"/>
        <s v="Dec"/>
      </sharedItems>
    </cacheField>
    <cacheField name="[Measures].[Count of outcomes]" caption="Count of outcomes" numFmtId="0" hierarchy="26" level="32767"/>
    <cacheField name="[Table1].[outcomes].[outcomes]" caption="outcomes" numFmtId="0" hierarchy="5" level="1">
      <sharedItems count="4">
        <s v="canceled"/>
        <s v="failed"/>
        <s v="live"/>
        <s v="successful"/>
      </sharedItems>
    </cacheField>
  </cacheFields>
  <cacheHierarchies count="38">
    <cacheHierarchy uniqueName="[Table1].[id]" caption="id" attribute="1" defaultMemberUniqueName="[Table1].[id].[All]" allUniqueName="[Table1].[id].[All]" dimensionUniqueName="[Table1]" displayFolder="" count="0" memberValueDatatype="20" unbalanced="0"/>
    <cacheHierarchy uniqueName="[Table1].[name]" caption="name" attribute="1" defaultMemberUniqueName="[Table1].[name].[All]" allUniqueName="[Table1].[name].[All]" dimensionUniqueName="[Table1]" displayFolder="" count="0" memberValueDatatype="130" unbalanced="0"/>
    <cacheHierarchy uniqueName="[Table1].[blurb]" caption="blurb" attribute="1" defaultMemberUniqueName="[Table1].[blurb].[All]" allUniqueName="[Table1].[blurb].[All]" dimensionUniqueName="[Table1]" displayFolder="" count="0" memberValueDatatype="130" unbalanced="0"/>
    <cacheHierarchy uniqueName="[Table1].[goal]" caption="goal" attribute="1" defaultMemberUniqueName="[Table1].[goal].[All]" allUniqueName="[Table1].[goal].[All]" dimensionUniqueName="[Table1]" displayFolder="" count="0" memberValueDatatype="5" unbalanced="0"/>
    <cacheHierarchy uniqueName="[Table1].[pledged]" caption="pledged" attribute="1" defaultMemberUniqueName="[Table1].[pledged].[All]" allUniqueName="[Table1].[pledged].[All]" dimensionUniqueName="[Table1]" displayFolder="" count="0" memberValueDatatype="5" unbalanced="0"/>
    <cacheHierarchy uniqueName="[Table1].[outcomes]" caption="outcomes" attribute="1" defaultMemberUniqueName="[Table1].[outcomes].[All]" allUniqueName="[Table1].[outcomes].[All]" dimensionUniqueName="[Table1]" displayFolder="" count="2" memberValueDatatype="130" unbalanced="0">
      <fieldsUsage count="2">
        <fieldUsage x="-1"/>
        <fieldUsage x="3"/>
      </fieldsUsage>
    </cacheHierarchy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currency]" caption="currency" attribute="1" defaultMemberUniqueName="[Table1].[currency].[All]" allUniqueName="[Table1].[currency].[All]" dimensionUniqueName="[Table1]" displayFolder="" count="0" memberValueDatatype="130" unbalanced="0"/>
    <cacheHierarchy uniqueName="[Table1].[deadline]" caption="deadline" attribute="1" defaultMemberUniqueName="[Table1].[deadline].[All]" allUniqueName="[Table1].[deadline].[All]" dimensionUniqueName="[Table1]" displayFolder="" count="0" memberValueDatatype="20" unbalanced="0"/>
    <cacheHierarchy uniqueName="[Table1].[launched_at]" caption="launched_at" attribute="1" defaultMemberUniqueName="[Table1].[launched_at].[All]" allUniqueName="[Table1].[launched_at].[All]" dimensionUniqueName="[Table1]" displayFolder="" count="0" memberValueDatatype="20" unbalanced="0"/>
    <cacheHierarchy uniqueName="[Table1].[staff_pick]" caption="staff_pick" attribute="1" defaultMemberUniqueName="[Table1].[staff_pick].[All]" allUniqueName="[Table1].[staff_pick].[All]" dimensionUniqueName="[Table1]" displayFolder="" count="0" memberValueDatatype="11" unbalanced="0"/>
    <cacheHierarchy uniqueName="[Table1].[backers_count]" caption="backers_count" attribute="1" defaultMemberUniqueName="[Table1].[backers_count].[All]" allUniqueName="[Table1].[backers_count].[All]" dimensionUniqueName="[Table1]" displayFolder="" count="0" memberValueDatatype="20" unbalanced="0"/>
    <cacheHierarchy uniqueName="[Table1].[spotlight]" caption="spotlight" attribute="1" defaultMemberUniqueName="[Table1].[spotlight].[All]" allUniqueName="[Table1].[spotlight].[All]" dimensionUniqueName="[Table1]" displayFolder="" count="0" memberValueDatatype="11" unbalanced="0"/>
    <cacheHierarchy uniqueName="[Table1].[Category and Subcategory]" caption="Category and Subcategory" attribute="1" defaultMemberUniqueName="[Table1].[Category and Subcategory].[All]" allUniqueName="[Table1].[Category and Subcategory].[All]" dimensionUniqueName="[Table1]" displayFolder="" count="0" memberValueDatatype="130" unbalanced="0"/>
    <cacheHierarchy uniqueName="[Table1].[percentage]" caption="percentage" attribute="1" defaultMemberUniqueName="[Table1].[percentage].[All]" allUniqueName="[Table1].[percentage].[All]" dimensionUniqueName="[Table1]" displayFolder="" count="0" memberValueDatatype="20" unbalanced="0"/>
    <cacheHierarchy uniqueName="[Table1].[Average Donation]" caption="Average Donation" attribute="1" defaultMemberUniqueName="[Table1].[Average Donation].[All]" allUniqueName="[Table1].[Average Donation].[All]" dimensionUniqueName="[Table1]" displayFolder="" count="0" memberValueDatatype="130" unbalanced="0"/>
    <cacheHierarchy uniqueName="[Table1].[Parent]" caption="Parent" attribute="1" defaultMemberUniqueName="[Table1].[Parent].[All]" allUniqueName="[Table1].[Parent].[All]" dimensionUniqueName="[Table1]" displayFolder="" count="0" memberValueDatatype="130" unbalanced="0"/>
    <cacheHierarchy uniqueName="[Table1].[Subcategory]" caption="Subcategory" attribute="1" defaultMemberUniqueName="[Table1].[Subcategory].[All]" allUniqueName="[Table1].[Subcategory].[All]" dimensionUniqueName="[Table1]" displayFolder="" count="0" memberValueDatatype="130" unbalanced="0"/>
    <cacheHierarchy uniqueName="[Table1].[Launched]" caption="Launched" attribute="1" time="1" defaultMemberUniqueName="[Table1].[Launched].[All]" allUniqueName="[Table1].[Launched].[All]" dimensionUniqueName="[Table1]" displayFolder="" count="0" memberValueDatatype="7" unbalanced="0"/>
    <cacheHierarchy uniqueName="[Table1].[Date ended]" caption="Date ended" attribute="1" time="1" defaultMemberUniqueName="[Table1].[Date ended].[All]" allUniqueName="[Table1].[Date ended].[All]" dimensionUniqueName="[Table1]" displayFolder="" count="0" memberValueDatatype="7" unbalanced="0"/>
    <cacheHierarchy uniqueName="[Table1].[Launched (Year)]" caption="Launched (Year)" attribute="1" defaultMemberUniqueName="[Table1].[Launched (Year)].[All]" allUniqueName="[Table1].[Launched (Year)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Launched (Quarter)]" caption="Launched (Quarter)" attribute="1" defaultMemberUniqueName="[Table1].[Launched (Quarter)].[All]" allUniqueName="[Table1].[Launched (Quarter)].[All]" dimensionUniqueName="[Table1]" displayFolder="" count="0" memberValueDatatype="130" unbalanced="0"/>
    <cacheHierarchy uniqueName="[Table1].[Launched (Month)]" caption="Launched (Month)" attribute="1" defaultMemberUniqueName="[Table1].[Launched (Month)].[All]" allUniqueName="[Table1].[Launched (Month)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Launched (Month Index)]" caption="Launched (Month Index)" attribute="1" defaultMemberUniqueName="[Table1].[Launched (Month Index)].[All]" allUniqueName="[Table1].[Launched (Month Index)].[All]" dimensionUniqueName="[Table1]" displayFolder="" count="0" memberValueDatatype="20" unbalanced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outcomes]" caption="Count of outcomes" measure="1" displayFolder="" measureGroup="Table1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Launched (Year)]" caption="Count of Launched (Year)" measure="1" displayFolder="" measureGroup="Table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Launched (Month)]" caption="Count of Launched (Month)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Launched (Quarter)]" caption="Count of Launched (Quarter)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Launched]" caption="Count of Launched" measure="1" displayFolder="" measureGroup="Table1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goal]" caption="Sum of goal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pledged]" caption="Sum of pledged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country]" caption="Count of country" measure="1" displayFolder="" measureGroup="Table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Subcategory]" caption="Count of Subcategory" measure="1" displayFolder="" measureGroup="Table1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backers_count]" caption="Sum of backers_count" measure="1" displayFolder="" measureGroup="Table1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Count of backers_count]" caption="Count of backers_count" measure="1" displayFolder="" measureGroup="Table1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goal]" caption="Average of goal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pivotCacheId="1002124579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73D08C-E1D6-40CC-8BA9-7F9738965E56}" name="PivotChartTable7" cacheId="66" applyNumberFormats="0" applyBorderFormats="0" applyFontFormats="0" applyPatternFormats="0" applyAlignmentFormats="0" applyWidthHeightFormats="1" dataCaption="Values" updatedVersion="7" minRefreshableVersion="3" useAutoFormatting="1" itemPrintTitles="1" createdVersion="5" indent="0" outline="1" outlineData="1" multipleFieldFilters="0" chartFormat="1">
  <location ref="A1:F105" firstHeaderRow="1" firstDataRow="2" firstDataCol="1"/>
  <pivotFields count="4">
    <pivotField axis="axisRow" allDrilled="1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</pivotFields>
  <rowFields count="2">
    <field x="0"/>
    <field x="1"/>
  </rowFields>
  <rowItems count="103">
    <i>
      <x/>
    </i>
    <i r="1">
      <x/>
    </i>
    <i r="1">
      <x v="1"/>
    </i>
    <i r="1">
      <x v="2"/>
    </i>
    <i r="1">
      <x v="3"/>
    </i>
    <i r="1">
      <x v="4"/>
    </i>
    <i r="1">
      <x v="5"/>
    </i>
    <i>
      <x v="1"/>
    </i>
    <i r="1">
      <x v="6"/>
    </i>
    <i r="1">
      <x v="7"/>
    </i>
    <i r="1">
      <x v="8"/>
    </i>
    <i r="1">
      <x v="9"/>
    </i>
    <i r="1">
      <x/>
    </i>
    <i r="1">
      <x v="10"/>
    </i>
    <i r="1">
      <x v="1"/>
    </i>
    <i r="1">
      <x v="2"/>
    </i>
    <i r="1">
      <x v="3"/>
    </i>
    <i r="1">
      <x v="4"/>
    </i>
    <i r="1">
      <x v="5"/>
    </i>
    <i r="1">
      <x v="11"/>
    </i>
    <i>
      <x v="2"/>
    </i>
    <i r="1">
      <x v="6"/>
    </i>
    <i r="1">
      <x v="7"/>
    </i>
    <i r="1">
      <x v="8"/>
    </i>
    <i r="1">
      <x v="9"/>
    </i>
    <i r="1">
      <x/>
    </i>
    <i r="1">
      <x v="10"/>
    </i>
    <i r="1">
      <x v="1"/>
    </i>
    <i r="1">
      <x v="2"/>
    </i>
    <i r="1">
      <x v="3"/>
    </i>
    <i r="1">
      <x v="4"/>
    </i>
    <i r="1">
      <x v="5"/>
    </i>
    <i r="1">
      <x v="11"/>
    </i>
    <i>
      <x v="3"/>
    </i>
    <i r="1">
      <x v="6"/>
    </i>
    <i r="1">
      <x v="7"/>
    </i>
    <i r="1">
      <x v="8"/>
    </i>
    <i r="1">
      <x v="9"/>
    </i>
    <i r="1">
      <x/>
    </i>
    <i r="1">
      <x v="10"/>
    </i>
    <i r="1">
      <x v="1"/>
    </i>
    <i r="1">
      <x v="2"/>
    </i>
    <i r="1">
      <x v="3"/>
    </i>
    <i r="1">
      <x v="4"/>
    </i>
    <i r="1">
      <x v="5"/>
    </i>
    <i r="1">
      <x v="11"/>
    </i>
    <i>
      <x v="4"/>
    </i>
    <i r="1">
      <x v="6"/>
    </i>
    <i r="1">
      <x v="7"/>
    </i>
    <i r="1">
      <x v="8"/>
    </i>
    <i r="1">
      <x v="9"/>
    </i>
    <i r="1">
      <x/>
    </i>
    <i r="1">
      <x v="10"/>
    </i>
    <i r="1">
      <x v="1"/>
    </i>
    <i r="1">
      <x v="2"/>
    </i>
    <i r="1">
      <x v="3"/>
    </i>
    <i r="1">
      <x v="4"/>
    </i>
    <i r="1">
      <x v="5"/>
    </i>
    <i r="1">
      <x v="11"/>
    </i>
    <i>
      <x v="5"/>
    </i>
    <i r="1">
      <x v="6"/>
    </i>
    <i r="1">
      <x v="7"/>
    </i>
    <i r="1">
      <x v="8"/>
    </i>
    <i r="1">
      <x v="9"/>
    </i>
    <i r="1">
      <x/>
    </i>
    <i r="1">
      <x v="10"/>
    </i>
    <i r="1">
      <x v="1"/>
    </i>
    <i r="1">
      <x v="2"/>
    </i>
    <i r="1">
      <x v="3"/>
    </i>
    <i r="1">
      <x v="4"/>
    </i>
    <i r="1">
      <x v="5"/>
    </i>
    <i r="1">
      <x v="11"/>
    </i>
    <i>
      <x v="6"/>
    </i>
    <i r="1">
      <x v="6"/>
    </i>
    <i r="1">
      <x v="7"/>
    </i>
    <i r="1">
      <x v="8"/>
    </i>
    <i r="1">
      <x v="9"/>
    </i>
    <i r="1">
      <x/>
    </i>
    <i r="1">
      <x v="10"/>
    </i>
    <i r="1">
      <x v="1"/>
    </i>
    <i r="1">
      <x v="2"/>
    </i>
    <i r="1">
      <x v="3"/>
    </i>
    <i r="1">
      <x v="4"/>
    </i>
    <i r="1">
      <x v="5"/>
    </i>
    <i r="1">
      <x v="11"/>
    </i>
    <i>
      <x v="7"/>
    </i>
    <i r="1">
      <x v="6"/>
    </i>
    <i r="1">
      <x v="7"/>
    </i>
    <i r="1">
      <x v="8"/>
    </i>
    <i r="1">
      <x v="9"/>
    </i>
    <i r="1">
      <x/>
    </i>
    <i r="1">
      <x v="10"/>
    </i>
    <i r="1">
      <x v="1"/>
    </i>
    <i r="1">
      <x v="2"/>
    </i>
    <i r="1">
      <x v="3"/>
    </i>
    <i r="1">
      <x v="4"/>
    </i>
    <i r="1">
      <x v="5"/>
    </i>
    <i r="1">
      <x v="11"/>
    </i>
    <i>
      <x v="8"/>
    </i>
    <i r="1">
      <x v="6"/>
    </i>
    <i r="1">
      <x v="7"/>
    </i>
    <i r="1">
      <x v="8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2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</chartFormats>
  <pivotHierarchies count="3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rowHierarchiesUsage count="2">
    <rowHierarchyUsage hierarchyUsage="20"/>
    <rowHierarchyUsage hierarchyUsage="22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103" columnCount="5" cacheId="1002124579">
        <x15:pivotRow count="5"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</x15:pivotRow>
        <x15:pivotRow count="5">
          <x15:c t="e">
            <x15:v/>
          </x15:c>
          <x15:c t="e">
            <x15:v/>
          </x15:c>
          <x15:c t="e">
            <x15:v/>
          </x15:c>
          <x15:c>
            <x15:v>1</x15:v>
          </x15:c>
          <x15:c>
            <x15:v>1</x15:v>
          </x15:c>
        </x15:pivotRow>
        <x15:pivotRow count="5">
          <x15:c t="e">
            <x15:v/>
          </x15:c>
          <x15:c t="e">
            <x15:v/>
          </x15:c>
          <x15:c t="e">
            <x15:v/>
          </x15:c>
          <x15:c>
            <x15:v>1</x15:v>
          </x15:c>
          <x15:c>
            <x15:v>1</x15:v>
          </x15:c>
        </x15:pivotRow>
        <x15:pivotRow count="5">
          <x15:c t="e">
            <x15:v/>
          </x15:c>
          <x15:c>
            <x15:v>1</x15:v>
          </x15:c>
          <x15:c t="e">
            <x15:v/>
          </x15:c>
          <x15:c>
            <x15:v>1</x15:v>
          </x15:c>
          <x15:c>
            <x15:v>2</x15:v>
          </x15:c>
        </x15:pivotRow>
        <x15:pivotRow count="5">
          <x15:c>
            <x15:v>1</x15:v>
          </x15:c>
          <x15:c>
            <x15:v>2</x15:v>
          </x15:c>
          <x15:c t="e">
            <x15:v/>
          </x15:c>
          <x15:c>
            <x15:v>2</x15:v>
          </x15:c>
          <x15:c>
            <x15:v>5</x15:v>
          </x15:c>
        </x15:pivotRow>
        <x15:pivotRow count="5">
          <x15:c t="e">
            <x15:v/>
          </x15:c>
          <x15:c>
            <x15:v>1</x15:v>
          </x15:c>
          <x15:c t="e">
            <x15:v/>
          </x15:c>
          <x15:c>
            <x15:v>1</x15:v>
          </x15:c>
          <x15:c>
            <x15:v>2</x15:v>
          </x15:c>
        </x15:pivotRow>
        <x15:pivotRow count="5">
          <x15:c t="e">
            <x15:v/>
          </x15:c>
          <x15:c t="e">
            <x15:v/>
          </x15:c>
          <x15:c t="e">
            <x15:v/>
          </x15:c>
          <x15:c>
            <x15:v>3</x15:v>
          </x15:c>
          <x15:c>
            <x15:v>3</x15:v>
          </x15:c>
        </x15:pivotRow>
        <x15:pivotRow count="5"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</x15:pivotRow>
        <x15:pivotRow count="5">
          <x15:c t="e">
            <x15:v/>
          </x15:c>
          <x15:c>
            <x15:v>1</x15:v>
          </x15:c>
          <x15:c t="e">
            <x15:v/>
          </x15:c>
          <x15:c>
            <x15:v>3</x15:v>
          </x15:c>
          <x15:c>
            <x15:v>4</x15:v>
          </x15:c>
        </x15:pivotRow>
        <x15:pivotRow count="5">
          <x15:c t="e">
            <x15:v/>
          </x15:c>
          <x15:c t="e">
            <x15:v/>
          </x15:c>
          <x15:c t="e">
            <x15:v/>
          </x15:c>
          <x15:c>
            <x15:v>3</x15:v>
          </x15:c>
          <x15:c>
            <x15:v>3</x15:v>
          </x15:c>
        </x15:pivotRow>
        <x15:pivotRow count="5">
          <x15:c t="e">
            <x15:v/>
          </x15:c>
          <x15:c>
            <x15:v>1</x15:v>
          </x15:c>
          <x15:c t="e">
            <x15:v/>
          </x15:c>
          <x15:c>
            <x15:v>6</x15:v>
          </x15:c>
          <x15:c>
            <x15:v>7</x15:v>
          </x15:c>
        </x15:pivotRow>
        <x15:pivotRow count="5">
          <x15:c t="e">
            <x15:v/>
          </x15:c>
          <x15:c>
            <x15:v>1</x15:v>
          </x15:c>
          <x15:c t="e">
            <x15:v/>
          </x15:c>
          <x15:c>
            <x15:v>1</x15:v>
          </x15:c>
          <x15:c>
            <x15:v>2</x15:v>
          </x15:c>
        </x15:pivotRow>
        <x15:pivotRow count="5">
          <x15:c t="e">
            <x15:v/>
          </x15:c>
          <x15:c>
            <x15:v>2</x15:v>
          </x15:c>
          <x15:c t="e">
            <x15:v/>
          </x15:c>
          <x15:c>
            <x15:v>5</x15:v>
          </x15:c>
          <x15:c>
            <x15:v>7</x15:v>
          </x15:c>
        </x15:pivotRow>
        <x15:pivotRow count="5">
          <x15:c t="e">
            <x15:v/>
          </x15:c>
          <x15:c>
            <x15:v>4</x15:v>
          </x15:c>
          <x15:c t="e">
            <x15:v/>
          </x15:c>
          <x15:c>
            <x15:v>8</x15:v>
          </x15:c>
          <x15:c>
            <x15:v>12</x15:v>
          </x15:c>
        </x15:pivotRow>
        <x15:pivotRow count="5">
          <x15:c t="e">
            <x15:v/>
          </x15:c>
          <x15:c t="e">
            <x15:v/>
          </x15:c>
          <x15:c t="e">
            <x15:v/>
          </x15:c>
          <x15:c>
            <x15:v>3</x15:v>
          </x15:c>
          <x15:c>
            <x15:v>3</x15:v>
          </x15:c>
        </x15:pivotRow>
        <x15:pivotRow count="5">
          <x15:c>
            <x15:v>1</x15:v>
          </x15:c>
          <x15:c t="e">
            <x15:v/>
          </x15:c>
          <x15:c t="e">
            <x15:v/>
          </x15:c>
          <x15:c>
            <x15:v>2</x15:v>
          </x15:c>
          <x15:c>
            <x15:v>3</x15:v>
          </x15:c>
        </x15:pivotRow>
        <x15:pivotRow count="5">
          <x15:c t="e">
            <x15:v/>
          </x15:c>
          <x15:c>
            <x15:v>3</x15:v>
          </x15:c>
          <x15:c t="e">
            <x15:v/>
          </x15:c>
          <x15:c>
            <x15:v>2</x15:v>
          </x15:c>
          <x15:c>
            <x15:v>5</x15:v>
          </x15:c>
        </x15:pivotRow>
        <x15:pivotRow count="5">
          <x15:c t="e">
            <x15:v/>
          </x15:c>
          <x15:c>
            <x15:v>1</x15:v>
          </x15:c>
          <x15:c t="e">
            <x15:v/>
          </x15:c>
          <x15:c>
            <x15:v>6</x15:v>
          </x15:c>
          <x15:c>
            <x15:v>7</x15:v>
          </x15:c>
        </x15:pivotRow>
        <x15:pivotRow count="5">
          <x15:c t="e">
            <x15:v/>
          </x15:c>
          <x15:c>
            <x15:v>2</x15:v>
          </x15:c>
          <x15:c t="e">
            <x15:v/>
          </x15:c>
          <x15:c>
            <x15:v>3</x15:v>
          </x15:c>
          <x15:c>
            <x15:v>5</x15:v>
          </x15:c>
        </x15:pivotRow>
        <x15:pivotRow count="5">
          <x15:c t="e">
            <x15:v/>
          </x15:c>
          <x15:c t="e">
            <x15:v/>
          </x15:c>
          <x15:c t="e">
            <x15:v/>
          </x15:c>
          <x15:c>
            <x15:v>7</x15:v>
          </x15:c>
          <x15:c>
            <x15:v>7</x15:v>
          </x15:c>
        </x15:pivotRow>
        <x15:pivotRow count="5"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</x15:pivotRow>
        <x15:pivotRow count="5">
          <x15:c>
            <x15:v>1</x15:v>
          </x15:c>
          <x15:c>
            <x15:v>1</x15:v>
          </x15:c>
          <x15:c t="e">
            <x15:v/>
          </x15:c>
          <x15:c>
            <x15:v>10</x15:v>
          </x15:c>
          <x15:c>
            <x15:v>12</x15:v>
          </x15:c>
        </x15:pivotRow>
        <x15:pivotRow count="5">
          <x15:c t="e">
            <x15:v/>
          </x15:c>
          <x15:c t="e">
            <x15:v/>
          </x15:c>
          <x15:c t="e">
            <x15:v/>
          </x15:c>
          <x15:c>
            <x15:v>8</x15:v>
          </x15:c>
          <x15:c>
            <x15:v>8</x15:v>
          </x15:c>
        </x15:pivotRow>
        <x15:pivotRow count="5">
          <x15:c t="e">
            <x15:v/>
          </x15:c>
          <x15:c>
            <x15:v>1</x15:v>
          </x15:c>
          <x15:c t="e">
            <x15:v/>
          </x15:c>
          <x15:c>
            <x15:v>8</x15:v>
          </x15:c>
          <x15:c>
            <x15:v>9</x15:v>
          </x15:c>
        </x15:pivotRow>
        <x15:pivotRow count="5">
          <x15:c t="e">
            <x15:v/>
          </x15:c>
          <x15:c>
            <x15:v>1</x15:v>
          </x15:c>
          <x15:c t="e">
            <x15:v/>
          </x15:c>
          <x15:c>
            <x15:v>12</x15:v>
          </x15:c>
          <x15:c>
            <x15:v>13</x15:v>
          </x15:c>
        </x15:pivotRow>
        <x15:pivotRow count="5">
          <x15:c>
            <x15:v>2</x15:v>
          </x15:c>
          <x15:c>
            <x15:v>1</x15:v>
          </x15:c>
          <x15:c t="e">
            <x15:v/>
          </x15:c>
          <x15:c>
            <x15:v>15</x15:v>
          </x15:c>
          <x15:c>
            <x15:v>18</x15:v>
          </x15:c>
        </x15:pivotRow>
        <x15:pivotRow count="5">
          <x15:c t="e">
            <x15:v/>
          </x15:c>
          <x15:c>
            <x15:v>4</x15:v>
          </x15:c>
          <x15:c t="e">
            <x15:v/>
          </x15:c>
          <x15:c>
            <x15:v>12</x15:v>
          </x15:c>
          <x15:c>
            <x15:v>16</x15:v>
          </x15:c>
        </x15:pivotRow>
        <x15:pivotRow count="5">
          <x15:c>
            <x15:v>2</x15:v>
          </x15:c>
          <x15:c>
            <x15:v>4</x15:v>
          </x15:c>
          <x15:c t="e">
            <x15:v/>
          </x15:c>
          <x15:c>
            <x15:v>11</x15:v>
          </x15:c>
          <x15:c>
            <x15:v>17</x15:v>
          </x15:c>
        </x15:pivotRow>
        <x15:pivotRow count="5">
          <x15:c>
            <x15:v>1</x15:v>
          </x15:c>
          <x15:c>
            <x15:v>2</x15:v>
          </x15:c>
          <x15:c t="e">
            <x15:v/>
          </x15:c>
          <x15:c>
            <x15:v>16</x15:v>
          </x15:c>
          <x15:c>
            <x15:v>19</x15:v>
          </x15:c>
        </x15:pivotRow>
        <x15:pivotRow count="5">
          <x15:c t="e">
            <x15:v/>
          </x15:c>
          <x15:c>
            <x15:v>4</x15:v>
          </x15:c>
          <x15:c t="e">
            <x15:v/>
          </x15:c>
          <x15:c>
            <x15:v>10</x15:v>
          </x15:c>
          <x15:c>
            <x15:v>14</x15:v>
          </x15:c>
        </x15:pivotRow>
        <x15:pivotRow count="5">
          <x15:c t="e">
            <x15:v/>
          </x15:c>
          <x15:c>
            <x15:v>1</x15:v>
          </x15:c>
          <x15:c t="e">
            <x15:v/>
          </x15:c>
          <x15:c>
            <x15:v>10</x15:v>
          </x15:c>
          <x15:c>
            <x15:v>11</x15:v>
          </x15:c>
        </x15:pivotRow>
        <x15:pivotRow count="5">
          <x15:c t="e">
            <x15:v/>
          </x15:c>
          <x15:c>
            <x15:v>5</x15:v>
          </x15:c>
          <x15:c t="e">
            <x15:v/>
          </x15:c>
          <x15:c>
            <x15:v>13</x15:v>
          </x15:c>
          <x15:c>
            <x15:v>18</x15:v>
          </x15:c>
        </x15:pivotRow>
        <x15:pivotRow count="5">
          <x15:c>
            <x15:v>1</x15:v>
          </x15:c>
          <x15:c>
            <x15:v>4</x15:v>
          </x15:c>
          <x15:c t="e">
            <x15:v/>
          </x15:c>
          <x15:c>
            <x15:v>11</x15:v>
          </x15:c>
          <x15:c>
            <x15:v>16</x15:v>
          </x15:c>
        </x15:pivotRow>
        <x15:pivotRow count="5"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</x15:pivotRow>
        <x15:pivotRow count="5">
          <x15:c>
            <x15:v>1</x15:v>
          </x15:c>
          <x15:c>
            <x15:v>5</x15:v>
          </x15:c>
          <x15:c t="e">
            <x15:v/>
          </x15:c>
          <x15:c>
            <x15:v>21</x15:v>
          </x15:c>
          <x15:c>
            <x15:v>27</x15:v>
          </x15:c>
        </x15:pivotRow>
        <x15:pivotRow count="5">
          <x15:c t="e">
            <x15:v/>
          </x15:c>
          <x15:c>
            <x15:v>4</x15:v>
          </x15:c>
          <x15:c t="e">
            <x15:v/>
          </x15:c>
          <x15:c>
            <x15:v>17</x15:v>
          </x15:c>
          <x15:c>
            <x15:v>21</x15:v>
          </x15:c>
        </x15:pivotRow>
        <x15:pivotRow count="5">
          <x15:c>
            <x15:v>2</x15:v>
          </x15:c>
          <x15:c>
            <x15:v>6</x15:v>
          </x15:c>
          <x15:c t="e">
            <x15:v/>
          </x15:c>
          <x15:c>
            <x15:v>29</x15:v>
          </x15:c>
          <x15:c>
            <x15:v>37</x15:v>
          </x15:c>
        </x15:pivotRow>
        <x15:pivotRow count="5">
          <x15:c t="e">
            <x15:v/>
          </x15:c>
          <x15:c>
            <x15:v>6</x15:v>
          </x15:c>
          <x15:c t="e">
            <x15:v/>
          </x15:c>
          <x15:c>
            <x15:v>22</x15:v>
          </x15:c>
          <x15:c>
            <x15:v>28</x15:v>
          </x15:c>
        </x15:pivotRow>
        <x15:pivotRow count="5">
          <x15:c>
            <x15:v>1</x15:v>
          </x15:c>
          <x15:c>
            <x15:v>7</x15:v>
          </x15:c>
          <x15:c t="e">
            <x15:v/>
          </x15:c>
          <x15:c>
            <x15:v>16</x15:v>
          </x15:c>
          <x15:c>
            <x15:v>24</x15:v>
          </x15:c>
        </x15:pivotRow>
        <x15:pivotRow count="5">
          <x15:c t="e">
            <x15:v/>
          </x15:c>
          <x15:c>
            <x15:v>2</x15:v>
          </x15:c>
          <x15:c t="e">
            <x15:v/>
          </x15:c>
          <x15:c>
            <x15:v>22</x15:v>
          </x15:c>
          <x15:c>
            <x15:v>24</x15:v>
          </x15:c>
        </x15:pivotRow>
        <x15:pivotRow count="5">
          <x15:c>
            <x15:v>1</x15:v>
          </x15:c>
          <x15:c>
            <x15:v>4</x15:v>
          </x15:c>
          <x15:c t="e">
            <x15:v/>
          </x15:c>
          <x15:c>
            <x15:v>17</x15:v>
          </x15:c>
          <x15:c>
            <x15:v>22</x15:v>
          </x15:c>
        </x15:pivotRow>
        <x15:pivotRow count="5">
          <x15:c>
            <x15:v>1</x15:v>
          </x15:c>
          <x15:c>
            <x15:v>5</x15:v>
          </x15:c>
          <x15:c t="e">
            <x15:v/>
          </x15:c>
          <x15:c>
            <x15:v>18</x15:v>
          </x15:c>
          <x15:c>
            <x15:v>24</x15:v>
          </x15:c>
        </x15:pivotRow>
        <x15:pivotRow count="5">
          <x15:c t="e">
            <x15:v/>
          </x15:c>
          <x15:c>
            <x15:v>6</x15:v>
          </x15:c>
          <x15:c t="e">
            <x15:v/>
          </x15:c>
          <x15:c>
            <x15:v>13</x15:v>
          </x15:c>
          <x15:c>
            <x15:v>19</x15:v>
          </x15:c>
        </x15:pivotRow>
        <x15:pivotRow count="5">
          <x15:c t="e">
            <x15:v/>
          </x15:c>
          <x15:c>
            <x15:v>5</x15:v>
          </x15:c>
          <x15:c t="e">
            <x15:v/>
          </x15:c>
          <x15:c>
            <x15:v>16</x15:v>
          </x15:c>
          <x15:c>
            <x15:v>21</x15:v>
          </x15:c>
        </x15:pivotRow>
        <x15:pivotRow count="5">
          <x15:c t="e">
            <x15:v/>
          </x15:c>
          <x15:c>
            <x15:v>5</x15:v>
          </x15:c>
          <x15:c t="e">
            <x15:v/>
          </x15:c>
          <x15:c>
            <x15:v>14</x15:v>
          </x15:c>
          <x15:c>
            <x15:v>19</x15:v>
          </x15:c>
        </x15:pivotRow>
        <x15:pivotRow count="5">
          <x15:c t="e">
            <x15:v/>
          </x15:c>
          <x15:c>
            <x15:v>5</x15:v>
          </x15:c>
          <x15:c t="e">
            <x15:v/>
          </x15:c>
          <x15:c>
            <x15:v>11</x15:v>
          </x15:c>
          <x15:c>
            <x15:v>16</x15:v>
          </x15:c>
        </x15:pivotRow>
        <x15:pivotRow count="5"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</x15:pivotRow>
        <x15:pivotRow count="5">
          <x15:c t="e">
            <x15:v/>
          </x15:c>
          <x15:c>
            <x15:v>3</x15:v>
          </x15:c>
          <x15:c t="e">
            <x15:v/>
          </x15:c>
          <x15:c>
            <x15:v>19</x15:v>
          </x15:c>
          <x15:c>
            <x15:v>22</x15:v>
          </x15:c>
        </x15:pivotRow>
        <x15:pivotRow count="5">
          <x15:c t="e">
            <x15:v/>
          </x15:c>
          <x15:c>
            <x15:v>3</x15:v>
          </x15:c>
          <x15:c t="e">
            <x15:v/>
          </x15:c>
          <x15:c>
            <x15:v>24</x15:v>
          </x15:c>
          <x15:c>
            <x15:v>27</x15:v>
          </x15:c>
        </x15:pivotRow>
        <x15:pivotRow count="5">
          <x15:c t="e">
            <x15:v/>
          </x15:c>
          <x15:c>
            <x15:v>3</x15:v>
          </x15:c>
          <x15:c t="e">
            <x15:v/>
          </x15:c>
          <x15:c>
            <x15:v>14</x15:v>
          </x15:c>
          <x15:c>
            <x15:v>17</x15:v>
          </x15:c>
        </x15:pivotRow>
        <x15:pivotRow count="5">
          <x15:c>
            <x15:v>1</x15:v>
          </x15:c>
          <x15:c>
            <x15:v>5</x15:v>
          </x15:c>
          <x15:c t="e">
            <x15:v/>
          </x15:c>
          <x15:c>
            <x15:v>25</x15:v>
          </x15:c>
          <x15:c>
            <x15:v>31</x15:v>
          </x15:c>
        </x15:pivotRow>
        <x15:pivotRow count="5">
          <x15:c>
            <x15:v>1</x15:v>
          </x15:c>
          <x15:c>
            <x15:v>7</x15:v>
          </x15:c>
          <x15:c t="e">
            <x15:v/>
          </x15:c>
          <x15:c>
            <x15:v>13</x15:v>
          </x15:c>
          <x15:c>
            <x15:v>21</x15:v>
          </x15:c>
        </x15:pivotRow>
        <x15:pivotRow count="5">
          <x15:c t="e">
            <x15:v/>
          </x15:c>
          <x15:c>
            <x15:v>2</x15:v>
          </x15:c>
          <x15:c t="e">
            <x15:v/>
          </x15:c>
          <x15:c>
            <x15:v>16</x15:v>
          </x15:c>
          <x15:c>
            <x15:v>18</x15:v>
          </x15:c>
        </x15:pivotRow>
        <x15:pivotRow count="5">
          <x15:c>
            <x15:v>1</x15:v>
          </x15:c>
          <x15:c>
            <x15:v>6</x15:v>
          </x15:c>
          <x15:c t="e">
            <x15:v/>
          </x15:c>
          <x15:c>
            <x15:v>10</x15:v>
          </x15:c>
          <x15:c>
            <x15:v>17</x15:v>
          </x15:c>
        </x15:pivotRow>
        <x15:pivotRow count="5">
          <x15:c>
            <x15:v>2</x15:v>
          </x15:c>
          <x15:c>
            <x15:v>5</x15:v>
          </x15:c>
          <x15:c t="e">
            <x15:v/>
          </x15:c>
          <x15:c>
            <x15:v>10</x15:v>
          </x15:c>
          <x15:c>
            <x15:v>17</x15:v>
          </x15:c>
        </x15:pivotRow>
        <x15:pivotRow count="5">
          <x15:c t="e">
            <x15:v/>
          </x15:c>
          <x15:c>
            <x15:v>7</x15:v>
          </x15:c>
          <x15:c t="e">
            <x15:v/>
          </x15:c>
          <x15:c>
            <x15:v>18</x15:v>
          </x15:c>
          <x15:c>
            <x15:v>25</x15:v>
          </x15:c>
        </x15:pivotRow>
        <x15:pivotRow count="5">
          <x15:c>
            <x15:v>1</x15:v>
          </x15:c>
          <x15:c>
            <x15:v>15</x15:v>
          </x15:c>
          <x15:c t="e">
            <x15:v/>
          </x15:c>
          <x15:c>
            <x15:v>19</x15:v>
          </x15:c>
          <x15:c>
            <x15:v>35</x15:v>
          </x15:c>
        </x15:pivotRow>
        <x15:pivotRow count="5">
          <x15:c>
            <x15:v>1</x15:v>
          </x15:c>
          <x15:c>
            <x15:v>5</x15:v>
          </x15:c>
          <x15:c t="e">
            <x15:v/>
          </x15:c>
          <x15:c>
            <x15:v>18</x15:v>
          </x15:c>
          <x15:c>
            <x15:v>24</x15:v>
          </x15:c>
        </x15:pivotRow>
        <x15:pivotRow count="5">
          <x15:c t="e">
            <x15:v/>
          </x15:c>
          <x15:c>
            <x15:v>6</x15:v>
          </x15:c>
          <x15:c t="e">
            <x15:v/>
          </x15:c>
          <x15:c>
            <x15:v>14</x15:v>
          </x15:c>
          <x15:c>
            <x15:v>20</x15:v>
          </x15:c>
        </x15:pivotRow>
        <x15:pivotRow count="5"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</x15:pivotRow>
        <x15:pivotRow count="5">
          <x15:c>
            <x15:v>1</x15:v>
          </x15:c>
          <x15:c>
            <x15:v>10</x15:v>
          </x15:c>
          <x15:c t="e">
            <x15:v/>
          </x15:c>
          <x15:c>
            <x15:v>19</x15:v>
          </x15:c>
          <x15:c>
            <x15:v>30</x15:v>
          </x15:c>
        </x15:pivotRow>
        <x15:pivotRow count="5">
          <x15:c>
            <x15:v>1</x15:v>
          </x15:c>
          <x15:c>
            <x15:v>6</x15:v>
          </x15:c>
          <x15:c t="e">
            <x15:v/>
          </x15:c>
          <x15:c>
            <x15:v>14</x15:v>
          </x15:c>
          <x15:c>
            <x15:v>21</x15:v>
          </x15:c>
        </x15:pivotRow>
        <x15:pivotRow count="5">
          <x15:c>
            <x15:v>1</x15:v>
          </x15:c>
          <x15:c>
            <x15:v>9</x15:v>
          </x15:c>
          <x15:c t="e">
            <x15:v/>
          </x15:c>
          <x15:c>
            <x15:v>17</x15:v>
          </x15:c>
          <x15:c>
            <x15:v>27</x15:v>
          </x15:c>
        </x15:pivotRow>
        <x15:pivotRow count="5">
          <x15:c>
            <x15:v>1</x15:v>
          </x15:c>
          <x15:c>
            <x15:v>13</x15:v>
          </x15:c>
          <x15:c t="e">
            <x15:v/>
          </x15:c>
          <x15:c>
            <x15:v>34</x15:v>
          </x15:c>
          <x15:c>
            <x15:v>48</x15:v>
          </x15:c>
        </x15:pivotRow>
        <x15:pivotRow count="5">
          <x15:c>
            <x15:v>3</x15:v>
          </x15:c>
          <x15:c>
            <x15:v>35</x15:v>
          </x15:c>
          <x15:c t="e">
            <x15:v/>
          </x15:c>
          <x15:c>
            <x15:v>58</x15:v>
          </x15:c>
          <x15:c>
            <x15:v>96</x15:v>
          </x15:c>
        </x15:pivotRow>
        <x15:pivotRow count="5">
          <x15:c>
            <x15:v>8</x15:v>
          </x15:c>
          <x15:c>
            <x15:v>38</x15:v>
          </x15:c>
          <x15:c t="e">
            <x15:v/>
          </x15:c>
          <x15:c>
            <x15:v>58</x15:v>
          </x15:c>
          <x15:c>
            <x15:v>104</x15:v>
          </x15:c>
        </x15:pivotRow>
        <x15:pivotRow count="5">
          <x15:c>
            <x15:v>18</x15:v>
          </x15:c>
          <x15:c>
            <x15:v>82</x15:v>
          </x15:c>
          <x15:c t="e">
            <x15:v/>
          </x15:c>
          <x15:c>
            <x15:v>59</x15:v>
          </x15:c>
          <x15:c>
            <x15:v>159</x15:v>
          </x15:c>
        </x15:pivotRow>
        <x15:pivotRow count="5">
          <x15:c>
            <x15:v>7</x15:v>
          </x15:c>
          <x15:c>
            <x15:v>53</x15:v>
          </x15:c>
          <x15:c t="e">
            <x15:v/>
          </x15:c>
          <x15:c>
            <x15:v>51</x15:v>
          </x15:c>
          <x15:c>
            <x15:v>111</x15:v>
          </x15:c>
        </x15:pivotRow>
        <x15:pivotRow count="5">
          <x15:c>
            <x15:v>5</x15:v>
          </x15:c>
          <x15:c>
            <x15:v>40</x15:v>
          </x15:c>
          <x15:c t="e">
            <x15:v/>
          </x15:c>
          <x15:c>
            <x15:v>37</x15:v>
          </x15:c>
          <x15:c>
            <x15:v>82</x15:v>
          </x15:c>
        </x15:pivotRow>
        <x15:pivotRow count="5">
          <x15:c>
            <x15:v>10</x15:v>
          </x15:c>
          <x15:c>
            <x15:v>53</x15:v>
          </x15:c>
          <x15:c t="e">
            <x15:v/>
          </x15:c>
          <x15:c>
            <x15:v>60</x15:v>
          </x15:c>
          <x15:c>
            <x15:v>123</x15:v>
          </x15:c>
        </x15:pivotRow>
        <x15:pivotRow count="5">
          <x15:c>
            <x15:v>16</x15:v>
          </x15:c>
          <x15:c>
            <x15:v>41</x15:v>
          </x15:c>
          <x15:c t="e">
            <x15:v/>
          </x15:c>
          <x15:c>
            <x15:v>38</x15:v>
          </x15:c>
          <x15:c>
            <x15:v>95</x15:v>
          </x15:c>
        </x15:pivotRow>
        <x15:pivotRow count="5">
          <x15:c>
            <x15:v>9</x15:v>
          </x15:c>
          <x15:c>
            <x15:v>42</x15:v>
          </x15:c>
          <x15:c t="e">
            <x15:v/>
          </x15:c>
          <x15:c>
            <x15:v>29</x15:v>
          </x15:c>
          <x15:c>
            <x15:v>80</x15:v>
          </x15:c>
        </x15:pivotRow>
        <x15:pivotRow count="5"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</x15:pivotRow>
        <x15:pivotRow count="5">
          <x15:c>
            <x15:v>11</x15:v>
          </x15:c>
          <x15:c>
            <x15:v>64</x15:v>
          </x15:c>
          <x15:c t="e">
            <x15:v/>
          </x15:c>
          <x15:c>
            <x15:v>42</x15:v>
          </x15:c>
          <x15:c>
            <x15:v>117</x15:v>
          </x15:c>
        </x15:pivotRow>
        <x15:pivotRow count="5">
          <x15:c>
            <x15:v>10</x15:v>
          </x15:c>
          <x15:c>
            <x15:v>51</x15:v>
          </x15:c>
          <x15:c t="e">
            <x15:v/>
          </x15:c>
          <x15:c>
            <x15:v>64</x15:v>
          </x15:c>
          <x15:c>
            <x15:v>125</x15:v>
          </x15:c>
        </x15:pivotRow>
        <x15:pivotRow count="5">
          <x15:c>
            <x15:v>17</x15:v>
          </x15:c>
          <x15:c>
            <x15:v>48</x15:v>
          </x15:c>
          <x15:c t="e">
            <x15:v/>
          </x15:c>
          <x15:c>
            <x15:v>50</x15:v>
          </x15:c>
          <x15:c>
            <x15:v>115</x15:v>
          </x15:c>
        </x15:pivotRow>
        <x15:pivotRow count="5">
          <x15:c>
            <x15:v>17</x15:v>
          </x15:c>
          <x15:c>
            <x15:v>52</x15:v>
          </x15:c>
          <x15:c t="e">
            <x15:v/>
          </x15:c>
          <x15:c>
            <x15:v>53</x15:v>
          </x15:c>
          <x15:c>
            <x15:v>122</x15:v>
          </x15:c>
        </x15:pivotRow>
        <x15:pivotRow count="5">
          <x15:c>
            <x15:v>11</x15:v>
          </x15:c>
          <x15:c>
            <x15:v>41</x15:v>
          </x15:c>
          <x15:c t="e">
            <x15:v/>
          </x15:c>
          <x15:c>
            <x15:v>68</x15:v>
          </x15:c>
          <x15:c>
            <x15:v>120</x15:v>
          </x15:c>
        </x15:pivotRow>
        <x15:pivotRow count="5">
          <x15:c>
            <x15:v>7</x15:v>
          </x15:c>
          <x15:c>
            <x15:v>54</x15:v>
          </x15:c>
          <x15:c t="e">
            <x15:v/>
          </x15:c>
          <x15:c>
            <x15:v>61</x15:v>
          </x15:c>
          <x15:c>
            <x15:v>122</x15:v>
          </x15:c>
        </x15:pivotRow>
        <x15:pivotRow count="5">
          <x15:c>
            <x15:v>14</x15:v>
          </x15:c>
          <x15:c>
            <x15:v>36</x15:v>
          </x15:c>
          <x15:c t="e">
            <x15:v/>
          </x15:c>
          <x15:c>
            <x15:v>49</x15:v>
          </x15:c>
          <x15:c>
            <x15:v>99</x15:v>
          </x15:c>
        </x15:pivotRow>
        <x15:pivotRow count="5">
          <x15:c>
            <x15:v>10</x15:v>
          </x15:c>
          <x15:c>
            <x15:v>41</x15:v>
          </x15:c>
          <x15:c t="e">
            <x15:v/>
          </x15:c>
          <x15:c>
            <x15:v>39</x15:v>
          </x15:c>
          <x15:c>
            <x15:v>90</x15:v>
          </x15:c>
        </x15:pivotRow>
        <x15:pivotRow count="5">
          <x15:c>
            <x15:v>12</x15:v>
          </x15:c>
          <x15:c>
            <x15:v>36</x15:v>
          </x15:c>
          <x15:c t="e">
            <x15:v/>
          </x15:c>
          <x15:c>
            <x15:v>36</x15:v>
          </x15:c>
          <x15:c>
            <x15:v>84</x15:v>
          </x15:c>
        </x15:pivotRow>
        <x15:pivotRow count="5">
          <x15:c>
            <x15:v>7</x15:v>
          </x15:c>
          <x15:c>
            <x15:v>45</x15:v>
          </x15:c>
          <x15:c t="e">
            <x15:v/>
          </x15:c>
          <x15:c>
            <x15:v>44</x15:v>
          </x15:c>
          <x15:c>
            <x15:v>96</x15:v>
          </x15:c>
        </x15:pivotRow>
        <x15:pivotRow count="5">
          <x15:c>
            <x15:v>10</x15:v>
          </x15:c>
          <x15:c>
            <x15:v>28</x15:v>
          </x15:c>
          <x15:c t="e">
            <x15:v/>
          </x15:c>
          <x15:c>
            <x15:v>46</x15:v>
          </x15:c>
          <x15:c>
            <x15:v>84</x15:v>
          </x15:c>
        </x15:pivotRow>
        <x15:pivotRow count="5">
          <x15:c>
            <x15:v>5</x15:v>
          </x15:c>
          <x15:c>
            <x15:v>31</x15:v>
          </x15:c>
          <x15:c t="e">
            <x15:v/>
          </x15:c>
          <x15:c>
            <x15:v>15</x15:v>
          </x15:c>
          <x15:c>
            <x15:v>51</x15:v>
          </x15:c>
        </x15:pivotRow>
        <x15:pivotRow count="5"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</x15:pivotRow>
        <x15:pivotRow count="5">
          <x15:c>
            <x15:v>12</x15:v>
          </x15:c>
          <x15:c>
            <x15:v>42</x15:v>
          </x15:c>
          <x15:c t="e">
            <x15:v/>
          </x15:c>
          <x15:c>
            <x15:v>33</x15:v>
          </x15:c>
          <x15:c>
            <x15:v>87</x15:v>
          </x15:c>
        </x15:pivotRow>
        <x15:pivotRow count="5">
          <x15:c>
            <x15:v>8</x15:v>
          </x15:c>
          <x15:c>
            <x15:v>34</x15:v>
          </x15:c>
          <x15:c t="e">
            <x15:v/>
          </x15:c>
          <x15:c>
            <x15:v>49</x15:v>
          </x15:c>
          <x15:c>
            <x15:v>91</x15:v>
          </x15:c>
        </x15:pivotRow>
        <x15:pivotRow count="5">
          <x15:c>
            <x15:v>7</x15:v>
          </x15:c>
          <x15:c>
            <x15:v>40</x15:v>
          </x15:c>
          <x15:c t="e">
            <x15:v/>
          </x15:c>
          <x15:c>
            <x15:v>55</x15:v>
          </x15:c>
          <x15:c>
            <x15:v>102</x15:v>
          </x15:c>
        </x15:pivotRow>
        <x15:pivotRow count="5">
          <x15:c>
            <x15:v>8</x15:v>
          </x15:c>
          <x15:c>
            <x15:v>24</x15:v>
          </x15:c>
          <x15:c t="e">
            <x15:v/>
          </x15:c>
          <x15:c>
            <x15:v>45</x15:v>
          </x15:c>
          <x15:c>
            <x15:v>77</x15:v>
          </x15:c>
        </x15:pivotRow>
        <x15:pivotRow count="5">
          <x15:c>
            <x15:v>8</x15:v>
          </x15:c>
          <x15:c>
            <x15:v>33</x15:v>
          </x15:c>
          <x15:c t="e">
            <x15:v/>
          </x15:c>
          <x15:c>
            <x15:v>58</x15:v>
          </x15:c>
          <x15:c>
            <x15:v>99</x15:v>
          </x15:c>
        </x15:pivotRow>
        <x15:pivotRow count="5">
          <x15:c>
            <x15:v>12</x15:v>
          </x15:c>
          <x15:c>
            <x15:v>43</x15:v>
          </x15:c>
          <x15:c t="e">
            <x15:v/>
          </x15:c>
          <x15:c>
            <x15:v>34</x15:v>
          </x15:c>
          <x15:c>
            <x15:v>89</x15:v>
          </x15:c>
        </x15:pivotRow>
        <x15:pivotRow count="5">
          <x15:c>
            <x15:v>7</x15:v>
          </x15:c>
          <x15:c>
            <x15:v>18</x15:v>
          </x15:c>
          <x15:c t="e">
            <x15:v/>
          </x15:c>
          <x15:c>
            <x15:v>44</x15:v>
          </x15:c>
          <x15:c>
            <x15:v>69</x15:v>
          </x15:c>
        </x15:pivotRow>
        <x15:pivotRow count="5">
          <x15:c>
            <x15:v>11</x15:v>
          </x15:c>
          <x15:c>
            <x15:v>27</x15:v>
          </x15:c>
          <x15:c t="e">
            <x15:v/>
          </x15:c>
          <x15:c>
            <x15:v>29</x15:v>
          </x15:c>
          <x15:c>
            <x15:v>67</x15:v>
          </x15:c>
        </x15:pivotRow>
        <x15:pivotRow count="5">
          <x15:c>
            <x15:v>6</x15:v>
          </x15:c>
          <x15:c>
            <x15:v>29</x15:v>
          </x15:c>
          <x15:c t="e">
            <x15:v/>
          </x15:c>
          <x15:c>
            <x15:v>29</x15:v>
          </x15:c>
          <x15:c>
            <x15:v>64</x15:v>
          </x15:c>
        </x15:pivotRow>
        <x15:pivotRow count="5">
          <x15:c>
            <x15:v>2</x15:v>
          </x15:c>
          <x15:c>
            <x15:v>28</x15:v>
          </x15:c>
          <x15:c t="e">
            <x15:v/>
          </x15:c>
          <x15:c>
            <x15:v>27</x15:v>
          </x15:c>
          <x15:c>
            <x15:v>57</x15:v>
          </x15:c>
        </x15:pivotRow>
        <x15:pivotRow count="5">
          <x15:c>
            <x15:v>10</x15:v>
          </x15:c>
          <x15:c>
            <x15:v>28</x15:v>
          </x15:c>
          <x15:c t="e">
            <x15:v/>
          </x15:c>
          <x15:c>
            <x15:v>48</x15:v>
          </x15:c>
          <x15:c>
            <x15:v>86</x15:v>
          </x15:c>
        </x15:pivotRow>
        <x15:pivotRow count="5">
          <x15:c>
            <x15:v>8</x15:v>
          </x15:c>
          <x15:c>
            <x15:v>30</x15:v>
          </x15:c>
          <x15:c t="e">
            <x15:v/>
          </x15:c>
          <x15:c>
            <x15:v>24</x15:v>
          </x15:c>
          <x15:c>
            <x15:v>62</x15:v>
          </x15:c>
        </x15:pivotRow>
        <x15:pivotRow count="5"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</x15:pivotRow>
        <x15:pivotRow count="5">
          <x15:c>
            <x15:v>8</x15:v>
          </x15:c>
          <x15:c>
            <x15:v>23</x15:v>
          </x15:c>
          <x15:c>
            <x15:v>2</x15:v>
          </x15:c>
          <x15:c>
            <x15:v>35</x15:v>
          </x15:c>
          <x15:c>
            <x15:v>68</x15:v>
          </x15:c>
        </x15:pivotRow>
        <x15:pivotRow count="5">
          <x15:c>
            <x15:v>8</x15:v>
          </x15:c>
          <x15:c>
            <x15:v>8</x15:v>
          </x15:c>
          <x15:c>
            <x15:v>18</x15:v>
          </x15:c>
          <x15:c>
            <x15:v>23</x15:v>
          </x15:c>
          <x15:c>
            <x15:v>57</x15:v>
          </x15:c>
        </x15:pivotRow>
        <x15:pivotRow count="5">
          <x15:c>
            <x15:v>1</x15:v>
          </x15:c>
          <x15:c t="e">
            <x15:v/>
          </x15:c>
          <x15:c>
            <x15:v>30</x15:v>
          </x15:c>
          <x15:c>
            <x15:v>1</x15:v>
          </x15:c>
          <x15:c>
            <x15:v>32</x15:v>
          </x15:c>
        </x15:pivotRow>
        <x15:pivotRow count="5">
          <x15:c>
            <x15:v>349</x15:v>
          </x15:c>
          <x15:c>
            <x15:v>1530</x15:v>
          </x15:c>
          <x15:c>
            <x15:v>50</x15:v>
          </x15:c>
          <x15:c>
            <x15:v>2185</x15:v>
          </x15:c>
          <x15:c>
            <x15:v>4114</x15:v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191C5E-B74C-450A-B7A9-1267EEE8DC42}" name="PivotTable18" cacheId="69" applyNumberFormats="0" applyBorderFormats="0" applyFontFormats="0" applyPatternFormats="0" applyAlignmentFormats="0" applyWidthHeightFormats="1" dataCaption="Values" tag="cc71bbe4-1d21-48fa-b777-58e8c22286e3" updatedVersion="7" minRefreshableVersion="3" useAutoFormatting="1" itemPrintTitles="1" createdVersion="5" indent="0" outline="1" outlineData="1" multipleFieldFilters="0" chartFormat="1">
  <location ref="G85:J98" firstHeaderRow="0" firstDataRow="1" firstDataCol="1" rowPageCount="1" colPageCount="1"/>
  <pivotFields count="5"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1" hier="5" name="[Table1].[outcomes].&amp;[successful]" cap="successful"/>
  </pageFields>
  <dataFields count="3">
    <dataField name="Count of outcomes" fld="2" subtotal="count" baseField="0" baseItem="0"/>
    <dataField name="Sum of goal" fld="3" baseField="0" baseItem="0"/>
    <dataField name="Average of goal2" fld="4" subtotal="average" baseField="0" baseItem="0"/>
  </dataFields>
  <formats count="1">
    <format dxfId="1">
      <pivotArea collapsedLevelsAreSubtotals="1" fieldPosition="0">
        <references count="2">
          <reference field="4294967294" count="2" selected="0">
            <x v="1"/>
            <x v="2"/>
          </reference>
          <reference field="0" count="0"/>
        </references>
      </pivotArea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3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goal2"/>
  </pivotHierarchies>
  <pivotTableStyleInfo name="PivotStyleLight16" showRowHeaders="1" showColHeaders="1" showRowStripes="0" showColStripes="0" showLastColumn="1"/>
  <rowHierarchiesUsage count="1">
    <rowHierarchyUsage hierarchyUsage="2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3CAD65-74E9-4298-B2BD-521691621AAD}" name="PivotTable5" cacheId="62" applyNumberFormats="0" applyBorderFormats="0" applyFontFormats="0" applyPatternFormats="0" applyAlignmentFormats="0" applyWidthHeightFormats="1" dataCaption="Values" tag="3abbd54e-e0ce-47a0-86c5-8bb4975a1c84" updatedVersion="7" minRefreshableVersion="3" useAutoFormatting="1" itemPrintTitles="1" createdVersion="5" indent="0" outline="1" outlineData="1" multipleFieldFilters="0" chartFormat="8">
  <location ref="G36:P50" firstHeaderRow="1" firstDataRow="2" firstDataCol="1" rowPageCount="1" colPageCount="1"/>
  <pivotFields count="4">
    <pivotField dataField="1" subtotalTop="0" showAll="0" defaultSubtotal="0"/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2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pageFields count="1">
    <pageField fld="1" hier="5" name="[Table1].[outcomes].&amp;[successful]" cap="successful"/>
  </pageFields>
  <dataFields count="1">
    <dataField name="Count of outcomes" fld="0" subtotal="count" baseField="0" baseItem="0"/>
  </dataFields>
  <formats count="8">
    <format dxfId="55">
      <pivotArea field="1" type="button" dataOnly="0" labelOnly="1" outline="0" axis="axisPage" fieldPosition="0"/>
    </format>
    <format dxfId="54">
      <pivotArea dataOnly="0" labelOnly="1" fieldPosition="0">
        <references count="1">
          <reference field="1" count="0"/>
        </references>
      </pivotArea>
    </format>
    <format dxfId="53">
      <pivotArea outline="0" collapsedLevelsAreSubtotals="1" fieldPosition="0"/>
    </format>
    <format dxfId="52">
      <pivotArea dataOnly="0" labelOnly="1" outline="0" fieldPosition="0">
        <references count="1">
          <reference field="1" count="0"/>
        </references>
      </pivotArea>
    </format>
    <format dxfId="51">
      <pivotArea field="2" type="button" dataOnly="0" labelOnly="1" outline="0" axis="axisCol" fieldPosition="0"/>
    </format>
    <format dxfId="50">
      <pivotArea type="topRight" dataOnly="0" labelOnly="1" outline="0" fieldPosition="0"/>
    </format>
    <format dxfId="49">
      <pivotArea dataOnly="0" labelOnly="1" fieldPosition="0">
        <references count="1">
          <reference field="2" count="0"/>
        </references>
      </pivotArea>
    </format>
    <format dxfId="48">
      <pivotArea dataOnly="0" labelOnly="1" grandCol="1" outline="0" fieldPosition="0"/>
    </format>
  </format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</chartFormats>
  <pivotHierarchies count="3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2"/>
  </rowHierarchiesUsage>
  <colHierarchiesUsage count="1">
    <colHierarchyUsage hierarchyUsage="1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A739EF-26EB-4EFF-ABDA-4F340570D912}" name="PivotTable4" cacheId="63" applyNumberFormats="0" applyBorderFormats="0" applyFontFormats="0" applyPatternFormats="0" applyAlignmentFormats="0" applyWidthHeightFormats="1" dataCaption="Values" tag="3718b594-91d5-4585-91f8-16b54501c2cd" updatedVersion="7" minRefreshableVersion="3" useAutoFormatting="1" subtotalHiddenItems="1" itemPrintTitles="1" createdVersion="5" indent="0" outline="1" outlineData="1" multipleFieldFilters="0" chartFormat="5">
  <location ref="G18:L32" firstHeaderRow="1" firstDataRow="2" firstDataCol="1"/>
  <pivotFields count="3"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2" subtotal="count" baseField="0" baseItem="0"/>
  </dataFields>
  <formats count="5">
    <format dxfId="60">
      <pivotArea outline="0" collapsedLevelsAreSubtotals="1" fieldPosition="0"/>
    </format>
    <format dxfId="59">
      <pivotArea field="1" type="button" dataOnly="0" labelOnly="1" outline="0" axis="axisCol" fieldPosition="0"/>
    </format>
    <format dxfId="58">
      <pivotArea type="topRight" dataOnly="0" labelOnly="1" outline="0" fieldPosition="0"/>
    </format>
    <format dxfId="57">
      <pivotArea dataOnly="0" labelOnly="1" fieldPosition="0">
        <references count="1">
          <reference field="1" count="0"/>
        </references>
      </pivotArea>
    </format>
    <format dxfId="56">
      <pivotArea dataOnly="0" labelOnly="1" grandCol="1" outline="0" fieldPosition="0"/>
    </format>
  </format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Hierarchies count="3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2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7AAE5F-C429-40A8-87C5-3398DD8C2BE0}" name="PivotTable3" cacheId="64" applyNumberFormats="0" applyBorderFormats="0" applyFontFormats="0" applyPatternFormats="0" applyAlignmentFormats="0" applyWidthHeightFormats="1" dataCaption="Values" tag="24ec7089-56d4-44f2-a723-700afb1aedeb" updatedVersion="7" minRefreshableVersion="3" useAutoFormatting="1" subtotalHiddenItems="1" itemPrintTitles="1" createdVersion="5" indent="0" outline="1" outlineData="1" multipleFieldFilters="0">
  <location ref="B18:D275" firstHeaderRow="0" firstDataRow="1" firstDataCol="1" rowPageCount="1" colPageCount="1"/>
  <pivotFields count="6">
    <pivotField dataField="1" subtotalTop="0" showAll="0" defaultSubtotal="0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</pivotFields>
  <rowFields count="3">
    <field x="5"/>
    <field x="4"/>
    <field x="2"/>
  </rowFields>
  <rowItems count="257">
    <i>
      <x/>
    </i>
    <i r="1">
      <x/>
    </i>
    <i r="2">
      <x/>
    </i>
    <i r="1">
      <x v="1"/>
    </i>
    <i r="2">
      <x/>
    </i>
    <i r="1">
      <x v="2"/>
    </i>
    <i r="2">
      <x/>
    </i>
    <i>
      <x v="1"/>
    </i>
    <i r="1">
      <x/>
    </i>
    <i r="2">
      <x/>
    </i>
    <i r="1">
      <x v="1"/>
    </i>
    <i r="2">
      <x/>
    </i>
    <i r="1">
      <x v="3"/>
    </i>
    <i r="2">
      <x/>
    </i>
    <i r="1">
      <x v="4"/>
    </i>
    <i r="2">
      <x/>
    </i>
    <i r="1">
      <x v="2"/>
    </i>
    <i r="2">
      <x/>
    </i>
    <i r="1">
      <x v="5"/>
    </i>
    <i r="2">
      <x/>
    </i>
    <i>
      <x v="2"/>
    </i>
    <i r="1">
      <x/>
    </i>
    <i r="2">
      <x/>
    </i>
    <i r="1">
      <x v="6"/>
    </i>
    <i r="2">
      <x/>
    </i>
    <i r="1">
      <x v="1"/>
    </i>
    <i r="2">
      <x/>
    </i>
    <i r="1">
      <x v="4"/>
    </i>
    <i r="2">
      <x/>
    </i>
    <i r="1">
      <x v="2"/>
    </i>
    <i r="2">
      <x/>
    </i>
    <i r="1">
      <x v="5"/>
    </i>
    <i r="2">
      <x/>
    </i>
    <i>
      <x v="3"/>
    </i>
    <i r="1">
      <x/>
    </i>
    <i r="2">
      <x/>
    </i>
    <i r="1">
      <x v="6"/>
    </i>
    <i r="2">
      <x/>
    </i>
    <i r="1">
      <x v="1"/>
    </i>
    <i r="2">
      <x/>
    </i>
    <i r="1">
      <x v="4"/>
    </i>
    <i r="2">
      <x v="1"/>
    </i>
    <i r="2">
      <x/>
    </i>
    <i r="1">
      <x v="2"/>
    </i>
    <i r="2">
      <x v="1"/>
    </i>
    <i r="2">
      <x/>
    </i>
    <i r="1">
      <x v="5"/>
    </i>
    <i r="2">
      <x v="1"/>
    </i>
    <i r="2">
      <x/>
    </i>
    <i>
      <x v="4"/>
    </i>
    <i r="1">
      <x/>
    </i>
    <i r="2">
      <x v="1"/>
    </i>
    <i r="2">
      <x/>
    </i>
    <i r="1">
      <x v="6"/>
    </i>
    <i r="2">
      <x v="1"/>
    </i>
    <i r="2">
      <x/>
    </i>
    <i r="1">
      <x v="1"/>
    </i>
    <i r="2">
      <x v="2"/>
    </i>
    <i r="2">
      <x v="1"/>
    </i>
    <i r="2">
      <x/>
    </i>
    <i r="1">
      <x v="4"/>
    </i>
    <i r="2">
      <x v="1"/>
    </i>
    <i r="2">
      <x/>
    </i>
    <i r="1">
      <x v="2"/>
    </i>
    <i r="2">
      <x v="2"/>
    </i>
    <i r="2">
      <x v="1"/>
    </i>
    <i r="2">
      <x/>
    </i>
    <i r="1">
      <x v="5"/>
    </i>
    <i r="2">
      <x v="1"/>
    </i>
    <i r="2">
      <x/>
    </i>
    <i>
      <x v="5"/>
    </i>
    <i r="1">
      <x/>
    </i>
    <i r="2">
      <x v="3"/>
    </i>
    <i r="2">
      <x v="2"/>
    </i>
    <i r="2">
      <x v="1"/>
    </i>
    <i r="2">
      <x v="4"/>
    </i>
    <i r="2">
      <x/>
    </i>
    <i r="1">
      <x v="7"/>
    </i>
    <i r="2">
      <x/>
    </i>
    <i r="1">
      <x v="6"/>
    </i>
    <i r="2">
      <x v="2"/>
    </i>
    <i r="2">
      <x v="1"/>
    </i>
    <i r="2">
      <x/>
    </i>
    <i r="1">
      <x v="1"/>
    </i>
    <i r="2">
      <x v="2"/>
    </i>
    <i r="2">
      <x v="5"/>
    </i>
    <i r="2">
      <x v="1"/>
    </i>
    <i r="2">
      <x/>
    </i>
    <i r="1">
      <x v="3"/>
    </i>
    <i r="2">
      <x v="1"/>
    </i>
    <i r="2">
      <x/>
    </i>
    <i r="1">
      <x v="4"/>
    </i>
    <i r="2">
      <x v="1"/>
    </i>
    <i r="2">
      <x v="6"/>
    </i>
    <i r="2">
      <x/>
    </i>
    <i r="1">
      <x v="2"/>
    </i>
    <i r="2">
      <x v="2"/>
    </i>
    <i r="2">
      <x v="1"/>
    </i>
    <i r="2">
      <x v="6"/>
    </i>
    <i r="2">
      <x v="7"/>
    </i>
    <i r="2">
      <x/>
    </i>
    <i r="1">
      <x v="5"/>
    </i>
    <i r="2">
      <x v="3"/>
    </i>
    <i r="2">
      <x v="2"/>
    </i>
    <i r="2">
      <x v="1"/>
    </i>
    <i r="2">
      <x/>
    </i>
    <i>
      <x v="6"/>
    </i>
    <i r="1">
      <x/>
    </i>
    <i r="2">
      <x v="3"/>
    </i>
    <i r="2">
      <x v="2"/>
    </i>
    <i r="2">
      <x v="8"/>
    </i>
    <i r="2">
      <x v="9"/>
    </i>
    <i r="2">
      <x v="1"/>
    </i>
    <i r="2">
      <x/>
    </i>
    <i r="1">
      <x v="7"/>
    </i>
    <i r="2">
      <x/>
    </i>
    <i r="1">
      <x v="6"/>
    </i>
    <i r="2">
      <x v="2"/>
    </i>
    <i r="2">
      <x v="10"/>
    </i>
    <i r="2">
      <x v="1"/>
    </i>
    <i r="2">
      <x v="11"/>
    </i>
    <i r="2">
      <x v="12"/>
    </i>
    <i r="2">
      <x v="7"/>
    </i>
    <i r="2">
      <x/>
    </i>
    <i r="1">
      <x v="1"/>
    </i>
    <i r="2">
      <x v="13"/>
    </i>
    <i r="2">
      <x v="3"/>
    </i>
    <i r="2">
      <x v="2"/>
    </i>
    <i r="2">
      <x v="8"/>
    </i>
    <i r="2">
      <x v="1"/>
    </i>
    <i r="2">
      <x v="7"/>
    </i>
    <i r="2">
      <x/>
    </i>
    <i r="1">
      <x v="3"/>
    </i>
    <i r="2">
      <x v="3"/>
    </i>
    <i r="2">
      <x v="2"/>
    </i>
    <i r="2">
      <x v="10"/>
    </i>
    <i r="2">
      <x v="1"/>
    </i>
    <i r="2">
      <x v="11"/>
    </i>
    <i r="2">
      <x v="12"/>
    </i>
    <i r="2">
      <x v="7"/>
    </i>
    <i r="2">
      <x/>
    </i>
    <i r="1">
      <x v="4"/>
    </i>
    <i r="2">
      <x v="2"/>
    </i>
    <i r="2">
      <x/>
    </i>
    <i r="1">
      <x v="2"/>
    </i>
    <i r="2">
      <x v="13"/>
    </i>
    <i r="2">
      <x v="3"/>
    </i>
    <i r="2">
      <x v="2"/>
    </i>
    <i r="2">
      <x v="10"/>
    </i>
    <i r="2">
      <x v="8"/>
    </i>
    <i r="2">
      <x v="1"/>
    </i>
    <i r="2">
      <x v="11"/>
    </i>
    <i r="2">
      <x/>
    </i>
    <i r="1">
      <x v="5"/>
    </i>
    <i r="2">
      <x v="3"/>
    </i>
    <i r="2">
      <x v="2"/>
    </i>
    <i r="2">
      <x v="10"/>
    </i>
    <i r="2">
      <x v="8"/>
    </i>
    <i r="2">
      <x v="9"/>
    </i>
    <i r="2">
      <x v="1"/>
    </i>
    <i r="2">
      <x v="11"/>
    </i>
    <i r="2">
      <x v="14"/>
    </i>
    <i r="2">
      <x v="15"/>
    </i>
    <i r="2">
      <x v="7"/>
    </i>
    <i r="2">
      <x/>
    </i>
    <i>
      <x v="7"/>
    </i>
    <i r="1">
      <x/>
    </i>
    <i r="2">
      <x v="2"/>
    </i>
    <i r="2">
      <x v="10"/>
    </i>
    <i r="2">
      <x v="8"/>
    </i>
    <i r="2">
      <x v="9"/>
    </i>
    <i r="2">
      <x v="1"/>
    </i>
    <i r="2">
      <x/>
    </i>
    <i r="1">
      <x v="7"/>
    </i>
    <i r="2">
      <x/>
    </i>
    <i r="1">
      <x v="6"/>
    </i>
    <i r="2">
      <x v="3"/>
    </i>
    <i r="2">
      <x v="8"/>
    </i>
    <i r="2">
      <x v="1"/>
    </i>
    <i r="2">
      <x/>
    </i>
    <i r="1">
      <x v="1"/>
    </i>
    <i r="2">
      <x v="2"/>
    </i>
    <i r="2">
      <x v="10"/>
    </i>
    <i r="2">
      <x v="8"/>
    </i>
    <i r="2">
      <x v="9"/>
    </i>
    <i r="2">
      <x v="1"/>
    </i>
    <i r="2">
      <x v="12"/>
    </i>
    <i r="2">
      <x v="7"/>
    </i>
    <i r="2">
      <x/>
    </i>
    <i r="1">
      <x v="3"/>
    </i>
    <i r="2">
      <x v="3"/>
    </i>
    <i r="2">
      <x v="16"/>
    </i>
    <i r="2">
      <x v="2"/>
    </i>
    <i r="2">
      <x v="10"/>
    </i>
    <i r="2">
      <x v="5"/>
    </i>
    <i r="2">
      <x v="1"/>
    </i>
    <i r="2">
      <x v="12"/>
    </i>
    <i r="2">
      <x v="15"/>
    </i>
    <i r="2">
      <x/>
    </i>
    <i r="1">
      <x v="4"/>
    </i>
    <i r="2">
      <x v="3"/>
    </i>
    <i r="2">
      <x v="2"/>
    </i>
    <i r="2">
      <x v="1"/>
    </i>
    <i r="2">
      <x/>
    </i>
    <i r="1">
      <x v="2"/>
    </i>
    <i r="2">
      <x v="3"/>
    </i>
    <i r="2">
      <x v="2"/>
    </i>
    <i r="2">
      <x v="10"/>
    </i>
    <i r="2">
      <x v="5"/>
    </i>
    <i r="2">
      <x v="8"/>
    </i>
    <i r="2">
      <x v="9"/>
    </i>
    <i r="2">
      <x v="1"/>
    </i>
    <i r="2">
      <x v="12"/>
    </i>
    <i r="2">
      <x/>
    </i>
    <i r="1">
      <x v="5"/>
    </i>
    <i r="2">
      <x v="3"/>
    </i>
    <i r="2">
      <x v="2"/>
    </i>
    <i r="2">
      <x v="10"/>
    </i>
    <i r="2">
      <x v="5"/>
    </i>
    <i r="2">
      <x v="8"/>
    </i>
    <i r="2">
      <x v="1"/>
    </i>
    <i r="2">
      <x v="11"/>
    </i>
    <i r="2">
      <x v="12"/>
    </i>
    <i r="2">
      <x v="4"/>
    </i>
    <i r="2">
      <x v="17"/>
    </i>
    <i r="2">
      <x/>
    </i>
    <i>
      <x v="8"/>
    </i>
    <i r="1">
      <x/>
    </i>
    <i r="2">
      <x v="3"/>
    </i>
    <i r="2">
      <x/>
    </i>
    <i r="1">
      <x v="7"/>
    </i>
    <i r="2">
      <x/>
    </i>
    <i r="1">
      <x v="6"/>
    </i>
    <i r="2">
      <x v="3"/>
    </i>
    <i r="2">
      <x v="2"/>
    </i>
    <i r="2">
      <x v="10"/>
    </i>
    <i r="2">
      <x v="1"/>
    </i>
    <i r="2">
      <x/>
    </i>
    <i r="1">
      <x v="1"/>
    </i>
    <i r="2">
      <x v="1"/>
    </i>
    <i r="2">
      <x/>
    </i>
    <i r="1">
      <x v="3"/>
    </i>
    <i r="2">
      <x v="13"/>
    </i>
    <i r="2">
      <x v="10"/>
    </i>
    <i r="2">
      <x v="1"/>
    </i>
    <i r="2">
      <x v="14"/>
    </i>
    <i r="2">
      <x v="7"/>
    </i>
    <i r="2">
      <x/>
    </i>
    <i r="1">
      <x v="2"/>
    </i>
    <i r="2">
      <x v="2"/>
    </i>
    <i r="2">
      <x/>
    </i>
    <i r="1">
      <x v="5"/>
    </i>
    <i r="2">
      <x v="18"/>
    </i>
    <i r="2">
      <x v="1"/>
    </i>
    <i r="2">
      <x v="4"/>
    </i>
    <i r="2">
      <x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5" name="[Table1].[outcomes].&amp;[successful]" cap="successful"/>
  </pageFields>
  <dataFields count="2">
    <dataField name="Count of outcomes" fld="0" subtotal="count" baseField="0" baseItem="0"/>
    <dataField name="Sum of goal" fld="3" baseField="0" baseItem="0"/>
  </dataFields>
  <pivotHierarchies count="3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3">
    <rowHierarchyUsage hierarchyUsage="20"/>
    <rowHierarchyUsage hierarchyUsage="16"/>
    <rowHierarchyUsage hierarchyUsage="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218E72-2589-4D49-AD38-A8AF22B376AA}" name="PivotTable6" cacheId="65" applyNumberFormats="0" applyBorderFormats="0" applyFontFormats="0" applyPatternFormats="0" applyAlignmentFormats="0" applyWidthHeightFormats="1" dataCaption="Values" tag="3da02c5a-efac-421c-9d06-b52e3fd626c3" updatedVersion="7" minRefreshableVersion="3" useAutoFormatting="1" subtotalHiddenItems="1" itemPrintTitles="1" createdVersion="5" indent="0" outline="1" outlineData="1" multipleFieldFilters="0" chartFormat="17">
  <location ref="G54:I74" firstHeaderRow="1" firstDataRow="2" firstDataCol="1" rowPageCount="1" colPageCount="1"/>
  <pivotFields count="4">
    <pivotField axis="axisPage" allDrilled="1" subtotalTop="0" showAll="0" dataSourceSort="1" defaultSubtotal="0" defaultAttributeDrillState="1"/>
    <pivotField axis="axisRow" allDrilled="1" subtotalTop="0" showAll="0" sortType="ascending" defaultSubtotal="0" defaultAttributeDrillState="1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xis="axisCol" allDrilled="1" subtotalTop="0" showAll="0" dataSourceSort="1" defaultSubtotal="0" defaultAttributeDrillState="1">
      <items count="12">
        <item s="1"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1">
    <field x="1"/>
  </rowFields>
  <rowItems count="19">
    <i>
      <x v="5"/>
    </i>
    <i>
      <x/>
    </i>
    <i>
      <x v="14"/>
    </i>
    <i>
      <x v="10"/>
    </i>
    <i>
      <x v="2"/>
    </i>
    <i>
      <x v="16"/>
    </i>
    <i>
      <x v="12"/>
    </i>
    <i>
      <x v="13"/>
    </i>
    <i>
      <x v="17"/>
    </i>
    <i>
      <x v="7"/>
    </i>
    <i>
      <x v="6"/>
    </i>
    <i>
      <x v="15"/>
    </i>
    <i>
      <x v="1"/>
    </i>
    <i>
      <x v="3"/>
    </i>
    <i>
      <x v="8"/>
    </i>
    <i>
      <x v="4"/>
    </i>
    <i>
      <x v="11"/>
    </i>
    <i>
      <x v="9"/>
    </i>
    <i t="grand">
      <x/>
    </i>
  </rowItems>
  <colFields count="1">
    <field x="3"/>
  </colFields>
  <colItems count="2">
    <i>
      <x/>
    </i>
    <i t="grand">
      <x/>
    </i>
  </colItems>
  <pageFields count="1">
    <pageField fld="0" hier="5" name="[Table1].[outcomes].&amp;[successful]" cap="successful"/>
  </pageFields>
  <dataFields count="1">
    <dataField name="Count of Subcategory" fld="2" subtotal="count" baseField="0" baseItem="0"/>
  </dataFields>
  <formats count="5">
    <format dxfId="65">
      <pivotArea outline="0" collapsedLevelsAreSubtotals="1" fieldPosition="0">
        <references count="1">
          <reference field="3" count="9" selected="0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64">
      <pivotArea dataOnly="0" labelOnly="1" outline="0" fieldPosition="0">
        <references count="1">
          <reference field="0" count="0"/>
        </references>
      </pivotArea>
    </format>
    <format dxfId="63">
      <pivotArea field="3" type="button" dataOnly="0" labelOnly="1" outline="0" axis="axisCol" fieldPosition="0"/>
    </format>
    <format dxfId="62">
      <pivotArea type="topRight" dataOnly="0" labelOnly="1" outline="0" fieldPosition="0"/>
    </format>
    <format dxfId="61">
      <pivotArea dataOnly="0" labelOnly="1" fieldPosition="0">
        <references count="1">
          <reference field="3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</formats>
  <chartFormats count="14"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2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12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2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12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12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12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12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12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12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13" format="1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4" format="1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</chartFormats>
  <pivotHierarchies count="3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7"/>
  </rowHierarchiesUsage>
  <colHierarchiesUsage count="1">
    <colHierarchyUsage hierarchyUsage="2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FAA08D1-9EC4-4DA4-8B30-3ADC4065BE1E}" name="Table1" displayName="Table1" ref="A1:U4116" totalsRowCount="1" headerRowDxfId="47">
  <autoFilter ref="A1:U4115" xr:uid="{301AFD71-6AA6-4AEF-9D75-7B0D8C46DAA9}"/>
  <tableColumns count="21">
    <tableColumn id="1" xr3:uid="{E8ADF88D-2A3F-43EF-BC68-E3609740E289}" name="id"/>
    <tableColumn id="2" xr3:uid="{BE2F20DA-D80B-4BA8-9773-4D23CD772CC6}" name="name" dataDxfId="46" totalsRowDxfId="45"/>
    <tableColumn id="3" xr3:uid="{40B4DFD7-D72E-421D-8940-3E9F8A66C282}" name="blurb" dataDxfId="44" totalsRowDxfId="43"/>
    <tableColumn id="4" xr3:uid="{FFEC3221-0C5E-4D44-8219-B9BBB6BCEC07}" name="goal" dataDxfId="42" totalsRowDxfId="41"/>
    <tableColumn id="5" xr3:uid="{A9CC46C9-DA27-4031-9EBA-6AE5A1629FB7}" name="pledged" dataDxfId="40" totalsRowDxfId="39"/>
    <tableColumn id="6" xr3:uid="{4A7D0BB2-8B49-46A8-B299-85ED308E8744}" name="outcomes"/>
    <tableColumn id="7" xr3:uid="{3A813904-491C-4375-A165-E71EEDC34975}" name="country"/>
    <tableColumn id="8" xr3:uid="{F2F51DE2-0CA2-4C49-89C5-6698E76FAE7F}" name="currency"/>
    <tableColumn id="9" xr3:uid="{A5A06C72-1061-479A-B456-6F047CB15574}" name="deadline" dataDxfId="38" totalsRowDxfId="37"/>
    <tableColumn id="10" xr3:uid="{BF94C210-3133-493C-8A19-E471D356F039}" name="launched_at"/>
    <tableColumn id="11" xr3:uid="{6F7437F7-A077-451D-B2DA-D751185D77D8}" name="staff_pick"/>
    <tableColumn id="12" xr3:uid="{F8D1717A-E1CB-49B8-9B70-1E00F78B2AA8}" name="backers_count" totalsRowFunction="custom" dataDxfId="36" totalsRowCellStyle="Comma">
      <totalsRowFormula>SUM(Table1[backers_count])</totalsRowFormula>
    </tableColumn>
    <tableColumn id="13" xr3:uid="{2489D61F-E80F-490D-ABC3-81DF7605FD4E}" name="spotlight"/>
    <tableColumn id="14" xr3:uid="{DE7C90DE-5698-4123-B0AC-938B3BBBDE1F}" name="Category and Subcategory"/>
    <tableColumn id="15" xr3:uid="{A1DE1A18-F616-46AE-8EA0-1DB3AAB22458}" name="percentage" dataDxfId="35" totalsRowDxfId="34" dataCellStyle="Comma" totalsRowCellStyle="Comma">
      <calculatedColumnFormula>ROUND(E2/D2*100,0)</calculatedColumnFormula>
    </tableColumn>
    <tableColumn id="16" xr3:uid="{6AC6F228-9595-4C40-B109-7EF65FB85CC6}" name="Average Donation" dataDxfId="33" totalsRowDxfId="32" dataCellStyle="Currency" totalsRowCellStyle="Currency">
      <calculatedColumnFormula>IFERROR(ROUND(E2/L2,),"No Backers")</calculatedColumnFormula>
    </tableColumn>
    <tableColumn id="17" xr3:uid="{46355641-53A3-4F00-A651-A9C396723393}" name="Parent" dataDxfId="31" totalsRowDxfId="30"/>
    <tableColumn id="18" xr3:uid="{9B9F9953-539A-4661-9A61-1F1985D2B107}" name="Subcategory"/>
    <tableColumn id="19" xr3:uid="{3F109A7B-B8CD-4560-B587-D995BA2DDEF1}" name="Launched" dataDxfId="29" totalsRowDxfId="28">
      <calculatedColumnFormula>(((J2/60)/60)/24)+DATE(1970,1,1)</calculatedColumnFormula>
    </tableColumn>
    <tableColumn id="20" xr3:uid="{B41EA30B-8CE6-4092-88C7-ED71378676D9}" name="Date ended" dataDxfId="27" totalsRowDxfId="26">
      <calculatedColumnFormula>(((I2/60)/60)/24)+DATE(1970,1,1)</calculatedColumnFormula>
    </tableColumn>
    <tableColumn id="21" xr3:uid="{CE9FA2B6-53D6-49FF-9E00-44C92756834D}" name="Column1" dataDxfId="25">
      <calculatedColumnFormula>MONTH(Table1[[#This Row],[Launched]])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2u-data-curriculum-team.s3.amazonaws.com/dataviz-online/module_1/Written_Report_Template.md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drawing" Target="../drawings/drawing2.xml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BB4EA-0408-4C6F-9149-79E2C80244D5}">
  <dimension ref="A2:E24"/>
  <sheetViews>
    <sheetView workbookViewId="0">
      <selection activeCell="C23" sqref="C23"/>
    </sheetView>
  </sheetViews>
  <sheetFormatPr defaultRowHeight="14.4" x14ac:dyDescent="0.3"/>
  <cols>
    <col min="1" max="1" width="40.77734375" customWidth="1"/>
    <col min="5" max="5" width="35.21875" customWidth="1"/>
  </cols>
  <sheetData>
    <row r="2" spans="1:5" ht="26.4" x14ac:dyDescent="0.3">
      <c r="A2" s="20" t="s">
        <v>8387</v>
      </c>
      <c r="E2" s="25" t="s">
        <v>8402</v>
      </c>
    </row>
    <row r="3" spans="1:5" ht="26.4" x14ac:dyDescent="0.3">
      <c r="A3" s="20" t="s">
        <v>8388</v>
      </c>
      <c r="E3" s="26"/>
    </row>
    <row r="4" spans="1:5" ht="26.4" x14ac:dyDescent="0.3">
      <c r="A4" s="20" t="s">
        <v>8389</v>
      </c>
      <c r="E4" s="25" t="s">
        <v>8403</v>
      </c>
    </row>
    <row r="5" spans="1:5" x14ac:dyDescent="0.3">
      <c r="E5" s="26"/>
    </row>
    <row r="6" spans="1:5" x14ac:dyDescent="0.3">
      <c r="E6" s="25" t="s">
        <v>8404</v>
      </c>
    </row>
    <row r="7" spans="1:5" x14ac:dyDescent="0.3">
      <c r="E7" s="26"/>
    </row>
    <row r="8" spans="1:5" x14ac:dyDescent="0.3">
      <c r="E8" s="25" t="s">
        <v>8405</v>
      </c>
    </row>
    <row r="9" spans="1:5" x14ac:dyDescent="0.3">
      <c r="E9" s="26"/>
    </row>
    <row r="10" spans="1:5" ht="15" thickBot="1" x14ac:dyDescent="0.35">
      <c r="E10" s="25" t="s">
        <v>8406</v>
      </c>
    </row>
    <row r="11" spans="1:5" ht="21.6" x14ac:dyDescent="0.3">
      <c r="A11" s="21" t="s">
        <v>8390</v>
      </c>
      <c r="E11" s="26"/>
    </row>
    <row r="12" spans="1:5" ht="39.6" x14ac:dyDescent="0.3">
      <c r="A12" s="22" t="s">
        <v>8391</v>
      </c>
      <c r="E12" s="25" t="s">
        <v>8407</v>
      </c>
    </row>
    <row r="13" spans="1:5" ht="29.4" thickBot="1" x14ac:dyDescent="0.35">
      <c r="A13" s="23" t="s">
        <v>8392</v>
      </c>
      <c r="E13" s="26"/>
    </row>
    <row r="14" spans="1:5" ht="64.8" x14ac:dyDescent="0.3">
      <c r="A14" s="21" t="s">
        <v>8393</v>
      </c>
      <c r="E14" s="25" t="s">
        <v>8408</v>
      </c>
    </row>
    <row r="15" spans="1:5" ht="20.399999999999999" x14ac:dyDescent="0.3">
      <c r="A15" s="24" t="s">
        <v>8394</v>
      </c>
      <c r="E15" s="26"/>
    </row>
    <row r="16" spans="1:5" ht="52.8" x14ac:dyDescent="0.3">
      <c r="A16" s="22" t="s">
        <v>8395</v>
      </c>
      <c r="E16" s="25" t="s">
        <v>8409</v>
      </c>
    </row>
    <row r="17" spans="1:5" x14ac:dyDescent="0.3">
      <c r="E17" s="26"/>
    </row>
    <row r="18" spans="1:5" x14ac:dyDescent="0.3">
      <c r="E18" s="27" t="s">
        <v>8410</v>
      </c>
    </row>
    <row r="19" spans="1:5" ht="39.6" x14ac:dyDescent="0.3">
      <c r="A19" s="20" t="s">
        <v>8396</v>
      </c>
      <c r="E19" s="26"/>
    </row>
    <row r="20" spans="1:5" ht="26.4" x14ac:dyDescent="0.3">
      <c r="A20" s="20" t="s">
        <v>8397</v>
      </c>
      <c r="E20" s="27" t="s">
        <v>8411</v>
      </c>
    </row>
    <row r="21" spans="1:5" ht="39.6" x14ac:dyDescent="0.3">
      <c r="A21" s="20" t="s">
        <v>8398</v>
      </c>
      <c r="E21" s="26"/>
    </row>
    <row r="22" spans="1:5" ht="39.6" x14ac:dyDescent="0.3">
      <c r="A22" s="20" t="s">
        <v>8399</v>
      </c>
      <c r="E22" s="27" t="s">
        <v>8412</v>
      </c>
    </row>
    <row r="23" spans="1:5" ht="52.8" x14ac:dyDescent="0.3">
      <c r="A23" s="22" t="s">
        <v>8400</v>
      </c>
      <c r="E23" s="26"/>
    </row>
    <row r="24" spans="1:5" x14ac:dyDescent="0.3">
      <c r="E24" s="27" t="s">
        <v>8413</v>
      </c>
    </row>
  </sheetData>
  <hyperlinks>
    <hyperlink ref="A13" r:id="rId1" display="https://2u-data-curriculum-team.s3.amazonaws.com/dataviz-online/module_1/Written_Report_Template.md" xr:uid="{688CC589-A570-47C3-AF75-979B8173BB9C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926FA1-07A6-485D-A329-8C2E10B88718}">
  <dimension ref="B1:Q6121"/>
  <sheetViews>
    <sheetView workbookViewId="0">
      <selection activeCell="A2" sqref="A2"/>
    </sheetView>
  </sheetViews>
  <sheetFormatPr defaultRowHeight="14.4" x14ac:dyDescent="0.3"/>
  <cols>
    <col min="2" max="2" width="12.33203125" bestFit="1" customWidth="1"/>
    <col min="3" max="3" width="16.77734375" style="36" bestFit="1" customWidth="1"/>
    <col min="4" max="4" width="12.21875" bestFit="1" customWidth="1"/>
    <col min="5" max="5" width="16.77734375" bestFit="1" customWidth="1"/>
    <col min="6" max="6" width="12.21875" bestFit="1" customWidth="1"/>
    <col min="7" max="7" width="16.77734375" bestFit="1" customWidth="1"/>
    <col min="8" max="8" width="12.21875" bestFit="1" customWidth="1"/>
    <col min="9" max="9" width="27.44140625" customWidth="1"/>
    <col min="10" max="10" width="20.77734375" customWidth="1"/>
    <col min="11" max="11" width="25.77734375" customWidth="1"/>
    <col min="12" max="12" width="17.109375" bestFit="1" customWidth="1"/>
    <col min="13" max="13" width="15.21875" customWidth="1"/>
    <col min="14" max="14" width="2.77734375" bestFit="1" customWidth="1"/>
    <col min="15" max="15" width="15.21875" customWidth="1"/>
    <col min="16" max="16" width="14.77734375" customWidth="1"/>
    <col min="17" max="17" width="10.44140625" customWidth="1"/>
    <col min="18" max="37" width="2.77734375" bestFit="1" customWidth="1"/>
    <col min="38" max="68" width="3.77734375" bestFit="1" customWidth="1"/>
    <col min="69" max="69" width="6.77734375" bestFit="1" customWidth="1"/>
    <col min="70" max="83" width="3.77734375" bestFit="1" customWidth="1"/>
    <col min="84" max="84" width="6.77734375" bestFit="1" customWidth="1"/>
    <col min="85" max="95" width="3.77734375" bestFit="1" customWidth="1"/>
    <col min="96" max="145" width="4.77734375" bestFit="1" customWidth="1"/>
    <col min="146" max="146" width="7.77734375" bestFit="1" customWidth="1"/>
    <col min="147" max="157" width="4.77734375" bestFit="1" customWidth="1"/>
    <col min="158" max="172" width="5.77734375" bestFit="1" customWidth="1"/>
    <col min="173" max="173" width="8.77734375" bestFit="1" customWidth="1"/>
    <col min="174" max="179" width="5.77734375" bestFit="1" customWidth="1"/>
    <col min="180" max="180" width="6.77734375" bestFit="1" customWidth="1"/>
    <col min="181" max="181" width="9.77734375" bestFit="1" customWidth="1"/>
    <col min="182" max="182" width="10.77734375" bestFit="1" customWidth="1"/>
    <col min="183" max="183" width="7.21875" bestFit="1" customWidth="1"/>
    <col min="184" max="186" width="2.77734375" bestFit="1" customWidth="1"/>
    <col min="187" max="187" width="1.77734375" bestFit="1" customWidth="1"/>
    <col min="188" max="189" width="2.77734375" bestFit="1" customWidth="1"/>
    <col min="190" max="192" width="1.77734375" bestFit="1" customWidth="1"/>
    <col min="193" max="196" width="2.77734375" bestFit="1" customWidth="1"/>
    <col min="197" max="197" width="4.77734375" bestFit="1" customWidth="1"/>
    <col min="198" max="208" width="2.77734375" bestFit="1" customWidth="1"/>
    <col min="209" max="209" width="5.77734375" bestFit="1" customWidth="1"/>
    <col min="210" max="215" width="2.77734375" bestFit="1" customWidth="1"/>
    <col min="216" max="216" width="5.77734375" bestFit="1" customWidth="1"/>
    <col min="217" max="224" width="2.77734375" bestFit="1" customWidth="1"/>
    <col min="225" max="225" width="5.77734375" bestFit="1" customWidth="1"/>
    <col min="226" max="227" width="2.77734375" bestFit="1" customWidth="1"/>
    <col min="228" max="228" width="5.77734375" bestFit="1" customWidth="1"/>
    <col min="229" max="244" width="2.77734375" bestFit="1" customWidth="1"/>
    <col min="245" max="245" width="5.77734375" bestFit="1" customWidth="1"/>
    <col min="246" max="257" width="2.77734375" bestFit="1" customWidth="1"/>
    <col min="258" max="258" width="5.77734375" bestFit="1" customWidth="1"/>
    <col min="259" max="265" width="2.77734375" bestFit="1" customWidth="1"/>
    <col min="266" max="308" width="3.77734375" bestFit="1" customWidth="1"/>
    <col min="309" max="309" width="6.77734375" bestFit="1" customWidth="1"/>
    <col min="310" max="322" width="3.77734375" bestFit="1" customWidth="1"/>
    <col min="323" max="323" width="5.77734375" bestFit="1" customWidth="1"/>
    <col min="324" max="483" width="3.77734375" bestFit="1" customWidth="1"/>
    <col min="484" max="484" width="5.77734375" bestFit="1" customWidth="1"/>
    <col min="485" max="526" width="3.77734375" bestFit="1" customWidth="1"/>
    <col min="527" max="554" width="4.77734375" bestFit="1" customWidth="1"/>
    <col min="555" max="555" width="7.77734375" bestFit="1" customWidth="1"/>
    <col min="556" max="599" width="4.77734375" bestFit="1" customWidth="1"/>
    <col min="600" max="600" width="7.77734375" bestFit="1" customWidth="1"/>
    <col min="601" max="642" width="4.77734375" bestFit="1" customWidth="1"/>
    <col min="643" max="643" width="6.77734375" bestFit="1" customWidth="1"/>
    <col min="644" max="644" width="7.77734375" bestFit="1" customWidth="1"/>
    <col min="645" max="645" width="4.77734375" bestFit="1" customWidth="1"/>
    <col min="646" max="646" width="7.77734375" bestFit="1" customWidth="1"/>
    <col min="647" max="665" width="4.77734375" bestFit="1" customWidth="1"/>
    <col min="666" max="666" width="7.77734375" bestFit="1" customWidth="1"/>
    <col min="667" max="704" width="4.77734375" bestFit="1" customWidth="1"/>
    <col min="705" max="705" width="7.77734375" bestFit="1" customWidth="1"/>
    <col min="706" max="728" width="4.77734375" bestFit="1" customWidth="1"/>
    <col min="729" max="729" width="7.77734375" bestFit="1" customWidth="1"/>
    <col min="730" max="734" width="4.77734375" bestFit="1" customWidth="1"/>
    <col min="735" max="735" width="7.77734375" bestFit="1" customWidth="1"/>
    <col min="736" max="751" width="4.77734375" bestFit="1" customWidth="1"/>
    <col min="752" max="752" width="7.77734375" bestFit="1" customWidth="1"/>
    <col min="753" max="753" width="4.77734375" bestFit="1" customWidth="1"/>
    <col min="754" max="755" width="7.77734375" bestFit="1" customWidth="1"/>
    <col min="756" max="768" width="4.77734375" bestFit="1" customWidth="1"/>
    <col min="769" max="769" width="7.77734375" bestFit="1" customWidth="1"/>
    <col min="770" max="779" width="4.77734375" bestFit="1" customWidth="1"/>
    <col min="780" max="780" width="7.77734375" bestFit="1" customWidth="1"/>
    <col min="781" max="790" width="4.77734375" bestFit="1" customWidth="1"/>
    <col min="791" max="816" width="5.77734375" bestFit="1" customWidth="1"/>
    <col min="817" max="817" width="8.77734375" bestFit="1" customWidth="1"/>
    <col min="818" max="826" width="5.77734375" bestFit="1" customWidth="1"/>
    <col min="827" max="828" width="8.77734375" bestFit="1" customWidth="1"/>
    <col min="829" max="829" width="5.77734375" bestFit="1" customWidth="1"/>
    <col min="830" max="830" width="8.77734375" bestFit="1" customWidth="1"/>
    <col min="831" max="839" width="5.77734375" bestFit="1" customWidth="1"/>
    <col min="840" max="840" width="7.77734375" bestFit="1" customWidth="1"/>
    <col min="841" max="841" width="5.77734375" bestFit="1" customWidth="1"/>
    <col min="842" max="842" width="9.77734375" bestFit="1" customWidth="1"/>
    <col min="843" max="843" width="8.77734375" bestFit="1" customWidth="1"/>
    <col min="844" max="845" width="6.77734375" bestFit="1" customWidth="1"/>
    <col min="846" max="846" width="5.44140625" bestFit="1" customWidth="1"/>
    <col min="847" max="847" width="1.77734375" bestFit="1" customWidth="1"/>
    <col min="848" max="854" width="2.77734375" bestFit="1" customWidth="1"/>
    <col min="855" max="868" width="3.77734375" bestFit="1" customWidth="1"/>
    <col min="869" max="885" width="4.77734375" bestFit="1" customWidth="1"/>
    <col min="886" max="888" width="5.77734375" bestFit="1" customWidth="1"/>
    <col min="889" max="889" width="8.77734375" bestFit="1" customWidth="1"/>
    <col min="890" max="890" width="11" bestFit="1" customWidth="1"/>
    <col min="891" max="897" width="2.77734375" bestFit="1" customWidth="1"/>
    <col min="898" max="942" width="3.77734375" bestFit="1" customWidth="1"/>
    <col min="943" max="944" width="6.77734375" bestFit="1" customWidth="1"/>
    <col min="945" max="947" width="3.77734375" bestFit="1" customWidth="1"/>
    <col min="948" max="948" width="6.77734375" bestFit="1" customWidth="1"/>
    <col min="949" max="956" width="3.77734375" bestFit="1" customWidth="1"/>
    <col min="957" max="957" width="5.77734375" bestFit="1" customWidth="1"/>
    <col min="958" max="962" width="3.77734375" bestFit="1" customWidth="1"/>
    <col min="963" max="963" width="6.77734375" bestFit="1" customWidth="1"/>
    <col min="964" max="969" width="3.77734375" bestFit="1" customWidth="1"/>
    <col min="970" max="970" width="6.77734375" bestFit="1" customWidth="1"/>
    <col min="971" max="971" width="3.77734375" bestFit="1" customWidth="1"/>
    <col min="972" max="972" width="6.77734375" bestFit="1" customWidth="1"/>
    <col min="973" max="982" width="3.77734375" bestFit="1" customWidth="1"/>
    <col min="983" max="983" width="6.77734375" bestFit="1" customWidth="1"/>
    <col min="984" max="1001" width="3.77734375" bestFit="1" customWidth="1"/>
    <col min="1002" max="1002" width="6.77734375" bestFit="1" customWidth="1"/>
    <col min="1003" max="1011" width="3.77734375" bestFit="1" customWidth="1"/>
    <col min="1012" max="1012" width="6.77734375" bestFit="1" customWidth="1"/>
    <col min="1013" max="1014" width="3.77734375" bestFit="1" customWidth="1"/>
    <col min="1015" max="1015" width="6.77734375" bestFit="1" customWidth="1"/>
    <col min="1016" max="1026" width="3.77734375" bestFit="1" customWidth="1"/>
    <col min="1027" max="1027" width="6.77734375" bestFit="1" customWidth="1"/>
    <col min="1028" max="1048" width="3.77734375" bestFit="1" customWidth="1"/>
    <col min="1049" max="1049" width="6.77734375" bestFit="1" customWidth="1"/>
    <col min="1050" max="1069" width="3.77734375" bestFit="1" customWidth="1"/>
    <col min="1070" max="1070" width="6.77734375" bestFit="1" customWidth="1"/>
    <col min="1071" max="1082" width="3.77734375" bestFit="1" customWidth="1"/>
    <col min="1083" max="1083" width="4.77734375" bestFit="1" customWidth="1"/>
    <col min="1084" max="1085" width="7.77734375" bestFit="1" customWidth="1"/>
    <col min="1086" max="1086" width="4.77734375" bestFit="1" customWidth="1"/>
    <col min="1087" max="1087" width="7.77734375" bestFit="1" customWidth="1"/>
    <col min="1088" max="1099" width="4.77734375" bestFit="1" customWidth="1"/>
    <col min="1100" max="1100" width="7.77734375" bestFit="1" customWidth="1"/>
    <col min="1101" max="1103" width="4.77734375" bestFit="1" customWidth="1"/>
    <col min="1104" max="1104" width="7.77734375" bestFit="1" customWidth="1"/>
    <col min="1105" max="1108" width="4.77734375" bestFit="1" customWidth="1"/>
    <col min="1109" max="1109" width="6.77734375" bestFit="1" customWidth="1"/>
    <col min="1110" max="1110" width="4.77734375" bestFit="1" customWidth="1"/>
    <col min="1111" max="1111" width="7.77734375" bestFit="1" customWidth="1"/>
    <col min="1112" max="1114" width="4.77734375" bestFit="1" customWidth="1"/>
    <col min="1115" max="1115" width="7.77734375" bestFit="1" customWidth="1"/>
    <col min="1116" max="1116" width="4.77734375" bestFit="1" customWidth="1"/>
    <col min="1117" max="1117" width="6.77734375" bestFit="1" customWidth="1"/>
    <col min="1118" max="1122" width="4.77734375" bestFit="1" customWidth="1"/>
    <col min="1123" max="1123" width="6.77734375" bestFit="1" customWidth="1"/>
    <col min="1124" max="1135" width="4.77734375" bestFit="1" customWidth="1"/>
    <col min="1136" max="1136" width="7.77734375" bestFit="1" customWidth="1"/>
    <col min="1137" max="1150" width="4.77734375" bestFit="1" customWidth="1"/>
    <col min="1151" max="1151" width="7.77734375" bestFit="1" customWidth="1"/>
    <col min="1152" max="1183" width="4.77734375" bestFit="1" customWidth="1"/>
    <col min="1184" max="1185" width="7.77734375" bestFit="1" customWidth="1"/>
    <col min="1186" max="1193" width="4.77734375" bestFit="1" customWidth="1"/>
    <col min="1194" max="1195" width="7.77734375" bestFit="1" customWidth="1"/>
    <col min="1196" max="1201" width="4.77734375" bestFit="1" customWidth="1"/>
    <col min="1202" max="1202" width="7.77734375" bestFit="1" customWidth="1"/>
    <col min="1203" max="1211" width="4.77734375" bestFit="1" customWidth="1"/>
    <col min="1212" max="1212" width="6.77734375" bestFit="1" customWidth="1"/>
    <col min="1213" max="1213" width="7.77734375" bestFit="1" customWidth="1"/>
    <col min="1214" max="1214" width="4.77734375" bestFit="1" customWidth="1"/>
    <col min="1215" max="1215" width="6.77734375" bestFit="1" customWidth="1"/>
    <col min="1216" max="1220" width="4.77734375" bestFit="1" customWidth="1"/>
    <col min="1221" max="1221" width="7.77734375" bestFit="1" customWidth="1"/>
    <col min="1222" max="1224" width="4.77734375" bestFit="1" customWidth="1"/>
    <col min="1225" max="1225" width="6.77734375" bestFit="1" customWidth="1"/>
    <col min="1226" max="1244" width="4.77734375" bestFit="1" customWidth="1"/>
    <col min="1245" max="1245" width="7.77734375" bestFit="1" customWidth="1"/>
    <col min="1246" max="1252" width="4.77734375" bestFit="1" customWidth="1"/>
    <col min="1253" max="1253" width="7.77734375" bestFit="1" customWidth="1"/>
    <col min="1254" max="1258" width="4.77734375" bestFit="1" customWidth="1"/>
    <col min="1259" max="1259" width="7.77734375" bestFit="1" customWidth="1"/>
    <col min="1260" max="1270" width="4.77734375" bestFit="1" customWidth="1"/>
    <col min="1271" max="1271" width="7.77734375" bestFit="1" customWidth="1"/>
    <col min="1272" max="1274" width="4.77734375" bestFit="1" customWidth="1"/>
    <col min="1275" max="1275" width="7.77734375" bestFit="1" customWidth="1"/>
    <col min="1276" max="1276" width="4.77734375" bestFit="1" customWidth="1"/>
    <col min="1277" max="1277" width="7.77734375" bestFit="1" customWidth="1"/>
    <col min="1278" max="1282" width="4.77734375" bestFit="1" customWidth="1"/>
    <col min="1283" max="1283" width="7.77734375" bestFit="1" customWidth="1"/>
    <col min="1284" max="1285" width="4.77734375" bestFit="1" customWidth="1"/>
    <col min="1286" max="1286" width="7.77734375" bestFit="1" customWidth="1"/>
    <col min="1287" max="1297" width="4.77734375" bestFit="1" customWidth="1"/>
    <col min="1298" max="1298" width="7.77734375" bestFit="1" customWidth="1"/>
    <col min="1299" max="1301" width="4.77734375" bestFit="1" customWidth="1"/>
    <col min="1302" max="1302" width="7.77734375" bestFit="1" customWidth="1"/>
    <col min="1303" max="1303" width="4.77734375" bestFit="1" customWidth="1"/>
    <col min="1304" max="1304" width="7.77734375" bestFit="1" customWidth="1"/>
    <col min="1305" max="1310" width="4.77734375" bestFit="1" customWidth="1"/>
    <col min="1311" max="1311" width="7.77734375" bestFit="1" customWidth="1"/>
    <col min="1312" max="1313" width="4.77734375" bestFit="1" customWidth="1"/>
    <col min="1314" max="1314" width="7.77734375" bestFit="1" customWidth="1"/>
    <col min="1315" max="1315" width="4.77734375" bestFit="1" customWidth="1"/>
    <col min="1316" max="1316" width="7.77734375" bestFit="1" customWidth="1"/>
    <col min="1317" max="1320" width="4.77734375" bestFit="1" customWidth="1"/>
    <col min="1321" max="1321" width="7.77734375" bestFit="1" customWidth="1"/>
    <col min="1322" max="1329" width="4.77734375" bestFit="1" customWidth="1"/>
    <col min="1330" max="1330" width="7.77734375" bestFit="1" customWidth="1"/>
    <col min="1331" max="1337" width="4.77734375" bestFit="1" customWidth="1"/>
    <col min="1338" max="1338" width="7.77734375" bestFit="1" customWidth="1"/>
    <col min="1339" max="1349" width="4.77734375" bestFit="1" customWidth="1"/>
    <col min="1350" max="1350" width="7.77734375" bestFit="1" customWidth="1"/>
    <col min="1351" max="1355" width="4.77734375" bestFit="1" customWidth="1"/>
    <col min="1356" max="1356" width="6.77734375" bestFit="1" customWidth="1"/>
    <col min="1357" max="1358" width="7.77734375" bestFit="1" customWidth="1"/>
    <col min="1359" max="1364" width="4.77734375" bestFit="1" customWidth="1"/>
    <col min="1365" max="1365" width="7.77734375" bestFit="1" customWidth="1"/>
    <col min="1366" max="1366" width="4.77734375" bestFit="1" customWidth="1"/>
    <col min="1367" max="1367" width="7.77734375" bestFit="1" customWidth="1"/>
    <col min="1368" max="1368" width="4.77734375" bestFit="1" customWidth="1"/>
    <col min="1369" max="1369" width="6.77734375" bestFit="1" customWidth="1"/>
    <col min="1370" max="1370" width="4.77734375" bestFit="1" customWidth="1"/>
    <col min="1371" max="1371" width="7.77734375" bestFit="1" customWidth="1"/>
    <col min="1372" max="1375" width="4.77734375" bestFit="1" customWidth="1"/>
    <col min="1376" max="1376" width="7.77734375" bestFit="1" customWidth="1"/>
    <col min="1377" max="1388" width="4.77734375" bestFit="1" customWidth="1"/>
    <col min="1389" max="1389" width="7.77734375" bestFit="1" customWidth="1"/>
    <col min="1390" max="1393" width="4.77734375" bestFit="1" customWidth="1"/>
    <col min="1394" max="1394" width="7.77734375" bestFit="1" customWidth="1"/>
    <col min="1395" max="1416" width="4.77734375" bestFit="1" customWidth="1"/>
    <col min="1417" max="1417" width="7.77734375" bestFit="1" customWidth="1"/>
    <col min="1418" max="1420" width="4.77734375" bestFit="1" customWidth="1"/>
    <col min="1421" max="1421" width="7.77734375" bestFit="1" customWidth="1"/>
    <col min="1422" max="1422" width="4.77734375" bestFit="1" customWidth="1"/>
    <col min="1423" max="1424" width="7.77734375" bestFit="1" customWidth="1"/>
    <col min="1425" max="1425" width="4.77734375" bestFit="1" customWidth="1"/>
    <col min="1426" max="1426" width="7.77734375" bestFit="1" customWidth="1"/>
    <col min="1427" max="1430" width="4.77734375" bestFit="1" customWidth="1"/>
    <col min="1431" max="1431" width="7.77734375" bestFit="1" customWidth="1"/>
    <col min="1432" max="1438" width="4.77734375" bestFit="1" customWidth="1"/>
    <col min="1439" max="1439" width="7.77734375" bestFit="1" customWidth="1"/>
    <col min="1440" max="1464" width="4.77734375" bestFit="1" customWidth="1"/>
    <col min="1465" max="1465" width="6.77734375" bestFit="1" customWidth="1"/>
    <col min="1466" max="1466" width="4.77734375" bestFit="1" customWidth="1"/>
    <col min="1467" max="1467" width="6.77734375" bestFit="1" customWidth="1"/>
    <col min="1468" max="1476" width="4.77734375" bestFit="1" customWidth="1"/>
    <col min="1477" max="1477" width="7.77734375" bestFit="1" customWidth="1"/>
    <col min="1478" max="1481" width="4.77734375" bestFit="1" customWidth="1"/>
    <col min="1482" max="1482" width="7.77734375" bestFit="1" customWidth="1"/>
    <col min="1483" max="1490" width="4.77734375" bestFit="1" customWidth="1"/>
    <col min="1491" max="1492" width="7.77734375" bestFit="1" customWidth="1"/>
    <col min="1493" max="1500" width="4.77734375" bestFit="1" customWidth="1"/>
    <col min="1501" max="1501" width="7.77734375" bestFit="1" customWidth="1"/>
    <col min="1502" max="1511" width="4.77734375" bestFit="1" customWidth="1"/>
    <col min="1512" max="1512" width="7.77734375" bestFit="1" customWidth="1"/>
    <col min="1513" max="1522" width="4.77734375" bestFit="1" customWidth="1"/>
    <col min="1523" max="1523" width="7.77734375" bestFit="1" customWidth="1"/>
    <col min="1524" max="1526" width="4.77734375" bestFit="1" customWidth="1"/>
    <col min="1527" max="1527" width="7.77734375" bestFit="1" customWidth="1"/>
    <col min="1528" max="1529" width="4.77734375" bestFit="1" customWidth="1"/>
    <col min="1530" max="1530" width="7.77734375" bestFit="1" customWidth="1"/>
    <col min="1531" max="1533" width="4.77734375" bestFit="1" customWidth="1"/>
    <col min="1534" max="1534" width="7.77734375" bestFit="1" customWidth="1"/>
    <col min="1535" max="1540" width="4.77734375" bestFit="1" customWidth="1"/>
    <col min="1541" max="1541" width="7.77734375" bestFit="1" customWidth="1"/>
    <col min="1542" max="1547" width="4.77734375" bestFit="1" customWidth="1"/>
    <col min="1548" max="1548" width="7.77734375" bestFit="1" customWidth="1"/>
    <col min="1549" max="1552" width="4.77734375" bestFit="1" customWidth="1"/>
    <col min="1553" max="1553" width="7.77734375" bestFit="1" customWidth="1"/>
    <col min="1554" max="1593" width="4.77734375" bestFit="1" customWidth="1"/>
    <col min="1594" max="1594" width="7.77734375" bestFit="1" customWidth="1"/>
    <col min="1595" max="1598" width="4.77734375" bestFit="1" customWidth="1"/>
    <col min="1599" max="1599" width="7.77734375" bestFit="1" customWidth="1"/>
    <col min="1600" max="1602" width="4.77734375" bestFit="1" customWidth="1"/>
    <col min="1603" max="1603" width="7.77734375" bestFit="1" customWidth="1"/>
    <col min="1604" max="1609" width="4.77734375" bestFit="1" customWidth="1"/>
    <col min="1610" max="1610" width="6.77734375" bestFit="1" customWidth="1"/>
    <col min="1611" max="1616" width="4.77734375" bestFit="1" customWidth="1"/>
    <col min="1617" max="1617" width="7.77734375" bestFit="1" customWidth="1"/>
    <col min="1618" max="1619" width="4.77734375" bestFit="1" customWidth="1"/>
    <col min="1620" max="1620" width="7.77734375" bestFit="1" customWidth="1"/>
    <col min="1621" max="1626" width="4.77734375" bestFit="1" customWidth="1"/>
    <col min="1627" max="1627" width="7.77734375" bestFit="1" customWidth="1"/>
    <col min="1628" max="1638" width="4.77734375" bestFit="1" customWidth="1"/>
    <col min="1639" max="1639" width="7.77734375" bestFit="1" customWidth="1"/>
    <col min="1640" max="1656" width="4.77734375" bestFit="1" customWidth="1"/>
    <col min="1657" max="1657" width="7.77734375" bestFit="1" customWidth="1"/>
    <col min="1658" max="1662" width="4.77734375" bestFit="1" customWidth="1"/>
    <col min="1663" max="1663" width="6.77734375" bestFit="1" customWidth="1"/>
    <col min="1664" max="1667" width="4.77734375" bestFit="1" customWidth="1"/>
    <col min="1668" max="1669" width="7.77734375" bestFit="1" customWidth="1"/>
    <col min="1670" max="1670" width="6.77734375" bestFit="1" customWidth="1"/>
    <col min="1671" max="1671" width="7.77734375" bestFit="1" customWidth="1"/>
    <col min="1672" max="1673" width="4.77734375" bestFit="1" customWidth="1"/>
    <col min="1674" max="1674" width="6.77734375" bestFit="1" customWidth="1"/>
    <col min="1675" max="1684" width="4.77734375" bestFit="1" customWidth="1"/>
    <col min="1685" max="1685" width="6.77734375" bestFit="1" customWidth="1"/>
    <col min="1686" max="1686" width="4.77734375" bestFit="1" customWidth="1"/>
    <col min="1687" max="1687" width="7.77734375" bestFit="1" customWidth="1"/>
    <col min="1688" max="1688" width="6.77734375" bestFit="1" customWidth="1"/>
    <col min="1689" max="1692" width="4.77734375" bestFit="1" customWidth="1"/>
    <col min="1693" max="1693" width="7.77734375" bestFit="1" customWidth="1"/>
    <col min="1694" max="1701" width="4.77734375" bestFit="1" customWidth="1"/>
    <col min="1702" max="1702" width="7.77734375" bestFit="1" customWidth="1"/>
    <col min="1703" max="1703" width="4.77734375" bestFit="1" customWidth="1"/>
    <col min="1704" max="1704" width="7.77734375" bestFit="1" customWidth="1"/>
    <col min="1705" max="1722" width="4.77734375" bestFit="1" customWidth="1"/>
    <col min="1723" max="1723" width="7.77734375" bestFit="1" customWidth="1"/>
    <col min="1724" max="1724" width="4.77734375" bestFit="1" customWidth="1"/>
    <col min="1725" max="1725" width="7.77734375" bestFit="1" customWidth="1"/>
    <col min="1726" max="1738" width="4.77734375" bestFit="1" customWidth="1"/>
    <col min="1739" max="1739" width="7.77734375" bestFit="1" customWidth="1"/>
    <col min="1740" max="1740" width="4.77734375" bestFit="1" customWidth="1"/>
    <col min="1741" max="1741" width="7.77734375" bestFit="1" customWidth="1"/>
    <col min="1742" max="1746" width="4.77734375" bestFit="1" customWidth="1"/>
    <col min="1747" max="1747" width="6.77734375" bestFit="1" customWidth="1"/>
    <col min="1748" max="1755" width="4.77734375" bestFit="1" customWidth="1"/>
    <col min="1756" max="1757" width="7.77734375" bestFit="1" customWidth="1"/>
    <col min="1758" max="1762" width="4.77734375" bestFit="1" customWidth="1"/>
    <col min="1763" max="1763" width="7.77734375" bestFit="1" customWidth="1"/>
    <col min="1764" max="1764" width="4.77734375" bestFit="1" customWidth="1"/>
    <col min="1765" max="1765" width="7.77734375" bestFit="1" customWidth="1"/>
    <col min="1766" max="1766" width="4.77734375" bestFit="1" customWidth="1"/>
    <col min="1767" max="1768" width="7.77734375" bestFit="1" customWidth="1"/>
    <col min="1769" max="1773" width="4.77734375" bestFit="1" customWidth="1"/>
    <col min="1774" max="1774" width="7.77734375" bestFit="1" customWidth="1"/>
    <col min="1775" max="1781" width="4.77734375" bestFit="1" customWidth="1"/>
    <col min="1782" max="1782" width="7.77734375" bestFit="1" customWidth="1"/>
    <col min="1783" max="1785" width="4.77734375" bestFit="1" customWidth="1"/>
    <col min="1786" max="1786" width="6.77734375" bestFit="1" customWidth="1"/>
    <col min="1787" max="1789" width="4.77734375" bestFit="1" customWidth="1"/>
    <col min="1790" max="1790" width="7.77734375" bestFit="1" customWidth="1"/>
    <col min="1791" max="1791" width="4.77734375" bestFit="1" customWidth="1"/>
    <col min="1792" max="1792" width="6.77734375" bestFit="1" customWidth="1"/>
    <col min="1793" max="1801" width="4.77734375" bestFit="1" customWidth="1"/>
    <col min="1802" max="1802" width="7.77734375" bestFit="1" customWidth="1"/>
    <col min="1803" max="1804" width="4.77734375" bestFit="1" customWidth="1"/>
    <col min="1805" max="1805" width="7.77734375" bestFit="1" customWidth="1"/>
    <col min="1806" max="1808" width="4.77734375" bestFit="1" customWidth="1"/>
    <col min="1809" max="1809" width="7.77734375" bestFit="1" customWidth="1"/>
    <col min="1810" max="1812" width="4.77734375" bestFit="1" customWidth="1"/>
    <col min="1813" max="1813" width="7.77734375" bestFit="1" customWidth="1"/>
    <col min="1814" max="1814" width="4.77734375" bestFit="1" customWidth="1"/>
    <col min="1815" max="1815" width="7.77734375" bestFit="1" customWidth="1"/>
    <col min="1816" max="1818" width="4.77734375" bestFit="1" customWidth="1"/>
    <col min="1819" max="1819" width="7.77734375" bestFit="1" customWidth="1"/>
    <col min="1820" max="1830" width="4.77734375" bestFit="1" customWidth="1"/>
    <col min="1831" max="1831" width="7.77734375" bestFit="1" customWidth="1"/>
    <col min="1832" max="1840" width="4.77734375" bestFit="1" customWidth="1"/>
    <col min="1841" max="1841" width="6.77734375" bestFit="1" customWidth="1"/>
    <col min="1842" max="1852" width="4.77734375" bestFit="1" customWidth="1"/>
    <col min="1853" max="1853" width="7.77734375" bestFit="1" customWidth="1"/>
    <col min="1854" max="1860" width="4.77734375" bestFit="1" customWidth="1"/>
    <col min="1861" max="1861" width="7.77734375" bestFit="1" customWidth="1"/>
    <col min="1862" max="1862" width="4.77734375" bestFit="1" customWidth="1"/>
    <col min="1863" max="1863" width="7.77734375" bestFit="1" customWidth="1"/>
    <col min="1864" max="1868" width="4.77734375" bestFit="1" customWidth="1"/>
    <col min="1869" max="1869" width="7.77734375" bestFit="1" customWidth="1"/>
    <col min="1870" max="1872" width="4.77734375" bestFit="1" customWidth="1"/>
    <col min="1873" max="1874" width="7.77734375" bestFit="1" customWidth="1"/>
    <col min="1875" max="1875" width="4.77734375" bestFit="1" customWidth="1"/>
    <col min="1876" max="1876" width="7.77734375" bestFit="1" customWidth="1"/>
    <col min="1877" max="1911" width="4.77734375" bestFit="1" customWidth="1"/>
    <col min="1912" max="1912" width="7.77734375" bestFit="1" customWidth="1"/>
    <col min="1913" max="1913" width="6.77734375" bestFit="1" customWidth="1"/>
    <col min="1914" max="1916" width="4.77734375" bestFit="1" customWidth="1"/>
    <col min="1917" max="1917" width="7.77734375" bestFit="1" customWidth="1"/>
    <col min="1918" max="1926" width="4.77734375" bestFit="1" customWidth="1"/>
    <col min="1927" max="1928" width="7.77734375" bestFit="1" customWidth="1"/>
    <col min="1929" max="1929" width="4.77734375" bestFit="1" customWidth="1"/>
    <col min="1930" max="1930" width="7.77734375" bestFit="1" customWidth="1"/>
    <col min="1931" max="1937" width="4.77734375" bestFit="1" customWidth="1"/>
    <col min="1938" max="1938" width="7.77734375" bestFit="1" customWidth="1"/>
    <col min="1939" max="1940" width="4.77734375" bestFit="1" customWidth="1"/>
    <col min="1941" max="1941" width="7.77734375" bestFit="1" customWidth="1"/>
    <col min="1942" max="1947" width="4.77734375" bestFit="1" customWidth="1"/>
    <col min="1948" max="1948" width="7.77734375" bestFit="1" customWidth="1"/>
    <col min="1949" max="1949" width="6.77734375" bestFit="1" customWidth="1"/>
    <col min="1950" max="1950" width="7.77734375" bestFit="1" customWidth="1"/>
    <col min="1951" max="1956" width="4.77734375" bestFit="1" customWidth="1"/>
    <col min="1957" max="1957" width="7.77734375" bestFit="1" customWidth="1"/>
    <col min="1958" max="1961" width="4.77734375" bestFit="1" customWidth="1"/>
    <col min="1962" max="1962" width="7.77734375" bestFit="1" customWidth="1"/>
    <col min="1963" max="1965" width="4.77734375" bestFit="1" customWidth="1"/>
    <col min="1966" max="1966" width="7.77734375" bestFit="1" customWidth="1"/>
    <col min="1967" max="1968" width="4.77734375" bestFit="1" customWidth="1"/>
    <col min="1969" max="1969" width="7.77734375" bestFit="1" customWidth="1"/>
    <col min="1970" max="1977" width="4.77734375" bestFit="1" customWidth="1"/>
    <col min="1978" max="1978" width="7.77734375" bestFit="1" customWidth="1"/>
    <col min="1979" max="1980" width="4.77734375" bestFit="1" customWidth="1"/>
    <col min="1981" max="1981" width="7.77734375" bestFit="1" customWidth="1"/>
    <col min="1982" max="1984" width="4.77734375" bestFit="1" customWidth="1"/>
    <col min="1985" max="1985" width="7.77734375" bestFit="1" customWidth="1"/>
    <col min="1986" max="1992" width="4.77734375" bestFit="1" customWidth="1"/>
    <col min="1993" max="1993" width="7.77734375" bestFit="1" customWidth="1"/>
    <col min="1994" max="1996" width="4.77734375" bestFit="1" customWidth="1"/>
    <col min="1997" max="1997" width="7.77734375" bestFit="1" customWidth="1"/>
    <col min="1998" max="1999" width="4.77734375" bestFit="1" customWidth="1"/>
    <col min="2000" max="2000" width="7.77734375" bestFit="1" customWidth="1"/>
    <col min="2001" max="2004" width="4.77734375" bestFit="1" customWidth="1"/>
    <col min="2005" max="2005" width="7.77734375" bestFit="1" customWidth="1"/>
    <col min="2006" max="2011" width="4.77734375" bestFit="1" customWidth="1"/>
    <col min="2012" max="2012" width="7.77734375" bestFit="1" customWidth="1"/>
    <col min="2013" max="2014" width="4.77734375" bestFit="1" customWidth="1"/>
    <col min="2015" max="2015" width="7.77734375" bestFit="1" customWidth="1"/>
    <col min="2016" max="2021" width="4.77734375" bestFit="1" customWidth="1"/>
    <col min="2022" max="2024" width="7.77734375" bestFit="1" customWidth="1"/>
    <col min="2025" max="2026" width="4.77734375" bestFit="1" customWidth="1"/>
    <col min="2027" max="2027" width="7.77734375" bestFit="1" customWidth="1"/>
    <col min="2028" max="2030" width="4.77734375" bestFit="1" customWidth="1"/>
    <col min="2031" max="2031" width="7.77734375" bestFit="1" customWidth="1"/>
    <col min="2032" max="2034" width="4.77734375" bestFit="1" customWidth="1"/>
    <col min="2035" max="2035" width="7.77734375" bestFit="1" customWidth="1"/>
    <col min="2036" max="2039" width="4.77734375" bestFit="1" customWidth="1"/>
    <col min="2040" max="2040" width="7.77734375" bestFit="1" customWidth="1"/>
    <col min="2041" max="2046" width="4.77734375" bestFit="1" customWidth="1"/>
    <col min="2047" max="2047" width="7.77734375" bestFit="1" customWidth="1"/>
    <col min="2048" max="2048" width="6.77734375" bestFit="1" customWidth="1"/>
    <col min="2049" max="2060" width="4.77734375" bestFit="1" customWidth="1"/>
    <col min="2061" max="2061" width="7.77734375" bestFit="1" customWidth="1"/>
    <col min="2062" max="2072" width="4.77734375" bestFit="1" customWidth="1"/>
    <col min="2073" max="2073" width="7.77734375" bestFit="1" customWidth="1"/>
    <col min="2074" max="2074" width="4.77734375" bestFit="1" customWidth="1"/>
    <col min="2075" max="2076" width="7.77734375" bestFit="1" customWidth="1"/>
    <col min="2077" max="2085" width="4.77734375" bestFit="1" customWidth="1"/>
    <col min="2086" max="2086" width="7.77734375" bestFit="1" customWidth="1"/>
    <col min="2087" max="2088" width="4.77734375" bestFit="1" customWidth="1"/>
    <col min="2089" max="2089" width="7.77734375" bestFit="1" customWidth="1"/>
    <col min="2090" max="2092" width="4.77734375" bestFit="1" customWidth="1"/>
    <col min="2093" max="2093" width="7.77734375" bestFit="1" customWidth="1"/>
    <col min="2094" max="2099" width="4.77734375" bestFit="1" customWidth="1"/>
    <col min="2100" max="2100" width="7.77734375" bestFit="1" customWidth="1"/>
    <col min="2101" max="2111" width="4.77734375" bestFit="1" customWidth="1"/>
    <col min="2112" max="2112" width="7.77734375" bestFit="1" customWidth="1"/>
    <col min="2113" max="2119" width="4.77734375" bestFit="1" customWidth="1"/>
    <col min="2120" max="2120" width="7.77734375" bestFit="1" customWidth="1"/>
    <col min="2121" max="2122" width="4.77734375" bestFit="1" customWidth="1"/>
    <col min="2123" max="2123" width="7.77734375" bestFit="1" customWidth="1"/>
    <col min="2124" max="2126" width="4.77734375" bestFit="1" customWidth="1"/>
    <col min="2127" max="2127" width="7.77734375" bestFit="1" customWidth="1"/>
    <col min="2128" max="2128" width="4.77734375" bestFit="1" customWidth="1"/>
    <col min="2129" max="2129" width="7.77734375" bestFit="1" customWidth="1"/>
    <col min="2130" max="2140" width="4.77734375" bestFit="1" customWidth="1"/>
    <col min="2141" max="2141" width="7.77734375" bestFit="1" customWidth="1"/>
    <col min="2142" max="2142" width="4.77734375" bestFit="1" customWidth="1"/>
    <col min="2143" max="2143" width="6.77734375" bestFit="1" customWidth="1"/>
    <col min="2144" max="2144" width="7.77734375" bestFit="1" customWidth="1"/>
    <col min="2145" max="2148" width="4.77734375" bestFit="1" customWidth="1"/>
    <col min="2149" max="2149" width="7.77734375" bestFit="1" customWidth="1"/>
    <col min="2150" max="2150" width="4.77734375" bestFit="1" customWidth="1"/>
    <col min="2151" max="2151" width="7.77734375" bestFit="1" customWidth="1"/>
    <col min="2152" max="2160" width="4.77734375" bestFit="1" customWidth="1"/>
    <col min="2161" max="2164" width="5.77734375" bestFit="1" customWidth="1"/>
    <col min="2165" max="2165" width="8.77734375" bestFit="1" customWidth="1"/>
    <col min="2166" max="2171" width="5.77734375" bestFit="1" customWidth="1"/>
    <col min="2172" max="2172" width="7.77734375" bestFit="1" customWidth="1"/>
    <col min="2173" max="2184" width="5.77734375" bestFit="1" customWidth="1"/>
    <col min="2185" max="2185" width="8.77734375" bestFit="1" customWidth="1"/>
    <col min="2186" max="2188" width="5.77734375" bestFit="1" customWidth="1"/>
    <col min="2189" max="2189" width="8.77734375" bestFit="1" customWidth="1"/>
    <col min="2190" max="2193" width="5.77734375" bestFit="1" customWidth="1"/>
    <col min="2194" max="2194" width="8.77734375" bestFit="1" customWidth="1"/>
    <col min="2195" max="2205" width="5.77734375" bestFit="1" customWidth="1"/>
    <col min="2206" max="2206" width="8.77734375" bestFit="1" customWidth="1"/>
    <col min="2207" max="2220" width="5.77734375" bestFit="1" customWidth="1"/>
    <col min="2221" max="2221" width="8.77734375" bestFit="1" customWidth="1"/>
    <col min="2222" max="2225" width="5.77734375" bestFit="1" customWidth="1"/>
    <col min="2226" max="2226" width="8.77734375" bestFit="1" customWidth="1"/>
    <col min="2227" max="2228" width="5.77734375" bestFit="1" customWidth="1"/>
    <col min="2229" max="2229" width="8.77734375" bestFit="1" customWidth="1"/>
    <col min="2230" max="2233" width="5.77734375" bestFit="1" customWidth="1"/>
    <col min="2234" max="2234" width="8.77734375" bestFit="1" customWidth="1"/>
    <col min="2235" max="2237" width="5.77734375" bestFit="1" customWidth="1"/>
    <col min="2238" max="2238" width="7.77734375" bestFit="1" customWidth="1"/>
    <col min="2239" max="2243" width="5.77734375" bestFit="1" customWidth="1"/>
    <col min="2244" max="2244" width="8.77734375" bestFit="1" customWidth="1"/>
    <col min="2245" max="2249" width="5.77734375" bestFit="1" customWidth="1"/>
    <col min="2250" max="2250" width="7.77734375" bestFit="1" customWidth="1"/>
    <col min="2251" max="2251" width="8.77734375" bestFit="1" customWidth="1"/>
    <col min="2252" max="2256" width="5.77734375" bestFit="1" customWidth="1"/>
    <col min="2257" max="2257" width="7.77734375" bestFit="1" customWidth="1"/>
    <col min="2258" max="2258" width="5.77734375" bestFit="1" customWidth="1"/>
    <col min="2259" max="2259" width="8.77734375" bestFit="1" customWidth="1"/>
    <col min="2260" max="2263" width="5.77734375" bestFit="1" customWidth="1"/>
    <col min="2264" max="2264" width="8.77734375" bestFit="1" customWidth="1"/>
    <col min="2265" max="2265" width="5.77734375" bestFit="1" customWidth="1"/>
    <col min="2266" max="2266" width="7.77734375" bestFit="1" customWidth="1"/>
    <col min="2267" max="2267" width="8.77734375" bestFit="1" customWidth="1"/>
    <col min="2268" max="2268" width="5.77734375" bestFit="1" customWidth="1"/>
    <col min="2269" max="2269" width="8.77734375" bestFit="1" customWidth="1"/>
    <col min="2270" max="2280" width="5.77734375" bestFit="1" customWidth="1"/>
    <col min="2281" max="2281" width="7.77734375" bestFit="1" customWidth="1"/>
    <col min="2282" max="2282" width="5.77734375" bestFit="1" customWidth="1"/>
    <col min="2283" max="2283" width="8.77734375" bestFit="1" customWidth="1"/>
    <col min="2284" max="2284" width="7.77734375" bestFit="1" customWidth="1"/>
    <col min="2285" max="2289" width="5.77734375" bestFit="1" customWidth="1"/>
    <col min="2290" max="2290" width="8.77734375" bestFit="1" customWidth="1"/>
    <col min="2291" max="2291" width="7.77734375" bestFit="1" customWidth="1"/>
    <col min="2292" max="2295" width="5.77734375" bestFit="1" customWidth="1"/>
    <col min="2296" max="2297" width="8.77734375" bestFit="1" customWidth="1"/>
    <col min="2298" max="2301" width="5.77734375" bestFit="1" customWidth="1"/>
    <col min="2302" max="2302" width="7.77734375" bestFit="1" customWidth="1"/>
    <col min="2303" max="2305" width="5.77734375" bestFit="1" customWidth="1"/>
    <col min="2306" max="2306" width="7.77734375" bestFit="1" customWidth="1"/>
    <col min="2307" max="2309" width="5.77734375" bestFit="1" customWidth="1"/>
    <col min="2310" max="2310" width="8.77734375" bestFit="1" customWidth="1"/>
    <col min="2311" max="2314" width="5.77734375" bestFit="1" customWidth="1"/>
    <col min="2315" max="2316" width="8.77734375" bestFit="1" customWidth="1"/>
    <col min="2317" max="2318" width="5.77734375" bestFit="1" customWidth="1"/>
    <col min="2319" max="2319" width="8.77734375" bestFit="1" customWidth="1"/>
    <col min="2320" max="2324" width="5.77734375" bestFit="1" customWidth="1"/>
    <col min="2325" max="2325" width="8.77734375" bestFit="1" customWidth="1"/>
    <col min="2326" max="2331" width="5.77734375" bestFit="1" customWidth="1"/>
    <col min="2332" max="2332" width="8.77734375" bestFit="1" customWidth="1"/>
    <col min="2333" max="2334" width="5.77734375" bestFit="1" customWidth="1"/>
    <col min="2335" max="2335" width="7.77734375" bestFit="1" customWidth="1"/>
    <col min="2336" max="2336" width="8.77734375" bestFit="1" customWidth="1"/>
    <col min="2337" max="2337" width="5.77734375" bestFit="1" customWidth="1"/>
    <col min="2338" max="2338" width="8.77734375" bestFit="1" customWidth="1"/>
    <col min="2339" max="2342" width="5.77734375" bestFit="1" customWidth="1"/>
    <col min="2343" max="2343" width="8.77734375" bestFit="1" customWidth="1"/>
    <col min="2344" max="2345" width="5.77734375" bestFit="1" customWidth="1"/>
    <col min="2346" max="2346" width="8.77734375" bestFit="1" customWidth="1"/>
    <col min="2347" max="2355" width="5.77734375" bestFit="1" customWidth="1"/>
    <col min="2356" max="2356" width="7.77734375" bestFit="1" customWidth="1"/>
    <col min="2357" max="2358" width="5.77734375" bestFit="1" customWidth="1"/>
    <col min="2359" max="2359" width="8.77734375" bestFit="1" customWidth="1"/>
    <col min="2360" max="2360" width="7.77734375" bestFit="1" customWidth="1"/>
    <col min="2361" max="2367" width="5.77734375" bestFit="1" customWidth="1"/>
    <col min="2368" max="2368" width="7.77734375" bestFit="1" customWidth="1"/>
    <col min="2369" max="2370" width="8.77734375" bestFit="1" customWidth="1"/>
    <col min="2371" max="2372" width="5.77734375" bestFit="1" customWidth="1"/>
    <col min="2373" max="2373" width="8.77734375" bestFit="1" customWidth="1"/>
    <col min="2374" max="2374" width="7.77734375" bestFit="1" customWidth="1"/>
    <col min="2375" max="2380" width="5.77734375" bestFit="1" customWidth="1"/>
    <col min="2381" max="2381" width="8.77734375" bestFit="1" customWidth="1"/>
    <col min="2382" max="2382" width="5.77734375" bestFit="1" customWidth="1"/>
    <col min="2383" max="2383" width="8.77734375" bestFit="1" customWidth="1"/>
    <col min="2384" max="2386" width="5.77734375" bestFit="1" customWidth="1"/>
    <col min="2387" max="2387" width="8.77734375" bestFit="1" customWidth="1"/>
    <col min="2388" max="2389" width="5.77734375" bestFit="1" customWidth="1"/>
    <col min="2390" max="2391" width="8.77734375" bestFit="1" customWidth="1"/>
    <col min="2392" max="2392" width="5.77734375" bestFit="1" customWidth="1"/>
    <col min="2393" max="2393" width="8.77734375" bestFit="1" customWidth="1"/>
    <col min="2394" max="2403" width="5.77734375" bestFit="1" customWidth="1"/>
    <col min="2404" max="2404" width="8.77734375" bestFit="1" customWidth="1"/>
    <col min="2405" max="2420" width="5.77734375" bestFit="1" customWidth="1"/>
    <col min="2421" max="2421" width="7.77734375" bestFit="1" customWidth="1"/>
    <col min="2422" max="2422" width="5.77734375" bestFit="1" customWidth="1"/>
    <col min="2423" max="2423" width="8.77734375" bestFit="1" customWidth="1"/>
    <col min="2424" max="2427" width="5.77734375" bestFit="1" customWidth="1"/>
    <col min="2428" max="2428" width="8.77734375" bestFit="1" customWidth="1"/>
    <col min="2429" max="2435" width="5.77734375" bestFit="1" customWidth="1"/>
    <col min="2436" max="2436" width="8.77734375" bestFit="1" customWidth="1"/>
    <col min="2437" max="2441" width="5.77734375" bestFit="1" customWidth="1"/>
    <col min="2442" max="2442" width="8.77734375" bestFit="1" customWidth="1"/>
    <col min="2443" max="2445" width="5.77734375" bestFit="1" customWidth="1"/>
    <col min="2446" max="2446" width="8.77734375" bestFit="1" customWidth="1"/>
    <col min="2447" max="2447" width="7.77734375" bestFit="1" customWidth="1"/>
    <col min="2448" max="2448" width="8.77734375" bestFit="1" customWidth="1"/>
    <col min="2449" max="2455" width="5.77734375" bestFit="1" customWidth="1"/>
    <col min="2456" max="2456" width="8.77734375" bestFit="1" customWidth="1"/>
    <col min="2457" max="2457" width="5.77734375" bestFit="1" customWidth="1"/>
    <col min="2458" max="2458" width="7.77734375" bestFit="1" customWidth="1"/>
    <col min="2459" max="2459" width="8.77734375" bestFit="1" customWidth="1"/>
    <col min="2460" max="2461" width="5.77734375" bestFit="1" customWidth="1"/>
    <col min="2462" max="2462" width="8.77734375" bestFit="1" customWidth="1"/>
    <col min="2463" max="2474" width="5.77734375" bestFit="1" customWidth="1"/>
    <col min="2475" max="2476" width="8.77734375" bestFit="1" customWidth="1"/>
    <col min="2477" max="2482" width="5.77734375" bestFit="1" customWidth="1"/>
    <col min="2483" max="2483" width="8.77734375" bestFit="1" customWidth="1"/>
    <col min="2484" max="2487" width="5.77734375" bestFit="1" customWidth="1"/>
    <col min="2488" max="2489" width="7.77734375" bestFit="1" customWidth="1"/>
    <col min="2490" max="2497" width="5.77734375" bestFit="1" customWidth="1"/>
    <col min="2498" max="2498" width="8.77734375" bestFit="1" customWidth="1"/>
    <col min="2499" max="2500" width="5.77734375" bestFit="1" customWidth="1"/>
    <col min="2501" max="2501" width="8.77734375" bestFit="1" customWidth="1"/>
    <col min="2502" max="2506" width="5.77734375" bestFit="1" customWidth="1"/>
    <col min="2507" max="2507" width="7.77734375" bestFit="1" customWidth="1"/>
    <col min="2508" max="2508" width="8.77734375" bestFit="1" customWidth="1"/>
    <col min="2509" max="2509" width="5.77734375" bestFit="1" customWidth="1"/>
    <col min="2510" max="2510" width="8.77734375" bestFit="1" customWidth="1"/>
    <col min="2511" max="2515" width="5.77734375" bestFit="1" customWidth="1"/>
    <col min="2516" max="2516" width="7.77734375" bestFit="1" customWidth="1"/>
    <col min="2517" max="2518" width="5.77734375" bestFit="1" customWidth="1"/>
    <col min="2519" max="2519" width="8.77734375" bestFit="1" customWidth="1"/>
    <col min="2520" max="2521" width="5.77734375" bestFit="1" customWidth="1"/>
    <col min="2522" max="2523" width="8.77734375" bestFit="1" customWidth="1"/>
    <col min="2524" max="2524" width="5.77734375" bestFit="1" customWidth="1"/>
    <col min="2525" max="2525" width="7.77734375" bestFit="1" customWidth="1"/>
    <col min="2526" max="2526" width="5.77734375" bestFit="1" customWidth="1"/>
    <col min="2527" max="2529" width="8.77734375" bestFit="1" customWidth="1"/>
    <col min="2530" max="2530" width="5.77734375" bestFit="1" customWidth="1"/>
    <col min="2531" max="2531" width="8.77734375" bestFit="1" customWidth="1"/>
    <col min="2532" max="2533" width="5.77734375" bestFit="1" customWidth="1"/>
    <col min="2534" max="2534" width="7.77734375" bestFit="1" customWidth="1"/>
    <col min="2535" max="2538" width="5.77734375" bestFit="1" customWidth="1"/>
    <col min="2539" max="2540" width="8.77734375" bestFit="1" customWidth="1"/>
    <col min="2541" max="2541" width="5.77734375" bestFit="1" customWidth="1"/>
    <col min="2542" max="2542" width="8.77734375" bestFit="1" customWidth="1"/>
    <col min="2543" max="2544" width="5.77734375" bestFit="1" customWidth="1"/>
    <col min="2545" max="2546" width="8.77734375" bestFit="1" customWidth="1"/>
    <col min="2547" max="2550" width="5.77734375" bestFit="1" customWidth="1"/>
    <col min="2551" max="2551" width="8.77734375" bestFit="1" customWidth="1"/>
    <col min="2552" max="2552" width="5.77734375" bestFit="1" customWidth="1"/>
    <col min="2553" max="2554" width="8.77734375" bestFit="1" customWidth="1"/>
    <col min="2555" max="2555" width="5.77734375" bestFit="1" customWidth="1"/>
    <col min="2556" max="2556" width="8.77734375" bestFit="1" customWidth="1"/>
    <col min="2557" max="2560" width="5.77734375" bestFit="1" customWidth="1"/>
    <col min="2561" max="2562" width="7.77734375" bestFit="1" customWidth="1"/>
    <col min="2563" max="2568" width="5.77734375" bestFit="1" customWidth="1"/>
    <col min="2569" max="2569" width="8.77734375" bestFit="1" customWidth="1"/>
    <col min="2570" max="2570" width="7.77734375" bestFit="1" customWidth="1"/>
    <col min="2571" max="2573" width="8.77734375" bestFit="1" customWidth="1"/>
    <col min="2574" max="2574" width="5.77734375" bestFit="1" customWidth="1"/>
    <col min="2575" max="2575" width="8.77734375" bestFit="1" customWidth="1"/>
    <col min="2576" max="2577" width="5.77734375" bestFit="1" customWidth="1"/>
    <col min="2578" max="2578" width="7.77734375" bestFit="1" customWidth="1"/>
    <col min="2579" max="2581" width="5.77734375" bestFit="1" customWidth="1"/>
    <col min="2582" max="2582" width="8.77734375" bestFit="1" customWidth="1"/>
    <col min="2583" max="2583" width="5.77734375" bestFit="1" customWidth="1"/>
    <col min="2584" max="2584" width="8.77734375" bestFit="1" customWidth="1"/>
    <col min="2585" max="2586" width="5.77734375" bestFit="1" customWidth="1"/>
    <col min="2587" max="2587" width="8.77734375" bestFit="1" customWidth="1"/>
    <col min="2588" max="2592" width="5.77734375" bestFit="1" customWidth="1"/>
    <col min="2593" max="2593" width="8.77734375" bestFit="1" customWidth="1"/>
    <col min="2594" max="2595" width="5.77734375" bestFit="1" customWidth="1"/>
    <col min="2596" max="2596" width="8.77734375" bestFit="1" customWidth="1"/>
    <col min="2597" max="2600" width="5.77734375" bestFit="1" customWidth="1"/>
    <col min="2601" max="2602" width="8.77734375" bestFit="1" customWidth="1"/>
    <col min="2603" max="2603" width="5.77734375" bestFit="1" customWidth="1"/>
    <col min="2604" max="2604" width="8.77734375" bestFit="1" customWidth="1"/>
    <col min="2605" max="2605" width="5.77734375" bestFit="1" customWidth="1"/>
    <col min="2606" max="2607" width="8.77734375" bestFit="1" customWidth="1"/>
    <col min="2608" max="2610" width="5.77734375" bestFit="1" customWidth="1"/>
    <col min="2611" max="2611" width="8.77734375" bestFit="1" customWidth="1"/>
    <col min="2612" max="2613" width="7.77734375" bestFit="1" customWidth="1"/>
    <col min="2614" max="2614" width="8.77734375" bestFit="1" customWidth="1"/>
    <col min="2615" max="2615" width="5.77734375" bestFit="1" customWidth="1"/>
    <col min="2616" max="2616" width="8.77734375" bestFit="1" customWidth="1"/>
    <col min="2617" max="2617" width="5.77734375" bestFit="1" customWidth="1"/>
    <col min="2618" max="2618" width="8.77734375" bestFit="1" customWidth="1"/>
    <col min="2619" max="2621" width="5.77734375" bestFit="1" customWidth="1"/>
    <col min="2622" max="2622" width="8.77734375" bestFit="1" customWidth="1"/>
    <col min="2623" max="2625" width="5.77734375" bestFit="1" customWidth="1"/>
    <col min="2626" max="2626" width="8.77734375" bestFit="1" customWidth="1"/>
    <col min="2627" max="2632" width="5.77734375" bestFit="1" customWidth="1"/>
    <col min="2633" max="2633" width="7.77734375" bestFit="1" customWidth="1"/>
    <col min="2634" max="2637" width="5.77734375" bestFit="1" customWidth="1"/>
    <col min="2638" max="2638" width="8.77734375" bestFit="1" customWidth="1"/>
    <col min="2639" max="2639" width="5.77734375" bestFit="1" customWidth="1"/>
    <col min="2640" max="2641" width="8.77734375" bestFit="1" customWidth="1"/>
    <col min="2642" max="2652" width="5.77734375" bestFit="1" customWidth="1"/>
    <col min="2653" max="2654" width="8.77734375" bestFit="1" customWidth="1"/>
    <col min="2655" max="2657" width="5.77734375" bestFit="1" customWidth="1"/>
    <col min="2658" max="2658" width="7.77734375" bestFit="1" customWidth="1"/>
    <col min="2659" max="2659" width="5.77734375" bestFit="1" customWidth="1"/>
    <col min="2660" max="2660" width="8.77734375" bestFit="1" customWidth="1"/>
    <col min="2661" max="2663" width="5.77734375" bestFit="1" customWidth="1"/>
    <col min="2664" max="2664" width="7.77734375" bestFit="1" customWidth="1"/>
    <col min="2665" max="2668" width="5.77734375" bestFit="1" customWidth="1"/>
    <col min="2669" max="2670" width="8.77734375" bestFit="1" customWidth="1"/>
    <col min="2671" max="2671" width="5.77734375" bestFit="1" customWidth="1"/>
    <col min="2672" max="2672" width="8.77734375" bestFit="1" customWidth="1"/>
    <col min="2673" max="2678" width="5.77734375" bestFit="1" customWidth="1"/>
    <col min="2679" max="2679" width="7.77734375" bestFit="1" customWidth="1"/>
    <col min="2680" max="2680" width="5.77734375" bestFit="1" customWidth="1"/>
    <col min="2681" max="2681" width="8.77734375" bestFit="1" customWidth="1"/>
    <col min="2682" max="2683" width="5.77734375" bestFit="1" customWidth="1"/>
    <col min="2684" max="2684" width="7.77734375" bestFit="1" customWidth="1"/>
    <col min="2685" max="2685" width="8.77734375" bestFit="1" customWidth="1"/>
    <col min="2686" max="2686" width="5.77734375" bestFit="1" customWidth="1"/>
    <col min="2687" max="2687" width="8.77734375" bestFit="1" customWidth="1"/>
    <col min="2688" max="2689" width="5.77734375" bestFit="1" customWidth="1"/>
    <col min="2690" max="2691" width="8.77734375" bestFit="1" customWidth="1"/>
    <col min="2692" max="2692" width="5.77734375" bestFit="1" customWidth="1"/>
    <col min="2693" max="2693" width="8.77734375" bestFit="1" customWidth="1"/>
    <col min="2694" max="2695" width="5.77734375" bestFit="1" customWidth="1"/>
    <col min="2696" max="2696" width="8.77734375" bestFit="1" customWidth="1"/>
    <col min="2697" max="2698" width="5.77734375" bestFit="1" customWidth="1"/>
    <col min="2699" max="2699" width="8.77734375" bestFit="1" customWidth="1"/>
    <col min="2700" max="2700" width="7.77734375" bestFit="1" customWidth="1"/>
    <col min="2701" max="2702" width="5.77734375" bestFit="1" customWidth="1"/>
    <col min="2703" max="2703" width="7.77734375" bestFit="1" customWidth="1"/>
    <col min="2704" max="2704" width="5.77734375" bestFit="1" customWidth="1"/>
    <col min="2705" max="2705" width="8.77734375" bestFit="1" customWidth="1"/>
    <col min="2706" max="2706" width="7.77734375" bestFit="1" customWidth="1"/>
    <col min="2707" max="2707" width="5.77734375" bestFit="1" customWidth="1"/>
    <col min="2708" max="2709" width="8.77734375" bestFit="1" customWidth="1"/>
    <col min="2710" max="2713" width="5.77734375" bestFit="1" customWidth="1"/>
    <col min="2714" max="2715" width="8.77734375" bestFit="1" customWidth="1"/>
    <col min="2716" max="2716" width="7.77734375" bestFit="1" customWidth="1"/>
    <col min="2717" max="2717" width="5.77734375" bestFit="1" customWidth="1"/>
    <col min="2718" max="2718" width="7.77734375" bestFit="1" customWidth="1"/>
    <col min="2719" max="2720" width="8.77734375" bestFit="1" customWidth="1"/>
    <col min="2721" max="2721" width="6.77734375" bestFit="1" customWidth="1"/>
    <col min="2722" max="2722" width="9.77734375" bestFit="1" customWidth="1"/>
    <col min="2723" max="2724" width="6.77734375" bestFit="1" customWidth="1"/>
    <col min="2725" max="2725" width="9.77734375" bestFit="1" customWidth="1"/>
    <col min="2726" max="2727" width="6.77734375" bestFit="1" customWidth="1"/>
    <col min="2728" max="2728" width="8.77734375" bestFit="1" customWidth="1"/>
    <col min="2729" max="2729" width="6.77734375" bestFit="1" customWidth="1"/>
    <col min="2730" max="2734" width="9.77734375" bestFit="1" customWidth="1"/>
    <col min="2735" max="2739" width="6.77734375" bestFit="1" customWidth="1"/>
    <col min="2740" max="2740" width="9.77734375" bestFit="1" customWidth="1"/>
    <col min="2741" max="2741" width="6.77734375" bestFit="1" customWidth="1"/>
    <col min="2742" max="2742" width="9.77734375" bestFit="1" customWidth="1"/>
    <col min="2743" max="2744" width="6.77734375" bestFit="1" customWidth="1"/>
    <col min="2745" max="2749" width="9.77734375" bestFit="1" customWidth="1"/>
    <col min="2750" max="2750" width="6.77734375" bestFit="1" customWidth="1"/>
    <col min="2751" max="2751" width="9.77734375" bestFit="1" customWidth="1"/>
    <col min="2752" max="2752" width="6.77734375" bestFit="1" customWidth="1"/>
    <col min="2753" max="2753" width="8.77734375" bestFit="1" customWidth="1"/>
    <col min="2754" max="2756" width="6.77734375" bestFit="1" customWidth="1"/>
    <col min="2757" max="2757" width="9.77734375" bestFit="1" customWidth="1"/>
    <col min="2758" max="2758" width="8.77734375" bestFit="1" customWidth="1"/>
    <col min="2759" max="2759" width="9.77734375" bestFit="1" customWidth="1"/>
    <col min="2760" max="2760" width="8.77734375" bestFit="1" customWidth="1"/>
    <col min="2761" max="2761" width="9.77734375" bestFit="1" customWidth="1"/>
    <col min="2762" max="2766" width="6.77734375" bestFit="1" customWidth="1"/>
    <col min="2767" max="2767" width="9.77734375" bestFit="1" customWidth="1"/>
    <col min="2768" max="2768" width="6.77734375" bestFit="1" customWidth="1"/>
    <col min="2769" max="2769" width="9.77734375" bestFit="1" customWidth="1"/>
    <col min="2770" max="2770" width="8.77734375" bestFit="1" customWidth="1"/>
    <col min="2771" max="2771" width="9.77734375" bestFit="1" customWidth="1"/>
    <col min="2772" max="2772" width="6.77734375" bestFit="1" customWidth="1"/>
    <col min="2773" max="2773" width="8.77734375" bestFit="1" customWidth="1"/>
    <col min="2774" max="2774" width="9.77734375" bestFit="1" customWidth="1"/>
    <col min="2775" max="2775" width="6.77734375" bestFit="1" customWidth="1"/>
    <col min="2776" max="2777" width="9.77734375" bestFit="1" customWidth="1"/>
    <col min="2778" max="2778" width="6.77734375" bestFit="1" customWidth="1"/>
    <col min="2779" max="2779" width="9.77734375" bestFit="1" customWidth="1"/>
    <col min="2780" max="2780" width="6.77734375" bestFit="1" customWidth="1"/>
    <col min="2781" max="2781" width="9.77734375" bestFit="1" customWidth="1"/>
    <col min="2782" max="2782" width="6.77734375" bestFit="1" customWidth="1"/>
    <col min="2783" max="2783" width="8.77734375" bestFit="1" customWidth="1"/>
    <col min="2784" max="2784" width="9.77734375" bestFit="1" customWidth="1"/>
    <col min="2785" max="2789" width="6.77734375" bestFit="1" customWidth="1"/>
    <col min="2790" max="2793" width="9.77734375" bestFit="1" customWidth="1"/>
    <col min="2794" max="2795" width="6.77734375" bestFit="1" customWidth="1"/>
    <col min="2796" max="2796" width="9.77734375" bestFit="1" customWidth="1"/>
    <col min="2797" max="2799" width="10.77734375" bestFit="1" customWidth="1"/>
  </cols>
  <sheetData>
    <row r="1" spans="2:17" x14ac:dyDescent="0.3">
      <c r="C1"/>
    </row>
    <row r="3" spans="2:17" x14ac:dyDescent="0.3">
      <c r="C3" t="s">
        <v>8360</v>
      </c>
    </row>
    <row r="4" spans="2:17" x14ac:dyDescent="0.3">
      <c r="C4" t="str" vm="445">
        <f>CUBEMEMBER("ThisWorkbookDataModel","[Table1].[outcomes].&amp;[canceled]")</f>
        <v>canceled</v>
      </c>
      <c r="E4" t="str" vm="443">
        <f>CUBEMEMBER("ThisWorkbookDataModel","[Table1].[outcomes].&amp;[failed]")</f>
        <v>failed</v>
      </c>
      <c r="G4" t="str" vm="433">
        <f>CUBEMEMBER("ThisWorkbookDataModel","[Table1].[outcomes].&amp;[live]")</f>
        <v>live</v>
      </c>
      <c r="I4" t="str" vm="272">
        <f>CUBEMEMBER("ThisWorkbookDataModel","[Table1].[outcomes].&amp;[successful]")</f>
        <v>successful</v>
      </c>
    </row>
    <row r="5" spans="2:17" x14ac:dyDescent="0.3">
      <c r="B5" t="s">
        <v>8417</v>
      </c>
      <c r="C5" t="str" vm="454">
        <f>CUBEMEMBER("ThisWorkbookDataModel",{"[Table1].[outcomes].&amp;[canceled]","[Measures].[Sum of backers_count]"})</f>
        <v>Sum of backers_count</v>
      </c>
      <c r="D5" t="str" vm="455">
        <f>CUBEMEMBER("ThisWorkbookDataModel",{"[Table1].[outcomes].&amp;[canceled]","[Measures].[Sum of pledged]"})</f>
        <v>Sum of pledged</v>
      </c>
      <c r="E5" t="str" vm="456">
        <f>CUBEMEMBER("ThisWorkbookDataModel",{"[Table1].[outcomes].&amp;[failed]","[Measures].[Sum of backers_count]"})</f>
        <v>Sum of backers_count</v>
      </c>
      <c r="F5" t="str" vm="457">
        <f>CUBEMEMBER("ThisWorkbookDataModel",{"[Table1].[outcomes].&amp;[failed]","[Measures].[Sum of pledged]"})</f>
        <v>Sum of pledged</v>
      </c>
      <c r="G5" t="str" vm="458">
        <f>CUBEMEMBER("ThisWorkbookDataModel",{"[Table1].[outcomes].&amp;[live]","[Measures].[Sum of backers_count]"})</f>
        <v>Sum of backers_count</v>
      </c>
      <c r="H5" t="str" vm="459">
        <f>CUBEMEMBER("ThisWorkbookDataModel",{"[Table1].[outcomes].&amp;[live]","[Measures].[Sum of pledged]"})</f>
        <v>Sum of pledged</v>
      </c>
      <c r="I5" t="str" vm="460">
        <f>CUBEMEMBER("ThisWorkbookDataModel",{"[Table1].[outcomes].&amp;[successful]","[Measures].[Sum of backers_count]"})</f>
        <v>Sum of backers_count</v>
      </c>
      <c r="J5" t="str" vm="461">
        <f>CUBEMEMBER("ThisWorkbookDataModel",{"[Table1].[outcomes].&amp;[successful]","[Measures].[Sum of pledged]"})</f>
        <v>Sum of pledged</v>
      </c>
      <c r="K5" t="str" vm="193">
        <f>CUBEMEMBER("ThisWorkbookDataModel","[Measures].[Sum of backers_count]","Total Number of Backers")</f>
        <v>Total Number of Backers</v>
      </c>
      <c r="L5" t="str" vm="231">
        <f>CUBEMEMBER("ThisWorkbookDataModel","[Measures].[Sum of pledged]","Total Total Pledged")</f>
        <v>Total Total Pledged</v>
      </c>
      <c r="P5" t="s">
        <v>8418</v>
      </c>
      <c r="Q5" t="s">
        <v>8419</v>
      </c>
    </row>
    <row r="6" spans="2:17" x14ac:dyDescent="0.3">
      <c r="B6" s="16" t="str" vm="2">
        <f>CUBEMEMBER("ThisWorkbookDataModel","[Table1].[goal].[All]","Grand Total")</f>
        <v>Grand Total</v>
      </c>
      <c r="C6" vm="2242">
        <f t="shared" ref="C6:L15" si="0">CUBEVALUE("ThisWorkbookDataModel",$B6,C$5)</f>
        <v>9530</v>
      </c>
      <c r="D6" vm="4686">
        <f t="shared" si="0"/>
        <v>2542931.5099999998</v>
      </c>
      <c r="E6" vm="2243">
        <f t="shared" si="0"/>
        <v>27096</v>
      </c>
      <c r="F6" vm="4682">
        <f t="shared" si="0"/>
        <v>2838967.4</v>
      </c>
      <c r="G6" vm="2244">
        <f t="shared" si="0"/>
        <v>1801</v>
      </c>
      <c r="H6" vm="4683">
        <f t="shared" si="0"/>
        <v>196109.38</v>
      </c>
      <c r="I6" vm="2245">
        <f t="shared" si="0"/>
        <v>424819</v>
      </c>
      <c r="J6" vm="4684">
        <f t="shared" si="0"/>
        <v>40595733.369999997</v>
      </c>
      <c r="K6" vm="4685">
        <f t="shared" si="0"/>
        <v>463246</v>
      </c>
      <c r="L6" vm="4687">
        <f t="shared" si="0"/>
        <v>46173741.659999996</v>
      </c>
      <c r="O6" t="s">
        <v>8420</v>
      </c>
      <c r="P6">
        <f>COUNTIF(E6:E2250,"failed")</f>
        <v>0</v>
      </c>
      <c r="Q6">
        <f>COUNTA(J6:J2250)</f>
        <v>446</v>
      </c>
    </row>
    <row r="7" spans="2:17" x14ac:dyDescent="0.3">
      <c r="B7" s="16" t="str" vm="339">
        <f>CUBEMEMBER("ThisWorkbookDataModel","[Table1].[goal].&amp;[1.E8]")</f>
        <v>100000000</v>
      </c>
      <c r="C7" vm="2238">
        <f t="shared" si="0"/>
        <v>0</v>
      </c>
      <c r="D7" vm="3309">
        <f t="shared" si="0"/>
        <v>0</v>
      </c>
      <c r="E7" t="str" vm="2239">
        <f t="shared" si="0"/>
        <v/>
      </c>
      <c r="F7" t="str" vm="3311">
        <f t="shared" si="0"/>
        <v/>
      </c>
      <c r="G7" t="str" vm="2240">
        <f t="shared" si="0"/>
        <v/>
      </c>
      <c r="H7" t="str" vm="3306">
        <f t="shared" si="0"/>
        <v/>
      </c>
      <c r="I7" t="str" vm="2241">
        <f t="shared" si="0"/>
        <v/>
      </c>
      <c r="J7" t="str" vm="3307">
        <f t="shared" si="0"/>
        <v/>
      </c>
      <c r="K7" vm="3308">
        <f t="shared" si="0"/>
        <v>0</v>
      </c>
      <c r="L7" vm="3310">
        <f t="shared" si="0"/>
        <v>0</v>
      </c>
      <c r="O7" t="s">
        <v>8421</v>
      </c>
      <c r="P7">
        <v>60566</v>
      </c>
      <c r="Q7">
        <v>9866</v>
      </c>
    </row>
    <row r="8" spans="2:17" x14ac:dyDescent="0.3">
      <c r="B8" s="16" t="str" vm="393">
        <f>CUBEMEMBER("ThisWorkbookDataModel","[Table1].[goal].&amp;[3.E7]")</f>
        <v>30000000</v>
      </c>
      <c r="C8" vm="2234">
        <f t="shared" si="0"/>
        <v>0</v>
      </c>
      <c r="D8" vm="2350">
        <f t="shared" si="0"/>
        <v>0</v>
      </c>
      <c r="E8" t="str" vm="2235">
        <f t="shared" si="0"/>
        <v/>
      </c>
      <c r="F8" t="str" vm="2352">
        <f t="shared" si="0"/>
        <v/>
      </c>
      <c r="G8" t="str" vm="2236">
        <f t="shared" si="0"/>
        <v/>
      </c>
      <c r="H8" t="str" vm="2353">
        <f t="shared" si="0"/>
        <v/>
      </c>
      <c r="I8" t="str" vm="2237">
        <f t="shared" si="0"/>
        <v/>
      </c>
      <c r="J8" t="str" vm="2349">
        <f t="shared" si="0"/>
        <v/>
      </c>
      <c r="K8" vm="2348">
        <f t="shared" si="0"/>
        <v>0</v>
      </c>
      <c r="L8" vm="2351">
        <f t="shared" si="0"/>
        <v>0</v>
      </c>
      <c r="O8" t="s">
        <v>8422</v>
      </c>
      <c r="P8">
        <v>1530</v>
      </c>
      <c r="Q8">
        <v>2185</v>
      </c>
    </row>
    <row r="9" spans="2:17" x14ac:dyDescent="0.3">
      <c r="B9" s="16" t="str" vm="362">
        <f>CUBEMEMBER("ThisWorkbookDataModel","[Table1].[goal].&amp;[2.5E7]")</f>
        <v>25000000</v>
      </c>
      <c r="C9" vm="2230">
        <f t="shared" si="0"/>
        <v>0</v>
      </c>
      <c r="D9" vm="3490">
        <f t="shared" si="0"/>
        <v>0</v>
      </c>
      <c r="E9" t="str" vm="2231">
        <f t="shared" si="0"/>
        <v/>
      </c>
      <c r="F9" t="str" vm="3492">
        <f t="shared" si="0"/>
        <v/>
      </c>
      <c r="G9" t="str" vm="2232">
        <f t="shared" si="0"/>
        <v/>
      </c>
      <c r="H9" t="str" vm="3493">
        <f t="shared" si="0"/>
        <v/>
      </c>
      <c r="I9" t="str" vm="2233">
        <f t="shared" si="0"/>
        <v/>
      </c>
      <c r="J9" t="str" vm="3494">
        <f t="shared" si="0"/>
        <v/>
      </c>
      <c r="K9" vm="3489">
        <f t="shared" si="0"/>
        <v>0</v>
      </c>
      <c r="L9" vm="3491">
        <f t="shared" si="0"/>
        <v>0</v>
      </c>
    </row>
    <row r="10" spans="2:17" x14ac:dyDescent="0.3">
      <c r="B10" s="16" t="str" vm="403">
        <f>CUBEMEMBER("ThisWorkbookDataModel","[Table1].[goal].&amp;[1.E7]")</f>
        <v>10000000</v>
      </c>
      <c r="C10" t="str" vm="2226">
        <f t="shared" si="0"/>
        <v/>
      </c>
      <c r="D10" t="str" vm="2601">
        <f t="shared" si="0"/>
        <v/>
      </c>
      <c r="E10" vm="2227">
        <f t="shared" si="0"/>
        <v>0</v>
      </c>
      <c r="F10" vm="2597">
        <f t="shared" si="0"/>
        <v>0</v>
      </c>
      <c r="G10" t="str" vm="2228">
        <f t="shared" si="0"/>
        <v/>
      </c>
      <c r="H10" t="str" vm="2598">
        <f t="shared" si="0"/>
        <v/>
      </c>
      <c r="I10" t="str" vm="2229">
        <f t="shared" si="0"/>
        <v/>
      </c>
      <c r="J10" t="str" vm="2599">
        <f t="shared" si="0"/>
        <v/>
      </c>
      <c r="K10" vm="2600">
        <f t="shared" si="0"/>
        <v>0</v>
      </c>
      <c r="L10" vm="2602">
        <f t="shared" si="0"/>
        <v>0</v>
      </c>
    </row>
    <row r="11" spans="2:17" x14ac:dyDescent="0.3">
      <c r="B11" s="16" t="str" vm="273">
        <f>CUBEMEMBER("ThisWorkbookDataModel","[Table1].[goal].&amp;[8.E6]")</f>
        <v>8000000</v>
      </c>
      <c r="C11" t="str" vm="2222">
        <f t="shared" si="0"/>
        <v/>
      </c>
      <c r="D11" t="str" vm="2892">
        <f t="shared" si="0"/>
        <v/>
      </c>
      <c r="E11" vm="2223">
        <f t="shared" si="0"/>
        <v>2</v>
      </c>
      <c r="F11" vm="2894">
        <f t="shared" si="0"/>
        <v>1100</v>
      </c>
      <c r="G11" t="str" vm="2224">
        <f t="shared" si="0"/>
        <v/>
      </c>
      <c r="H11" t="str" vm="2889">
        <f t="shared" si="0"/>
        <v/>
      </c>
      <c r="I11" t="str" vm="2225">
        <f t="shared" si="0"/>
        <v/>
      </c>
      <c r="J11" t="str" vm="2890">
        <f t="shared" si="0"/>
        <v/>
      </c>
      <c r="K11" vm="2891">
        <f t="shared" si="0"/>
        <v>2</v>
      </c>
      <c r="L11" vm="2893">
        <f t="shared" si="0"/>
        <v>1100</v>
      </c>
    </row>
    <row r="12" spans="2:17" x14ac:dyDescent="0.3">
      <c r="B12" s="16" t="str" vm="415">
        <f>CUBEMEMBER("ThisWorkbookDataModel","[Table1].[goal].&amp;[6.E6]")</f>
        <v>6000000</v>
      </c>
      <c r="C12" t="str" vm="2218">
        <f t="shared" si="0"/>
        <v/>
      </c>
      <c r="D12" t="str" vm="3690">
        <f t="shared" si="0"/>
        <v/>
      </c>
      <c r="E12" vm="2219">
        <f t="shared" si="0"/>
        <v>0</v>
      </c>
      <c r="F12" vm="3692">
        <f t="shared" si="0"/>
        <v>0</v>
      </c>
      <c r="G12" t="str" vm="2220">
        <f t="shared" si="0"/>
        <v/>
      </c>
      <c r="H12" t="str" vm="3693">
        <f t="shared" si="0"/>
        <v/>
      </c>
      <c r="I12" t="str" vm="2221">
        <f t="shared" si="0"/>
        <v/>
      </c>
      <c r="J12" t="str" vm="3689">
        <f t="shared" si="0"/>
        <v/>
      </c>
      <c r="K12" vm="3688">
        <f t="shared" si="0"/>
        <v>0</v>
      </c>
      <c r="L12" vm="3691">
        <f t="shared" si="0"/>
        <v>0</v>
      </c>
    </row>
    <row r="13" spans="2:17" x14ac:dyDescent="0.3">
      <c r="B13" s="16" t="str" vm="295">
        <f>CUBEMEMBER("ThisWorkbookDataModel","[Table1].[goal].&amp;[5.E6]")</f>
        <v>5000000</v>
      </c>
      <c r="C13" t="str" vm="2214">
        <f t="shared" si="0"/>
        <v/>
      </c>
      <c r="D13" t="str" vm="3175">
        <f t="shared" si="0"/>
        <v/>
      </c>
      <c r="E13" vm="2215">
        <f t="shared" si="0"/>
        <v>0</v>
      </c>
      <c r="F13" vm="3177">
        <f t="shared" si="0"/>
        <v>0</v>
      </c>
      <c r="G13" t="str" vm="2216">
        <f t="shared" si="0"/>
        <v/>
      </c>
      <c r="H13" t="str" vm="3178">
        <f t="shared" si="0"/>
        <v/>
      </c>
      <c r="I13" t="str" vm="2217">
        <f t="shared" si="0"/>
        <v/>
      </c>
      <c r="J13" t="str" vm="3179">
        <f t="shared" si="0"/>
        <v/>
      </c>
      <c r="K13" vm="3174">
        <f t="shared" si="0"/>
        <v>0</v>
      </c>
      <c r="L13" vm="3176">
        <f t="shared" si="0"/>
        <v>0</v>
      </c>
    </row>
    <row r="14" spans="2:17" x14ac:dyDescent="0.3">
      <c r="B14" s="16" t="str" vm="317">
        <f>CUBEMEMBER("ThisWorkbookDataModel","[Table1].[goal].&amp;[3.E6]")</f>
        <v>3000000</v>
      </c>
      <c r="C14" t="str" vm="2210">
        <f t="shared" si="0"/>
        <v/>
      </c>
      <c r="D14" t="str" vm="3877">
        <f t="shared" si="0"/>
        <v/>
      </c>
      <c r="E14" vm="2211">
        <f t="shared" si="0"/>
        <v>6</v>
      </c>
      <c r="F14" vm="3873">
        <f t="shared" si="0"/>
        <v>1800</v>
      </c>
      <c r="G14" t="str" vm="2212">
        <f t="shared" si="0"/>
        <v/>
      </c>
      <c r="H14" t="str" vm="3874">
        <f t="shared" si="0"/>
        <v/>
      </c>
      <c r="I14" t="str" vm="2213">
        <f t="shared" si="0"/>
        <v/>
      </c>
      <c r="J14" t="str" vm="3875">
        <f t="shared" si="0"/>
        <v/>
      </c>
      <c r="K14" vm="3876">
        <f t="shared" si="0"/>
        <v>6</v>
      </c>
      <c r="L14" vm="3878">
        <f t="shared" si="0"/>
        <v>1800</v>
      </c>
    </row>
    <row r="15" spans="2:17" x14ac:dyDescent="0.3">
      <c r="B15" s="16" t="str" vm="340">
        <f>CUBEMEMBER("ThisWorkbookDataModel","[Table1].[goal].&amp;[2.8E6]")</f>
        <v>2800000</v>
      </c>
      <c r="C15" t="str" vm="2206">
        <f t="shared" si="0"/>
        <v/>
      </c>
      <c r="D15" t="str" vm="4061">
        <f t="shared" si="0"/>
        <v/>
      </c>
      <c r="E15" vm="2207">
        <f t="shared" si="0"/>
        <v>7</v>
      </c>
      <c r="F15" vm="4063">
        <f t="shared" si="0"/>
        <v>645</v>
      </c>
      <c r="G15" t="str" vm="2208">
        <f t="shared" si="0"/>
        <v/>
      </c>
      <c r="H15" t="str" vm="4058">
        <f t="shared" si="0"/>
        <v/>
      </c>
      <c r="I15" t="str" vm="2209">
        <f t="shared" si="0"/>
        <v/>
      </c>
      <c r="J15" t="str" vm="4059">
        <f t="shared" si="0"/>
        <v/>
      </c>
      <c r="K15" vm="4060">
        <f t="shared" si="0"/>
        <v>7</v>
      </c>
      <c r="L15" vm="4062">
        <f t="shared" si="0"/>
        <v>645</v>
      </c>
    </row>
    <row r="16" spans="2:17" x14ac:dyDescent="0.3">
      <c r="B16" s="16" t="str" vm="425">
        <f>CUBEMEMBER("ThisWorkbookDataModel","[Table1].[goal].&amp;[2.5E6]")</f>
        <v>2500000</v>
      </c>
      <c r="C16" vm="2202">
        <f t="shared" ref="C16:L25" si="1">CUBEVALUE("ThisWorkbookDataModel",$B16,C$5)</f>
        <v>1</v>
      </c>
      <c r="D16" vm="2356">
        <f t="shared" si="1"/>
        <v>1</v>
      </c>
      <c r="E16" t="str" vm="2203">
        <f t="shared" si="1"/>
        <v/>
      </c>
      <c r="F16" t="str" vm="2358">
        <f t="shared" si="1"/>
        <v/>
      </c>
      <c r="G16" t="str" vm="2204">
        <f t="shared" si="1"/>
        <v/>
      </c>
      <c r="H16" t="str" vm="2359">
        <f t="shared" si="1"/>
        <v/>
      </c>
      <c r="I16" t="str" vm="2205">
        <f t="shared" si="1"/>
        <v/>
      </c>
      <c r="J16" t="str" vm="2355">
        <f t="shared" si="1"/>
        <v/>
      </c>
      <c r="K16" vm="2354">
        <f t="shared" si="1"/>
        <v>1</v>
      </c>
      <c r="L16" vm="2357">
        <f t="shared" si="1"/>
        <v>1</v>
      </c>
    </row>
    <row r="17" spans="2:12" x14ac:dyDescent="0.3">
      <c r="B17" s="16" t="str" vm="363">
        <f>CUBEMEMBER("ThisWorkbookDataModel","[Table1].[goal].&amp;[2.E6]")</f>
        <v>2000000</v>
      </c>
      <c r="C17" t="str" vm="2198">
        <f t="shared" si="1"/>
        <v/>
      </c>
      <c r="D17" t="str" vm="4274">
        <f t="shared" si="1"/>
        <v/>
      </c>
      <c r="E17" vm="2199">
        <f t="shared" si="1"/>
        <v>7</v>
      </c>
      <c r="F17" vm="4276">
        <f t="shared" si="1"/>
        <v>376</v>
      </c>
      <c r="G17" t="str" vm="2200">
        <f t="shared" si="1"/>
        <v/>
      </c>
      <c r="H17" t="str" vm="4277">
        <f t="shared" si="1"/>
        <v/>
      </c>
      <c r="I17" t="str" vm="2201">
        <f t="shared" si="1"/>
        <v/>
      </c>
      <c r="J17" t="str" vm="4278">
        <f t="shared" si="1"/>
        <v/>
      </c>
      <c r="K17" vm="4273">
        <f t="shared" si="1"/>
        <v>7</v>
      </c>
      <c r="L17" vm="4275">
        <f t="shared" si="1"/>
        <v>376</v>
      </c>
    </row>
    <row r="18" spans="2:12" x14ac:dyDescent="0.3">
      <c r="B18" s="16" t="str" vm="435">
        <f>CUBEMEMBER("ThisWorkbookDataModel","[Table1].[goal].&amp;[1.5E6]")</f>
        <v>1500000</v>
      </c>
      <c r="C18" vm="2194">
        <f t="shared" si="1"/>
        <v>0</v>
      </c>
      <c r="D18" vm="2607">
        <f t="shared" si="1"/>
        <v>0</v>
      </c>
      <c r="E18" vm="2195">
        <f t="shared" si="1"/>
        <v>0</v>
      </c>
      <c r="F18" vm="2603">
        <f t="shared" si="1"/>
        <v>0</v>
      </c>
      <c r="G18" t="str" vm="2196">
        <f t="shared" si="1"/>
        <v/>
      </c>
      <c r="H18" t="str" vm="2604">
        <f t="shared" si="1"/>
        <v/>
      </c>
      <c r="I18" t="str" vm="2197">
        <f t="shared" si="1"/>
        <v/>
      </c>
      <c r="J18" t="str" vm="2605">
        <f t="shared" si="1"/>
        <v/>
      </c>
      <c r="K18" vm="2606">
        <f t="shared" si="1"/>
        <v>0</v>
      </c>
      <c r="L18" vm="2608">
        <f t="shared" si="1"/>
        <v>0</v>
      </c>
    </row>
    <row r="19" spans="2:12" x14ac:dyDescent="0.3">
      <c r="B19" s="16" t="str" vm="274">
        <f>CUBEMEMBER("ThisWorkbookDataModel","[Table1].[goal].&amp;[1.35E6]")</f>
        <v>1350000</v>
      </c>
      <c r="C19" vm="2190">
        <f t="shared" si="1"/>
        <v>4</v>
      </c>
      <c r="D19" vm="2898">
        <f t="shared" si="1"/>
        <v>81</v>
      </c>
      <c r="E19" t="str" vm="2191">
        <f t="shared" si="1"/>
        <v/>
      </c>
      <c r="F19" t="str" vm="2900">
        <f t="shared" si="1"/>
        <v/>
      </c>
      <c r="G19" t="str" vm="2192">
        <f t="shared" si="1"/>
        <v/>
      </c>
      <c r="H19" t="str" vm="2895">
        <f t="shared" si="1"/>
        <v/>
      </c>
      <c r="I19" t="str" vm="2193">
        <f t="shared" si="1"/>
        <v/>
      </c>
      <c r="J19" t="str" vm="2896">
        <f t="shared" si="1"/>
        <v/>
      </c>
      <c r="K19" vm="2897">
        <f t="shared" si="1"/>
        <v>4</v>
      </c>
      <c r="L19" vm="2899">
        <f t="shared" si="1"/>
        <v>81</v>
      </c>
    </row>
    <row r="20" spans="2:12" x14ac:dyDescent="0.3">
      <c r="B20" s="16" t="str" vm="412">
        <f>CUBEMEMBER("ThisWorkbookDataModel","[Table1].[goal].&amp;[1.333666E6]")</f>
        <v>1333666</v>
      </c>
      <c r="C20" t="str" vm="2186">
        <f t="shared" si="1"/>
        <v/>
      </c>
      <c r="D20" t="str" vm="4492">
        <f t="shared" si="1"/>
        <v/>
      </c>
      <c r="E20" vm="2187">
        <f t="shared" si="1"/>
        <v>27</v>
      </c>
      <c r="F20" vm="4494">
        <f t="shared" si="1"/>
        <v>11226</v>
      </c>
      <c r="G20" t="str" vm="2188">
        <f t="shared" si="1"/>
        <v/>
      </c>
      <c r="H20" t="str" vm="4495">
        <f t="shared" si="1"/>
        <v/>
      </c>
      <c r="I20" t="str" vm="2189">
        <f t="shared" si="1"/>
        <v/>
      </c>
      <c r="J20" t="str" vm="4491">
        <f t="shared" si="1"/>
        <v/>
      </c>
      <c r="K20" vm="4490">
        <f t="shared" si="1"/>
        <v>27</v>
      </c>
      <c r="L20" vm="4493">
        <f t="shared" si="1"/>
        <v>11226</v>
      </c>
    </row>
    <row r="21" spans="2:12" x14ac:dyDescent="0.3">
      <c r="B21" s="16" t="str" vm="296">
        <f>CUBEMEMBER("ThisWorkbookDataModel","[Table1].[goal].&amp;[1.3E6]")</f>
        <v>1300000</v>
      </c>
      <c r="C21" t="str" vm="2182">
        <f t="shared" si="1"/>
        <v/>
      </c>
      <c r="D21" t="str" vm="3181">
        <f t="shared" si="1"/>
        <v/>
      </c>
      <c r="E21" vm="2183">
        <f t="shared" si="1"/>
        <v>10</v>
      </c>
      <c r="F21" vm="3183">
        <f t="shared" si="1"/>
        <v>128</v>
      </c>
      <c r="G21" t="str" vm="2184">
        <f t="shared" si="1"/>
        <v/>
      </c>
      <c r="H21" t="str" vm="3184">
        <f t="shared" si="1"/>
        <v/>
      </c>
      <c r="I21" t="str" vm="2185">
        <f t="shared" si="1"/>
        <v/>
      </c>
      <c r="J21" t="str" vm="3185">
        <f t="shared" si="1"/>
        <v/>
      </c>
      <c r="K21" vm="3180">
        <f t="shared" si="1"/>
        <v>10</v>
      </c>
      <c r="L21" vm="3182">
        <f t="shared" si="1"/>
        <v>128</v>
      </c>
    </row>
    <row r="22" spans="2:12" x14ac:dyDescent="0.3">
      <c r="B22" s="16" t="str" vm="318">
        <f>CUBEMEMBER("ThisWorkbookDataModel","[Table1].[goal].&amp;[1.E6]")</f>
        <v>1000000</v>
      </c>
      <c r="C22" vm="2178">
        <f t="shared" si="1"/>
        <v>1502</v>
      </c>
      <c r="D22" vm="4692">
        <f t="shared" si="1"/>
        <v>335598.31</v>
      </c>
      <c r="E22" vm="2179">
        <f t="shared" si="1"/>
        <v>10</v>
      </c>
      <c r="F22" vm="4688">
        <f t="shared" si="1"/>
        <v>2122</v>
      </c>
      <c r="G22" t="str" vm="2180">
        <f t="shared" si="1"/>
        <v/>
      </c>
      <c r="H22" t="str" vm="4689">
        <f t="shared" si="1"/>
        <v/>
      </c>
      <c r="I22" t="str" vm="2181">
        <f t="shared" si="1"/>
        <v/>
      </c>
      <c r="J22" t="str" vm="4690">
        <f t="shared" si="1"/>
        <v/>
      </c>
      <c r="K22" vm="4691">
        <f t="shared" si="1"/>
        <v>1512</v>
      </c>
      <c r="L22" vm="4693">
        <f t="shared" si="1"/>
        <v>337720.31</v>
      </c>
    </row>
    <row r="23" spans="2:12" x14ac:dyDescent="0.3">
      <c r="B23" s="16" t="str" vm="341">
        <f>CUBEMEMBER("ThisWorkbookDataModel","[Table1].[goal].&amp;[9.E5]")</f>
        <v>900000</v>
      </c>
      <c r="C23" t="str" vm="2174">
        <f t="shared" si="1"/>
        <v/>
      </c>
      <c r="D23" t="str" vm="3315">
        <f t="shared" si="1"/>
        <v/>
      </c>
      <c r="E23" vm="2175">
        <f t="shared" si="1"/>
        <v>20</v>
      </c>
      <c r="F23" vm="3317">
        <f t="shared" si="1"/>
        <v>1431</v>
      </c>
      <c r="G23" t="str" vm="2176">
        <f t="shared" si="1"/>
        <v/>
      </c>
      <c r="H23" t="str" vm="3312">
        <f t="shared" si="1"/>
        <v/>
      </c>
      <c r="I23" t="str" vm="2177">
        <f t="shared" si="1"/>
        <v/>
      </c>
      <c r="J23" t="str" vm="3313">
        <f t="shared" si="1"/>
        <v/>
      </c>
      <c r="K23" vm="3314">
        <f t="shared" si="1"/>
        <v>20</v>
      </c>
      <c r="L23" vm="3316">
        <f t="shared" si="1"/>
        <v>1431</v>
      </c>
    </row>
    <row r="24" spans="2:12" x14ac:dyDescent="0.3">
      <c r="B24" s="16" t="str" vm="446">
        <f>CUBEMEMBER("ThisWorkbookDataModel","[Table1].[goal].&amp;[8.947E5]")</f>
        <v>894700</v>
      </c>
      <c r="C24" vm="2170">
        <f t="shared" si="1"/>
        <v>6</v>
      </c>
      <c r="D24" vm="2362">
        <f t="shared" si="1"/>
        <v>19824</v>
      </c>
      <c r="E24" t="str" vm="2171">
        <f t="shared" si="1"/>
        <v/>
      </c>
      <c r="F24" t="str" vm="2364">
        <f t="shared" si="1"/>
        <v/>
      </c>
      <c r="G24" t="str" vm="2172">
        <f t="shared" si="1"/>
        <v/>
      </c>
      <c r="H24" t="str" vm="2365">
        <f t="shared" si="1"/>
        <v/>
      </c>
      <c r="I24" t="str" vm="2173">
        <f t="shared" si="1"/>
        <v/>
      </c>
      <c r="J24" t="str" vm="2361">
        <f t="shared" si="1"/>
        <v/>
      </c>
      <c r="K24" vm="2360">
        <f t="shared" si="1"/>
        <v>6</v>
      </c>
      <c r="L24" vm="2363">
        <f t="shared" si="1"/>
        <v>19824</v>
      </c>
    </row>
    <row r="25" spans="2:12" x14ac:dyDescent="0.3">
      <c r="B25" s="16" t="str" vm="364">
        <f>CUBEMEMBER("ThisWorkbookDataModel","[Table1].[goal].&amp;[8.5E5]")</f>
        <v>850000</v>
      </c>
      <c r="C25" vm="2166">
        <f t="shared" si="1"/>
        <v>1</v>
      </c>
      <c r="D25" vm="3496">
        <f t="shared" si="1"/>
        <v>50</v>
      </c>
      <c r="E25" t="str" vm="2167">
        <f t="shared" si="1"/>
        <v/>
      </c>
      <c r="F25" t="str" vm="3498">
        <f t="shared" si="1"/>
        <v/>
      </c>
      <c r="G25" t="str" vm="2168">
        <f t="shared" si="1"/>
        <v/>
      </c>
      <c r="H25" t="str" vm="3499">
        <f t="shared" si="1"/>
        <v/>
      </c>
      <c r="I25" t="str" vm="2169">
        <f t="shared" si="1"/>
        <v/>
      </c>
      <c r="J25" t="str" vm="3500">
        <f t="shared" si="1"/>
        <v/>
      </c>
      <c r="K25" vm="3495">
        <f t="shared" si="1"/>
        <v>1</v>
      </c>
      <c r="L25" vm="3497">
        <f t="shared" si="1"/>
        <v>50</v>
      </c>
    </row>
    <row r="26" spans="2:12" x14ac:dyDescent="0.3">
      <c r="B26" s="16" t="str" vm="384">
        <f>CUBEMEMBER("ThisWorkbookDataModel","[Table1].[goal].&amp;[8.E5]")</f>
        <v>800000</v>
      </c>
      <c r="C26" vm="2162">
        <f t="shared" ref="C26:L35" si="2">CUBEVALUE("ThisWorkbookDataModel",$B26,C$5)</f>
        <v>4</v>
      </c>
      <c r="D26" vm="2613">
        <f t="shared" si="2"/>
        <v>26</v>
      </c>
      <c r="E26" t="str" vm="2163">
        <f t="shared" si="2"/>
        <v/>
      </c>
      <c r="F26" t="str" vm="2609">
        <f t="shared" si="2"/>
        <v/>
      </c>
      <c r="G26" t="str" vm="2164">
        <f t="shared" si="2"/>
        <v/>
      </c>
      <c r="H26" t="str" vm="2610">
        <f t="shared" si="2"/>
        <v/>
      </c>
      <c r="I26" t="str" vm="2165">
        <f t="shared" si="2"/>
        <v/>
      </c>
      <c r="J26" t="str" vm="2611">
        <f t="shared" si="2"/>
        <v/>
      </c>
      <c r="K26" vm="2612">
        <f t="shared" si="2"/>
        <v>4</v>
      </c>
      <c r="L26" vm="2614">
        <f t="shared" si="2"/>
        <v>26</v>
      </c>
    </row>
    <row r="27" spans="2:12" x14ac:dyDescent="0.3">
      <c r="B27" s="16" t="str" vm="275">
        <f>CUBEMEMBER("ThisWorkbookDataModel","[Table1].[goal].&amp;[5.5E5]")</f>
        <v>550000</v>
      </c>
      <c r="C27" t="str" vm="2158">
        <f t="shared" si="2"/>
        <v/>
      </c>
      <c r="D27" t="str" vm="2904">
        <f t="shared" si="2"/>
        <v/>
      </c>
      <c r="E27" vm="2159">
        <f t="shared" si="2"/>
        <v>1</v>
      </c>
      <c r="F27" vm="2906">
        <f t="shared" si="2"/>
        <v>50</v>
      </c>
      <c r="G27" t="str" vm="2160">
        <f t="shared" si="2"/>
        <v/>
      </c>
      <c r="H27" t="str" vm="2901">
        <f t="shared" si="2"/>
        <v/>
      </c>
      <c r="I27" t="str" vm="2161">
        <f t="shared" si="2"/>
        <v/>
      </c>
      <c r="J27" t="str" vm="2902">
        <f t="shared" si="2"/>
        <v/>
      </c>
      <c r="K27" vm="2903">
        <f t="shared" si="2"/>
        <v>1</v>
      </c>
      <c r="L27" vm="2905">
        <f t="shared" si="2"/>
        <v>50</v>
      </c>
    </row>
    <row r="28" spans="2:12" x14ac:dyDescent="0.3">
      <c r="B28" s="16" t="str" vm="394">
        <f>CUBEMEMBER("ThisWorkbookDataModel","[Table1].[goal].&amp;[5.1E5]")</f>
        <v>510000</v>
      </c>
      <c r="C28" vm="2154">
        <f t="shared" si="2"/>
        <v>0</v>
      </c>
      <c r="D28" vm="3696">
        <f t="shared" si="2"/>
        <v>0</v>
      </c>
      <c r="E28" t="str" vm="2155">
        <f t="shared" si="2"/>
        <v/>
      </c>
      <c r="F28" t="str" vm="3698">
        <f t="shared" si="2"/>
        <v/>
      </c>
      <c r="G28" t="str" vm="2156">
        <f t="shared" si="2"/>
        <v/>
      </c>
      <c r="H28" t="str" vm="3699">
        <f t="shared" si="2"/>
        <v/>
      </c>
      <c r="I28" t="str" vm="2157">
        <f t="shared" si="2"/>
        <v/>
      </c>
      <c r="J28" t="str" vm="3695">
        <f t="shared" si="2"/>
        <v/>
      </c>
      <c r="K28" vm="3694">
        <f t="shared" si="2"/>
        <v>0</v>
      </c>
      <c r="L28" vm="3697">
        <f t="shared" si="2"/>
        <v>0</v>
      </c>
    </row>
    <row r="29" spans="2:12" x14ac:dyDescent="0.3">
      <c r="B29" s="16" t="str" vm="297">
        <f>CUBEMEMBER("ThisWorkbookDataModel","[Table1].[goal].&amp;[5.E5]")</f>
        <v>500000</v>
      </c>
      <c r="C29" vm="2150">
        <f t="shared" si="2"/>
        <v>536</v>
      </c>
      <c r="D29" vm="3187">
        <f t="shared" si="2"/>
        <v>42096.42</v>
      </c>
      <c r="E29" vm="2151">
        <f t="shared" si="2"/>
        <v>134</v>
      </c>
      <c r="F29" vm="3189">
        <f t="shared" si="2"/>
        <v>27906.52</v>
      </c>
      <c r="G29" t="str" vm="2152">
        <f t="shared" si="2"/>
        <v/>
      </c>
      <c r="H29" t="str" vm="3190">
        <f t="shared" si="2"/>
        <v/>
      </c>
      <c r="I29" t="str" vm="2153">
        <f t="shared" si="2"/>
        <v/>
      </c>
      <c r="J29" t="str" vm="3191">
        <f t="shared" si="2"/>
        <v/>
      </c>
      <c r="K29" vm="3186">
        <f t="shared" si="2"/>
        <v>670</v>
      </c>
      <c r="L29" vm="3188">
        <f t="shared" si="2"/>
        <v>70002.94</v>
      </c>
    </row>
    <row r="30" spans="2:12" x14ac:dyDescent="0.3">
      <c r="B30" s="16" t="str" vm="319">
        <f>CUBEMEMBER("ThisWorkbookDataModel","[Table1].[goal].&amp;[4.749E5]")</f>
        <v>474900</v>
      </c>
      <c r="C30" vm="2146">
        <f t="shared" si="2"/>
        <v>0</v>
      </c>
      <c r="D30" vm="3883">
        <f t="shared" si="2"/>
        <v>0</v>
      </c>
      <c r="E30" t="str" vm="2147">
        <f t="shared" si="2"/>
        <v/>
      </c>
      <c r="F30" t="str" vm="3879">
        <f t="shared" si="2"/>
        <v/>
      </c>
      <c r="G30" t="str" vm="2148">
        <f t="shared" si="2"/>
        <v/>
      </c>
      <c r="H30" t="str" vm="3880">
        <f t="shared" si="2"/>
        <v/>
      </c>
      <c r="I30" t="str" vm="2149">
        <f t="shared" si="2"/>
        <v/>
      </c>
      <c r="J30" t="str" vm="3881">
        <f t="shared" si="2"/>
        <v/>
      </c>
      <c r="K30" vm="3882">
        <f t="shared" si="2"/>
        <v>0</v>
      </c>
      <c r="L30" vm="3884">
        <f t="shared" si="2"/>
        <v>0</v>
      </c>
    </row>
    <row r="31" spans="2:12" x14ac:dyDescent="0.3">
      <c r="B31" s="16" t="str" vm="342">
        <f>CUBEMEMBER("ThisWorkbookDataModel","[Table1].[goal].&amp;[4.62E5]")</f>
        <v>462000</v>
      </c>
      <c r="C31" vm="2142">
        <f t="shared" si="2"/>
        <v>7</v>
      </c>
      <c r="D31" vm="4067">
        <f t="shared" si="2"/>
        <v>6019</v>
      </c>
      <c r="E31" t="str" vm="2143">
        <f t="shared" si="2"/>
        <v/>
      </c>
      <c r="F31" t="str" vm="4069">
        <f t="shared" si="2"/>
        <v/>
      </c>
      <c r="G31" t="str" vm="2144">
        <f t="shared" si="2"/>
        <v/>
      </c>
      <c r="H31" t="str" vm="4064">
        <f t="shared" si="2"/>
        <v/>
      </c>
      <c r="I31" t="str" vm="2145">
        <f t="shared" si="2"/>
        <v/>
      </c>
      <c r="J31" t="str" vm="4065">
        <f t="shared" si="2"/>
        <v/>
      </c>
      <c r="K31" vm="4066">
        <f t="shared" si="2"/>
        <v>7</v>
      </c>
      <c r="L31" vm="4068">
        <f t="shared" si="2"/>
        <v>6019</v>
      </c>
    </row>
    <row r="32" spans="2:12" x14ac:dyDescent="0.3">
      <c r="B32" s="16" t="str" vm="404">
        <f>CUBEMEMBER("ThisWorkbookDataModel","[Table1].[goal].&amp;[4.5E5]")</f>
        <v>450000</v>
      </c>
      <c r="C32" vm="2138">
        <f t="shared" si="2"/>
        <v>1</v>
      </c>
      <c r="D32" vm="2368">
        <f t="shared" si="2"/>
        <v>90</v>
      </c>
      <c r="E32" t="str" vm="2139">
        <f t="shared" si="2"/>
        <v/>
      </c>
      <c r="F32" t="str" vm="2370">
        <f t="shared" si="2"/>
        <v/>
      </c>
      <c r="G32" t="str" vm="2140">
        <f t="shared" si="2"/>
        <v/>
      </c>
      <c r="H32" t="str" vm="2371">
        <f t="shared" si="2"/>
        <v/>
      </c>
      <c r="I32" t="str" vm="2141">
        <f t="shared" si="2"/>
        <v/>
      </c>
      <c r="J32" t="str" vm="2367">
        <f t="shared" si="2"/>
        <v/>
      </c>
      <c r="K32" vm="2366">
        <f t="shared" si="2"/>
        <v>1</v>
      </c>
      <c r="L32" vm="2369">
        <f t="shared" si="2"/>
        <v>90</v>
      </c>
    </row>
    <row r="33" spans="2:12" x14ac:dyDescent="0.3">
      <c r="B33" s="16" t="str" vm="41">
        <f>CUBEMEMBER("ThisWorkbookDataModel","[Table1].[goal].&amp;[4.E5]")</f>
        <v>400000</v>
      </c>
      <c r="C33" vm="1526">
        <f t="shared" si="2"/>
        <v>3</v>
      </c>
      <c r="D33" vm="3558">
        <f t="shared" si="2"/>
        <v>605</v>
      </c>
      <c r="E33" t="str" vm="1527">
        <f t="shared" si="2"/>
        <v/>
      </c>
      <c r="F33" t="str" vm="3560">
        <f t="shared" si="2"/>
        <v/>
      </c>
      <c r="G33" t="str" vm="1528">
        <f t="shared" si="2"/>
        <v/>
      </c>
      <c r="H33" t="str" vm="3555">
        <f t="shared" si="2"/>
        <v/>
      </c>
      <c r="I33" vm="1529">
        <f t="shared" si="2"/>
        <v>3863</v>
      </c>
      <c r="J33" vm="3556">
        <f t="shared" si="2"/>
        <v>1052110.8700000001</v>
      </c>
      <c r="K33" vm="3557">
        <f t="shared" si="2"/>
        <v>3866</v>
      </c>
      <c r="L33" vm="3559">
        <f t="shared" si="2"/>
        <v>1052715.8700000001</v>
      </c>
    </row>
    <row r="34" spans="2:12" x14ac:dyDescent="0.3">
      <c r="B34" s="16" t="str" vm="365">
        <f>CUBEMEMBER("ThisWorkbookDataModel","[Table1].[goal].&amp;[3.9E5]")</f>
        <v>390000</v>
      </c>
      <c r="C34" t="str" vm="2134">
        <f t="shared" si="2"/>
        <v/>
      </c>
      <c r="D34" t="str" vm="4280">
        <f t="shared" si="2"/>
        <v/>
      </c>
      <c r="E34" vm="2135">
        <f t="shared" si="2"/>
        <v>125</v>
      </c>
      <c r="F34" vm="4282">
        <f t="shared" si="2"/>
        <v>207741</v>
      </c>
      <c r="G34" t="str" vm="2136">
        <f t="shared" si="2"/>
        <v/>
      </c>
      <c r="H34" t="str" vm="4283">
        <f t="shared" si="2"/>
        <v/>
      </c>
      <c r="I34" t="str" vm="2137">
        <f t="shared" si="2"/>
        <v/>
      </c>
      <c r="J34" t="str" vm="4284">
        <f t="shared" si="2"/>
        <v/>
      </c>
      <c r="K34" vm="4279">
        <f t="shared" si="2"/>
        <v>125</v>
      </c>
      <c r="L34" vm="4281">
        <f t="shared" si="2"/>
        <v>207741</v>
      </c>
    </row>
    <row r="35" spans="2:12" x14ac:dyDescent="0.3">
      <c r="B35" s="16" t="str" vm="416">
        <f>CUBEMEMBER("ThisWorkbookDataModel","[Table1].[goal].&amp;[3.8E5]")</f>
        <v>380000</v>
      </c>
      <c r="C35" vm="2130">
        <f t="shared" si="2"/>
        <v>2</v>
      </c>
      <c r="D35" vm="2619">
        <f t="shared" si="2"/>
        <v>30</v>
      </c>
      <c r="E35" t="str" vm="2131">
        <f t="shared" si="2"/>
        <v/>
      </c>
      <c r="F35" t="str" vm="2615">
        <f t="shared" si="2"/>
        <v/>
      </c>
      <c r="G35" t="str" vm="2132">
        <f t="shared" si="2"/>
        <v/>
      </c>
      <c r="H35" t="str" vm="2616">
        <f t="shared" si="2"/>
        <v/>
      </c>
      <c r="I35" t="str" vm="2133">
        <f t="shared" si="2"/>
        <v/>
      </c>
      <c r="J35" t="str" vm="2617">
        <f t="shared" si="2"/>
        <v/>
      </c>
      <c r="K35" vm="2618">
        <f t="shared" si="2"/>
        <v>2</v>
      </c>
      <c r="L35" vm="2620">
        <f t="shared" si="2"/>
        <v>30</v>
      </c>
    </row>
    <row r="36" spans="2:12" x14ac:dyDescent="0.3">
      <c r="B36" s="16" t="str" vm="276">
        <f>CUBEMEMBER("ThisWorkbookDataModel","[Table1].[goal].&amp;[3.75E5]")</f>
        <v>375000</v>
      </c>
      <c r="C36" vm="2126">
        <f t="shared" ref="C36:L45" si="3">CUBEVALUE("ThisWorkbookDataModel",$B36,C$5)</f>
        <v>0</v>
      </c>
      <c r="D36" vm="2910">
        <f t="shared" si="3"/>
        <v>0</v>
      </c>
      <c r="E36" t="str" vm="2127">
        <f t="shared" si="3"/>
        <v/>
      </c>
      <c r="F36" t="str" vm="2912">
        <f t="shared" si="3"/>
        <v/>
      </c>
      <c r="G36" t="str" vm="2128">
        <f t="shared" si="3"/>
        <v/>
      </c>
      <c r="H36" t="str" vm="2907">
        <f t="shared" si="3"/>
        <v/>
      </c>
      <c r="I36" t="str" vm="2129">
        <f t="shared" si="3"/>
        <v/>
      </c>
      <c r="J36" t="str" vm="2908">
        <f t="shared" si="3"/>
        <v/>
      </c>
      <c r="K36" vm="2909">
        <f t="shared" si="3"/>
        <v>0</v>
      </c>
      <c r="L36" vm="2911">
        <f t="shared" si="3"/>
        <v>0</v>
      </c>
    </row>
    <row r="37" spans="2:12" x14ac:dyDescent="0.3">
      <c r="B37" s="16" t="str" vm="426">
        <f>CUBEMEMBER("ThisWorkbookDataModel","[Table1].[goal].&amp;[3.72625E5]")</f>
        <v>372625</v>
      </c>
      <c r="C37" t="str" vm="2122">
        <f t="shared" si="3"/>
        <v/>
      </c>
      <c r="D37" t="str" vm="4498">
        <f t="shared" si="3"/>
        <v/>
      </c>
      <c r="E37" vm="2123">
        <f t="shared" si="3"/>
        <v>4</v>
      </c>
      <c r="F37" vm="4500">
        <f t="shared" si="3"/>
        <v>34</v>
      </c>
      <c r="G37" t="str" vm="2124">
        <f t="shared" si="3"/>
        <v/>
      </c>
      <c r="H37" t="str" vm="4501">
        <f t="shared" si="3"/>
        <v/>
      </c>
      <c r="I37" t="str" vm="2125">
        <f t="shared" si="3"/>
        <v/>
      </c>
      <c r="J37" t="str" vm="4497">
        <f t="shared" si="3"/>
        <v/>
      </c>
      <c r="K37" vm="4496">
        <f t="shared" si="3"/>
        <v>4</v>
      </c>
      <c r="L37" vm="4499">
        <f t="shared" si="3"/>
        <v>34</v>
      </c>
    </row>
    <row r="38" spans="2:12" x14ac:dyDescent="0.3">
      <c r="B38" s="16" t="str" vm="298">
        <f>CUBEMEMBER("ThisWorkbookDataModel","[Table1].[goal].&amp;[3.5E5]")</f>
        <v>350000</v>
      </c>
      <c r="C38" t="str" vm="2118">
        <f t="shared" si="3"/>
        <v/>
      </c>
      <c r="D38" t="str" vm="3193">
        <f t="shared" si="3"/>
        <v/>
      </c>
      <c r="E38" vm="2119">
        <f t="shared" si="3"/>
        <v>15</v>
      </c>
      <c r="F38" vm="3195">
        <f t="shared" si="3"/>
        <v>41950</v>
      </c>
      <c r="G38" t="str" vm="2120">
        <f t="shared" si="3"/>
        <v/>
      </c>
      <c r="H38" t="str" vm="3196">
        <f t="shared" si="3"/>
        <v/>
      </c>
      <c r="I38" t="str" vm="2121">
        <f t="shared" si="3"/>
        <v/>
      </c>
      <c r="J38" t="str" vm="3197">
        <f t="shared" si="3"/>
        <v/>
      </c>
      <c r="K38" vm="3192">
        <f t="shared" si="3"/>
        <v>15</v>
      </c>
      <c r="L38" vm="3194">
        <f t="shared" si="3"/>
        <v>41950</v>
      </c>
    </row>
    <row r="39" spans="2:12" x14ac:dyDescent="0.3">
      <c r="B39" s="16" t="str" vm="320">
        <f>CUBEMEMBER("ThisWorkbookDataModel","[Table1].[goal].&amp;[3.2E5]")</f>
        <v>320000</v>
      </c>
      <c r="C39" t="str" vm="2114">
        <f t="shared" si="3"/>
        <v/>
      </c>
      <c r="D39" t="str" vm="4698">
        <f t="shared" si="3"/>
        <v/>
      </c>
      <c r="E39" vm="2115">
        <f t="shared" si="3"/>
        <v>135</v>
      </c>
      <c r="F39" vm="4694">
        <f t="shared" si="3"/>
        <v>23948</v>
      </c>
      <c r="G39" t="str" vm="2116">
        <f t="shared" si="3"/>
        <v/>
      </c>
      <c r="H39" t="str" vm="4695">
        <f t="shared" si="3"/>
        <v/>
      </c>
      <c r="I39" t="str" vm="2117">
        <f t="shared" si="3"/>
        <v/>
      </c>
      <c r="J39" t="str" vm="4696">
        <f t="shared" si="3"/>
        <v/>
      </c>
      <c r="K39" vm="4697">
        <f t="shared" si="3"/>
        <v>135</v>
      </c>
      <c r="L39" vm="4699">
        <f t="shared" si="3"/>
        <v>23948</v>
      </c>
    </row>
    <row r="40" spans="2:12" x14ac:dyDescent="0.3">
      <c r="B40" s="16" t="str" vm="80">
        <f>CUBEMEMBER("ThisWorkbookDataModel","[Table1].[goal].&amp;[3.E5]")</f>
        <v>300000</v>
      </c>
      <c r="C40" t="str" vm="1522">
        <f t="shared" si="3"/>
        <v/>
      </c>
      <c r="D40" t="str" vm="2731">
        <f t="shared" si="3"/>
        <v/>
      </c>
      <c r="E40" vm="1523">
        <f t="shared" si="3"/>
        <v>1697</v>
      </c>
      <c r="F40" vm="2733">
        <f t="shared" si="3"/>
        <v>188919.11</v>
      </c>
      <c r="G40" vm="1524">
        <f t="shared" si="3"/>
        <v>0</v>
      </c>
      <c r="H40" vm="2734">
        <f t="shared" si="3"/>
        <v>0</v>
      </c>
      <c r="I40" vm="1525">
        <f t="shared" si="3"/>
        <v>555</v>
      </c>
      <c r="J40" vm="2730">
        <f t="shared" si="3"/>
        <v>471567</v>
      </c>
      <c r="K40" vm="2732">
        <f t="shared" si="3"/>
        <v>2252</v>
      </c>
      <c r="L40" vm="2729">
        <f t="shared" si="3"/>
        <v>660486.11</v>
      </c>
    </row>
    <row r="41" spans="2:12" x14ac:dyDescent="0.3">
      <c r="B41" s="16" t="str" vm="343">
        <f>CUBEMEMBER("ThisWorkbookDataModel","[Table1].[goal].&amp;[2.8E5]")</f>
        <v>280000</v>
      </c>
      <c r="C41" vm="2110">
        <f t="shared" si="3"/>
        <v>17</v>
      </c>
      <c r="D41" vm="3321">
        <f t="shared" si="3"/>
        <v>5233</v>
      </c>
      <c r="E41" t="str" vm="2111">
        <f t="shared" si="3"/>
        <v/>
      </c>
      <c r="F41" t="str" vm="3323">
        <f t="shared" si="3"/>
        <v/>
      </c>
      <c r="G41" t="str" vm="2112">
        <f t="shared" si="3"/>
        <v/>
      </c>
      <c r="H41" t="str" vm="3318">
        <f t="shared" si="3"/>
        <v/>
      </c>
      <c r="I41" t="str" vm="2113">
        <f t="shared" si="3"/>
        <v/>
      </c>
      <c r="J41" t="str" vm="3319">
        <f t="shared" si="3"/>
        <v/>
      </c>
      <c r="K41" vm="3320">
        <f t="shared" si="3"/>
        <v>17</v>
      </c>
      <c r="L41" vm="3322">
        <f t="shared" si="3"/>
        <v>5233</v>
      </c>
    </row>
    <row r="42" spans="2:12" x14ac:dyDescent="0.3">
      <c r="B42" s="16" t="str" vm="120">
        <f>CUBEMEMBER("ThisWorkbookDataModel","[Table1].[goal].&amp;[2.61962E5]")</f>
        <v>261962</v>
      </c>
      <c r="C42" t="str" vm="1518">
        <f t="shared" si="3"/>
        <v/>
      </c>
      <c r="D42" t="str" vm="3021">
        <f t="shared" si="3"/>
        <v/>
      </c>
      <c r="E42" t="str" vm="1519">
        <f t="shared" si="3"/>
        <v/>
      </c>
      <c r="F42" t="str" vm="3022">
        <f t="shared" si="3"/>
        <v/>
      </c>
      <c r="G42" t="str" vm="1520">
        <f t="shared" si="3"/>
        <v/>
      </c>
      <c r="H42" t="str" vm="3025">
        <f t="shared" si="3"/>
        <v/>
      </c>
      <c r="I42" vm="1521">
        <f t="shared" si="3"/>
        <v>5812</v>
      </c>
      <c r="J42" vm="3026">
        <f t="shared" si="3"/>
        <v>500784.27</v>
      </c>
      <c r="K42" vm="3023">
        <f t="shared" si="3"/>
        <v>5812</v>
      </c>
      <c r="L42" vm="3024">
        <f t="shared" si="3"/>
        <v>500784.27</v>
      </c>
    </row>
    <row r="43" spans="2:12" x14ac:dyDescent="0.3">
      <c r="B43" s="16" t="str" vm="160">
        <f>CUBEMEMBER("ThisWorkbookDataModel","[Table1].[goal].&amp;[2.5E5]")</f>
        <v>250000</v>
      </c>
      <c r="C43" vm="1514">
        <f t="shared" si="3"/>
        <v>494</v>
      </c>
      <c r="D43" vm="3758">
        <f t="shared" si="3"/>
        <v>140824</v>
      </c>
      <c r="E43" vm="1515">
        <f t="shared" si="3"/>
        <v>12</v>
      </c>
      <c r="F43" vm="3755">
        <f t="shared" si="3"/>
        <v>1429</v>
      </c>
      <c r="G43" t="str" vm="1516">
        <f t="shared" si="3"/>
        <v/>
      </c>
      <c r="H43" t="str" vm="3754">
        <f t="shared" si="3"/>
        <v/>
      </c>
      <c r="I43" vm="1517">
        <f t="shared" si="3"/>
        <v>4883</v>
      </c>
      <c r="J43" vm="3756">
        <f t="shared" si="3"/>
        <v>315295.89</v>
      </c>
      <c r="K43" vm="3757">
        <f t="shared" si="3"/>
        <v>5389</v>
      </c>
      <c r="L43" vm="3759">
        <f t="shared" si="3"/>
        <v>457548.89</v>
      </c>
    </row>
    <row r="44" spans="2:12" x14ac:dyDescent="0.3">
      <c r="B44" s="16" t="str" vm="436">
        <f>CUBEMEMBER("ThisWorkbookDataModel","[Table1].[goal].&amp;[2.4E5]")</f>
        <v>240000</v>
      </c>
      <c r="C44" t="str" vm="2106">
        <f t="shared" si="3"/>
        <v/>
      </c>
      <c r="D44" t="str" vm="2374">
        <f t="shared" si="3"/>
        <v/>
      </c>
      <c r="E44" vm="2107">
        <f t="shared" si="3"/>
        <v>1</v>
      </c>
      <c r="F44" vm="2376">
        <f t="shared" si="3"/>
        <v>50</v>
      </c>
      <c r="G44" t="str" vm="2108">
        <f t="shared" si="3"/>
        <v/>
      </c>
      <c r="H44" t="str" vm="2377">
        <f t="shared" si="3"/>
        <v/>
      </c>
      <c r="I44" t="str" vm="2109">
        <f t="shared" si="3"/>
        <v/>
      </c>
      <c r="J44" t="str" vm="2373">
        <f t="shared" si="3"/>
        <v/>
      </c>
      <c r="K44" vm="2372">
        <f t="shared" si="3"/>
        <v>1</v>
      </c>
      <c r="L44" vm="2375">
        <f t="shared" si="3"/>
        <v>50</v>
      </c>
    </row>
    <row r="45" spans="2:12" x14ac:dyDescent="0.3">
      <c r="B45" s="16" t="str" vm="366">
        <f>CUBEMEMBER("ThisWorkbookDataModel","[Table1].[goal].&amp;[2.25E5]")</f>
        <v>225000</v>
      </c>
      <c r="C45" t="str" vm="2102">
        <f t="shared" si="3"/>
        <v/>
      </c>
      <c r="D45" t="str" vm="3501">
        <f t="shared" si="3"/>
        <v/>
      </c>
      <c r="E45" vm="2103">
        <f t="shared" si="3"/>
        <v>9</v>
      </c>
      <c r="F45" vm="3504">
        <f t="shared" si="3"/>
        <v>11432</v>
      </c>
      <c r="G45" t="str" vm="2104">
        <f t="shared" si="3"/>
        <v/>
      </c>
      <c r="H45" t="str" vm="3505">
        <f t="shared" si="3"/>
        <v/>
      </c>
      <c r="I45" t="str" vm="2105">
        <f t="shared" si="3"/>
        <v/>
      </c>
      <c r="J45" t="str" vm="3506">
        <f t="shared" si="3"/>
        <v/>
      </c>
      <c r="K45" vm="3503">
        <f t="shared" si="3"/>
        <v>9</v>
      </c>
      <c r="L45" vm="3502">
        <f t="shared" si="3"/>
        <v>11432</v>
      </c>
    </row>
    <row r="46" spans="2:12" x14ac:dyDescent="0.3">
      <c r="B46" s="16" t="str" vm="402">
        <f>CUBEMEMBER("ThisWorkbookDataModel","[Table1].[goal].&amp;[2.2E5]")</f>
        <v>220000</v>
      </c>
      <c r="C46" t="str" vm="2098">
        <f t="shared" ref="C46:L55" si="4">CUBEVALUE("ThisWorkbookDataModel",$B46,C$5)</f>
        <v/>
      </c>
      <c r="D46" t="str" vm="2625">
        <f t="shared" si="4"/>
        <v/>
      </c>
      <c r="E46" vm="2099">
        <f t="shared" si="4"/>
        <v>130</v>
      </c>
      <c r="F46" vm="2621">
        <f t="shared" si="4"/>
        <v>5241.59</v>
      </c>
      <c r="G46" t="str" vm="2100">
        <f t="shared" si="4"/>
        <v/>
      </c>
      <c r="H46" t="str" vm="2622">
        <f t="shared" si="4"/>
        <v/>
      </c>
      <c r="I46" t="str" vm="2101">
        <f t="shared" si="4"/>
        <v/>
      </c>
      <c r="J46" t="str" vm="2623">
        <f t="shared" si="4"/>
        <v/>
      </c>
      <c r="K46" vm="2624">
        <f t="shared" si="4"/>
        <v>130</v>
      </c>
      <c r="L46" vm="2626">
        <f t="shared" si="4"/>
        <v>5241.59</v>
      </c>
    </row>
    <row r="47" spans="2:12" x14ac:dyDescent="0.3">
      <c r="B47" s="16" t="str" vm="198">
        <f>CUBEMEMBER("ThisWorkbookDataModel","[Table1].[goal].&amp;[2.E5]")</f>
        <v>200000</v>
      </c>
      <c r="C47" vm="1510">
        <f t="shared" si="4"/>
        <v>201</v>
      </c>
      <c r="D47" vm="3942">
        <f t="shared" si="4"/>
        <v>162214</v>
      </c>
      <c r="E47" vm="1511">
        <f t="shared" si="4"/>
        <v>592</v>
      </c>
      <c r="F47" vm="3944">
        <f t="shared" si="4"/>
        <v>204990.5</v>
      </c>
      <c r="G47" t="str" vm="1512">
        <f t="shared" si="4"/>
        <v/>
      </c>
      <c r="H47" t="str" vm="3939">
        <f t="shared" si="4"/>
        <v/>
      </c>
      <c r="I47" vm="1513">
        <f t="shared" si="4"/>
        <v>813</v>
      </c>
      <c r="J47" vm="3940">
        <f t="shared" si="4"/>
        <v>229802.31</v>
      </c>
      <c r="K47" vm="3941">
        <f t="shared" si="4"/>
        <v>1606</v>
      </c>
      <c r="L47" vm="3943">
        <f t="shared" si="4"/>
        <v>597006.81000000006</v>
      </c>
    </row>
    <row r="48" spans="2:12" x14ac:dyDescent="0.3">
      <c r="B48" s="16" t="str" vm="234">
        <f>CUBEMEMBER("ThisWorkbookDataModel","[Table1].[goal].&amp;[1.98E5]")</f>
        <v>198000</v>
      </c>
      <c r="C48" t="str" vm="1506">
        <f t="shared" si="4"/>
        <v/>
      </c>
      <c r="D48" t="str" vm="4126">
        <f t="shared" si="4"/>
        <v/>
      </c>
      <c r="E48" t="str" vm="1507">
        <f t="shared" si="4"/>
        <v/>
      </c>
      <c r="F48" t="str" vm="4128">
        <f t="shared" si="4"/>
        <v/>
      </c>
      <c r="G48" t="str" vm="1508">
        <f t="shared" si="4"/>
        <v/>
      </c>
      <c r="H48" t="str" vm="4129">
        <f t="shared" si="4"/>
        <v/>
      </c>
      <c r="I48" vm="1509">
        <f t="shared" si="4"/>
        <v>2051</v>
      </c>
      <c r="J48" vm="4124">
        <f t="shared" si="4"/>
        <v>508525.01</v>
      </c>
      <c r="K48" vm="4127">
        <f t="shared" si="4"/>
        <v>2051</v>
      </c>
      <c r="L48" vm="4125">
        <f t="shared" si="4"/>
        <v>508525.01</v>
      </c>
    </row>
    <row r="49" spans="2:12" x14ac:dyDescent="0.3">
      <c r="B49" s="16" t="str" vm="277">
        <f>CUBEMEMBER("ThisWorkbookDataModel","[Table1].[goal].&amp;[1.8E5]")</f>
        <v>180000</v>
      </c>
      <c r="C49" vm="2094">
        <f t="shared" si="4"/>
        <v>11</v>
      </c>
      <c r="D49" vm="2916">
        <f t="shared" si="4"/>
        <v>2028</v>
      </c>
      <c r="E49" vm="2095">
        <f t="shared" si="4"/>
        <v>4</v>
      </c>
      <c r="F49" vm="2918">
        <f t="shared" si="4"/>
        <v>2040</v>
      </c>
      <c r="G49" t="str" vm="2096">
        <f t="shared" si="4"/>
        <v/>
      </c>
      <c r="H49" t="str" vm="2913">
        <f t="shared" si="4"/>
        <v/>
      </c>
      <c r="I49" t="str" vm="2097">
        <f t="shared" si="4"/>
        <v/>
      </c>
      <c r="J49" t="str" vm="2914">
        <f t="shared" si="4"/>
        <v/>
      </c>
      <c r="K49" vm="2915">
        <f t="shared" si="4"/>
        <v>15</v>
      </c>
      <c r="L49" vm="2917">
        <f t="shared" si="4"/>
        <v>4068</v>
      </c>
    </row>
    <row r="50" spans="2:12" x14ac:dyDescent="0.3">
      <c r="B50" s="16" t="str" vm="267">
        <f>CUBEMEMBER("ThisWorkbookDataModel","[Table1].[goal].&amp;[1.79E5]")</f>
        <v>179000</v>
      </c>
      <c r="C50" t="str" vm="1502">
        <f t="shared" si="4"/>
        <v/>
      </c>
      <c r="D50" t="str" vm="4339">
        <f t="shared" si="4"/>
        <v/>
      </c>
      <c r="E50" t="str" vm="1503">
        <f t="shared" si="4"/>
        <v/>
      </c>
      <c r="F50" t="str" vm="4340">
        <f t="shared" si="4"/>
        <v/>
      </c>
      <c r="G50" t="str" vm="1504">
        <f t="shared" si="4"/>
        <v/>
      </c>
      <c r="H50" t="str" vm="4343">
        <f t="shared" si="4"/>
        <v/>
      </c>
      <c r="I50" vm="1505">
        <f t="shared" si="4"/>
        <v>8359</v>
      </c>
      <c r="J50" vm="4344">
        <f t="shared" si="4"/>
        <v>972594.99</v>
      </c>
      <c r="K50" vm="4341">
        <f t="shared" si="4"/>
        <v>8359</v>
      </c>
      <c r="L50" vm="4342">
        <f t="shared" si="4"/>
        <v>972594.99</v>
      </c>
    </row>
    <row r="51" spans="2:12" x14ac:dyDescent="0.3">
      <c r="B51" s="16" t="str" vm="447">
        <f>CUBEMEMBER("ThisWorkbookDataModel","[Table1].[goal].&amp;[1.75E5]")</f>
        <v>175000</v>
      </c>
      <c r="C51" vm="2090">
        <f t="shared" si="4"/>
        <v>0</v>
      </c>
      <c r="D51" vm="3702">
        <f t="shared" si="4"/>
        <v>0</v>
      </c>
      <c r="E51" vm="2091">
        <f t="shared" si="4"/>
        <v>2</v>
      </c>
      <c r="F51" vm="3704">
        <f t="shared" si="4"/>
        <v>11</v>
      </c>
      <c r="G51" t="str" vm="2092">
        <f t="shared" si="4"/>
        <v/>
      </c>
      <c r="H51" t="str" vm="3705">
        <f t="shared" si="4"/>
        <v/>
      </c>
      <c r="I51" t="str" vm="2093">
        <f t="shared" si="4"/>
        <v/>
      </c>
      <c r="J51" t="str" vm="3700">
        <f t="shared" si="4"/>
        <v/>
      </c>
      <c r="K51" vm="3701">
        <f t="shared" si="4"/>
        <v>2</v>
      </c>
      <c r="L51" vm="3703">
        <f t="shared" si="4"/>
        <v>11</v>
      </c>
    </row>
    <row r="52" spans="2:12" x14ac:dyDescent="0.3">
      <c r="B52" s="16" t="str" vm="299">
        <f>CUBEMEMBER("ThisWorkbookDataModel","[Table1].[goal].&amp;[1.72889E5]")</f>
        <v>172889</v>
      </c>
      <c r="C52" t="str" vm="2086">
        <f t="shared" si="4"/>
        <v/>
      </c>
      <c r="D52" t="str" vm="3199">
        <f t="shared" si="4"/>
        <v/>
      </c>
      <c r="E52" vm="2087">
        <f t="shared" si="4"/>
        <v>123</v>
      </c>
      <c r="F52" vm="3201">
        <f t="shared" si="4"/>
        <v>97273</v>
      </c>
      <c r="G52" t="str" vm="2088">
        <f t="shared" si="4"/>
        <v/>
      </c>
      <c r="H52" t="str" vm="3202">
        <f t="shared" si="4"/>
        <v/>
      </c>
      <c r="I52" t="str" vm="2089">
        <f t="shared" si="4"/>
        <v/>
      </c>
      <c r="J52" t="str" vm="3203">
        <f t="shared" si="4"/>
        <v/>
      </c>
      <c r="K52" vm="3200">
        <f t="shared" si="4"/>
        <v>123</v>
      </c>
      <c r="L52" vm="3198">
        <f t="shared" si="4"/>
        <v>97273</v>
      </c>
    </row>
    <row r="53" spans="2:12" x14ac:dyDescent="0.3">
      <c r="B53" s="16" t="str" vm="3">
        <f>CUBEMEMBER("ThisWorkbookDataModel","[Table1].[goal].&amp;[1.6E5]")</f>
        <v>160000</v>
      </c>
      <c r="C53" t="str" vm="1498">
        <f t="shared" si="4"/>
        <v/>
      </c>
      <c r="D53" t="str" vm="2490">
        <f t="shared" si="4"/>
        <v/>
      </c>
      <c r="E53" vm="1499">
        <f t="shared" si="4"/>
        <v>2</v>
      </c>
      <c r="F53" vm="2487">
        <f t="shared" si="4"/>
        <v>26</v>
      </c>
      <c r="G53" t="str" vm="1500">
        <f t="shared" si="4"/>
        <v/>
      </c>
      <c r="H53" t="str" vm="2486">
        <f t="shared" si="4"/>
        <v/>
      </c>
      <c r="I53" vm="1501">
        <f t="shared" si="4"/>
        <v>4562</v>
      </c>
      <c r="J53" vm="2488">
        <f t="shared" si="4"/>
        <v>791862</v>
      </c>
      <c r="K53" vm="2489">
        <f t="shared" si="4"/>
        <v>4564</v>
      </c>
      <c r="L53" vm="2491">
        <f t="shared" si="4"/>
        <v>791888</v>
      </c>
    </row>
    <row r="54" spans="2:12" x14ac:dyDescent="0.3">
      <c r="B54" s="16" t="str" vm="42">
        <f>CUBEMEMBER("ThisWorkbookDataModel","[Table1].[goal].&amp;[1.5E5]")</f>
        <v>150000</v>
      </c>
      <c r="C54" vm="1494">
        <f t="shared" si="4"/>
        <v>218</v>
      </c>
      <c r="D54" vm="4559">
        <f t="shared" si="4"/>
        <v>24354</v>
      </c>
      <c r="E54" vm="1495">
        <f t="shared" si="4"/>
        <v>240</v>
      </c>
      <c r="F54" vm="4561">
        <f t="shared" si="4"/>
        <v>21672</v>
      </c>
      <c r="G54" t="str" vm="1496">
        <f t="shared" si="4"/>
        <v/>
      </c>
      <c r="H54" t="str" vm="4556">
        <f t="shared" si="4"/>
        <v/>
      </c>
      <c r="I54" vm="1497">
        <f t="shared" si="4"/>
        <v>3633</v>
      </c>
      <c r="J54" vm="4557">
        <f t="shared" si="4"/>
        <v>494009.59999999998</v>
      </c>
      <c r="K54" vm="4558">
        <f t="shared" si="4"/>
        <v>4091</v>
      </c>
      <c r="L54" vm="4560">
        <f t="shared" si="4"/>
        <v>540035.6</v>
      </c>
    </row>
    <row r="55" spans="2:12" x14ac:dyDescent="0.3">
      <c r="B55" s="16" t="str" vm="321">
        <f>CUBEMEMBER("ThisWorkbookDataModel","[Table1].[goal].&amp;[1.4E5]")</f>
        <v>140000</v>
      </c>
      <c r="C55" t="str" vm="2082">
        <f t="shared" si="4"/>
        <v/>
      </c>
      <c r="D55" t="str" vm="3889">
        <f t="shared" si="4"/>
        <v/>
      </c>
      <c r="E55" vm="2083">
        <f t="shared" si="4"/>
        <v>4</v>
      </c>
      <c r="F55" vm="3885">
        <f t="shared" si="4"/>
        <v>2005</v>
      </c>
      <c r="G55" t="str" vm="2084">
        <f t="shared" si="4"/>
        <v/>
      </c>
      <c r="H55" t="str" vm="3886">
        <f t="shared" si="4"/>
        <v/>
      </c>
      <c r="I55" t="str" vm="2085">
        <f t="shared" si="4"/>
        <v/>
      </c>
      <c r="J55" t="str" vm="3887">
        <f t="shared" si="4"/>
        <v/>
      </c>
      <c r="K55" vm="3888">
        <f t="shared" si="4"/>
        <v>4</v>
      </c>
      <c r="L55" vm="3890">
        <f t="shared" si="4"/>
        <v>2005</v>
      </c>
    </row>
    <row r="56" spans="2:12" x14ac:dyDescent="0.3">
      <c r="B56" s="16" t="str" vm="344">
        <f>CUBEMEMBER("ThisWorkbookDataModel","[Table1].[goal].&amp;[1.338E5]")</f>
        <v>133800</v>
      </c>
      <c r="C56" t="str" vm="2078">
        <f t="shared" ref="C56:L65" si="5">CUBEVALUE("ThisWorkbookDataModel",$B56,C$5)</f>
        <v/>
      </c>
      <c r="D56" t="str" vm="4073">
        <f t="shared" si="5"/>
        <v/>
      </c>
      <c r="E56" vm="2079">
        <f t="shared" si="5"/>
        <v>0</v>
      </c>
      <c r="F56" vm="4075">
        <f t="shared" si="5"/>
        <v>0</v>
      </c>
      <c r="G56" t="str" vm="2080">
        <f t="shared" si="5"/>
        <v/>
      </c>
      <c r="H56" t="str" vm="4070">
        <f t="shared" si="5"/>
        <v/>
      </c>
      <c r="I56" t="str" vm="2081">
        <f t="shared" si="5"/>
        <v/>
      </c>
      <c r="J56" t="str" vm="4071">
        <f t="shared" si="5"/>
        <v/>
      </c>
      <c r="K56" vm="4072">
        <f t="shared" si="5"/>
        <v>0</v>
      </c>
      <c r="L56" vm="4074">
        <f t="shared" si="5"/>
        <v>0</v>
      </c>
    </row>
    <row r="57" spans="2:12" x14ac:dyDescent="0.3">
      <c r="B57" s="16" t="str" vm="385">
        <f>CUBEMEMBER("ThisWorkbookDataModel","[Table1].[goal].&amp;[1.33E5]")</f>
        <v>133000</v>
      </c>
      <c r="C57" vm="2074">
        <f t="shared" si="5"/>
        <v>276</v>
      </c>
      <c r="D57" vm="2380">
        <f t="shared" si="5"/>
        <v>14303</v>
      </c>
      <c r="E57" t="str" vm="2075">
        <f t="shared" si="5"/>
        <v/>
      </c>
      <c r="F57" t="str" vm="2382">
        <f t="shared" si="5"/>
        <v/>
      </c>
      <c r="G57" t="str" vm="2076">
        <f t="shared" si="5"/>
        <v/>
      </c>
      <c r="H57" t="str" vm="2383">
        <f t="shared" si="5"/>
        <v/>
      </c>
      <c r="I57" t="str" vm="2077">
        <f t="shared" si="5"/>
        <v/>
      </c>
      <c r="J57" t="str" vm="2378">
        <f t="shared" si="5"/>
        <v/>
      </c>
      <c r="K57" vm="2379">
        <f t="shared" si="5"/>
        <v>276</v>
      </c>
      <c r="L57" vm="2381">
        <f t="shared" si="5"/>
        <v>14303</v>
      </c>
    </row>
    <row r="58" spans="2:12" x14ac:dyDescent="0.3">
      <c r="B58" s="16" t="str" vm="367">
        <f>CUBEMEMBER("ThisWorkbookDataModel","[Table1].[goal].&amp;[1.3E5]")</f>
        <v>130000</v>
      </c>
      <c r="C58" vm="2070">
        <f t="shared" si="5"/>
        <v>67</v>
      </c>
      <c r="D58" vm="4285">
        <f t="shared" si="5"/>
        <v>30112</v>
      </c>
      <c r="E58" vm="2071">
        <f t="shared" si="5"/>
        <v>890</v>
      </c>
      <c r="F58" vm="4288">
        <f t="shared" si="5"/>
        <v>107148.74</v>
      </c>
      <c r="G58" t="str" vm="2072">
        <f t="shared" si="5"/>
        <v/>
      </c>
      <c r="H58" t="str" vm="4289">
        <f t="shared" si="5"/>
        <v/>
      </c>
      <c r="I58" t="str" vm="2073">
        <f t="shared" si="5"/>
        <v/>
      </c>
      <c r="J58" t="str" vm="4290">
        <f t="shared" si="5"/>
        <v/>
      </c>
      <c r="K58" vm="4287">
        <f t="shared" si="5"/>
        <v>957</v>
      </c>
      <c r="L58" vm="4286">
        <f t="shared" si="5"/>
        <v>137260.74</v>
      </c>
    </row>
    <row r="59" spans="2:12" x14ac:dyDescent="0.3">
      <c r="B59" s="16" t="str" vm="81">
        <f>CUBEMEMBER("ThisWorkbookDataModel","[Table1].[goal].&amp;[1.26E5]")</f>
        <v>126000</v>
      </c>
      <c r="C59" t="str" vm="1490">
        <f t="shared" si="5"/>
        <v/>
      </c>
      <c r="D59" t="str" vm="2735">
        <f t="shared" si="5"/>
        <v/>
      </c>
      <c r="E59" t="str" vm="1491">
        <f t="shared" si="5"/>
        <v/>
      </c>
      <c r="F59" t="str" vm="2739">
        <f t="shared" si="5"/>
        <v/>
      </c>
      <c r="G59" t="str" vm="1492">
        <f t="shared" si="5"/>
        <v/>
      </c>
      <c r="H59" t="str" vm="2740">
        <f t="shared" si="5"/>
        <v/>
      </c>
      <c r="I59" vm="1493">
        <f t="shared" si="5"/>
        <v>2436</v>
      </c>
      <c r="J59" vm="2736">
        <f t="shared" si="5"/>
        <v>137254.84</v>
      </c>
      <c r="K59" vm="2738">
        <f t="shared" si="5"/>
        <v>2436</v>
      </c>
      <c r="L59" vm="2737">
        <f t="shared" si="5"/>
        <v>137254.84</v>
      </c>
    </row>
    <row r="60" spans="2:12" x14ac:dyDescent="0.3">
      <c r="B60" s="16" t="str" vm="121">
        <f>CUBEMEMBER("ThisWorkbookDataModel","[Table1].[goal].&amp;[1.25E5]")</f>
        <v>125000</v>
      </c>
      <c r="C60" vm="1486">
        <f t="shared" si="5"/>
        <v>351</v>
      </c>
      <c r="D60" vm="3027">
        <f t="shared" si="5"/>
        <v>85316</v>
      </c>
      <c r="E60" vm="1487">
        <f t="shared" si="5"/>
        <v>8</v>
      </c>
      <c r="F60" vm="3028">
        <f t="shared" si="5"/>
        <v>44</v>
      </c>
      <c r="G60" vm="1488">
        <f t="shared" si="5"/>
        <v>0</v>
      </c>
      <c r="H60" vm="3031">
        <f t="shared" si="5"/>
        <v>0</v>
      </c>
      <c r="I60" vm="1489">
        <f t="shared" si="5"/>
        <v>1909</v>
      </c>
      <c r="J60" vm="3032">
        <f t="shared" si="5"/>
        <v>566930</v>
      </c>
      <c r="K60" vm="3029">
        <f t="shared" si="5"/>
        <v>2268</v>
      </c>
      <c r="L60" vm="3030">
        <f t="shared" si="5"/>
        <v>652290</v>
      </c>
    </row>
    <row r="61" spans="2:12" x14ac:dyDescent="0.3">
      <c r="B61" s="16" t="str" vm="395">
        <f>CUBEMEMBER("ThisWorkbookDataModel","[Table1].[goal].&amp;[1.24E5]")</f>
        <v>124000</v>
      </c>
      <c r="C61" vm="2066">
        <f t="shared" si="5"/>
        <v>0</v>
      </c>
      <c r="D61" vm="2631">
        <f t="shared" si="5"/>
        <v>0</v>
      </c>
      <c r="E61" t="str" vm="2067">
        <f t="shared" si="5"/>
        <v/>
      </c>
      <c r="F61" t="str" vm="2627">
        <f t="shared" si="5"/>
        <v/>
      </c>
      <c r="G61" t="str" vm="2068">
        <f t="shared" si="5"/>
        <v/>
      </c>
      <c r="H61" t="str" vm="2628">
        <f t="shared" si="5"/>
        <v/>
      </c>
      <c r="I61" t="str" vm="2069">
        <f t="shared" si="5"/>
        <v/>
      </c>
      <c r="J61" t="str" vm="2629">
        <f t="shared" si="5"/>
        <v/>
      </c>
      <c r="K61" vm="2630">
        <f t="shared" si="5"/>
        <v>0</v>
      </c>
      <c r="L61" vm="2632">
        <f t="shared" si="5"/>
        <v>0</v>
      </c>
    </row>
    <row r="62" spans="2:12" x14ac:dyDescent="0.3">
      <c r="B62" s="16" t="str" vm="278">
        <f>CUBEMEMBER("ThisWorkbookDataModel","[Table1].[goal].&amp;[1.2E5]")</f>
        <v>120000</v>
      </c>
      <c r="C62" t="str" vm="2062">
        <f t="shared" si="5"/>
        <v/>
      </c>
      <c r="D62" t="str" vm="2922">
        <f t="shared" si="5"/>
        <v/>
      </c>
      <c r="E62" vm="2063">
        <f t="shared" si="5"/>
        <v>7</v>
      </c>
      <c r="F62" vm="2924">
        <f t="shared" si="5"/>
        <v>640</v>
      </c>
      <c r="G62" t="str" vm="2064">
        <f t="shared" si="5"/>
        <v/>
      </c>
      <c r="H62" t="str" vm="2919">
        <f t="shared" si="5"/>
        <v/>
      </c>
      <c r="I62" t="str" vm="2065">
        <f t="shared" si="5"/>
        <v/>
      </c>
      <c r="J62" t="str" vm="2920">
        <f t="shared" si="5"/>
        <v/>
      </c>
      <c r="K62" vm="2921">
        <f t="shared" si="5"/>
        <v>7</v>
      </c>
      <c r="L62" vm="2923">
        <f t="shared" si="5"/>
        <v>640</v>
      </c>
    </row>
    <row r="63" spans="2:12" x14ac:dyDescent="0.3">
      <c r="B63" s="16" t="str" vm="405">
        <f>CUBEMEMBER("ThisWorkbookDataModel","[Table1].[goal].&amp;[1.17E5]")</f>
        <v>117000</v>
      </c>
      <c r="C63" t="str" vm="2058">
        <f t="shared" si="5"/>
        <v/>
      </c>
      <c r="D63" t="str" vm="4504">
        <f t="shared" si="5"/>
        <v/>
      </c>
      <c r="E63" vm="2059">
        <f t="shared" si="5"/>
        <v>2</v>
      </c>
      <c r="F63" vm="4506">
        <f t="shared" si="5"/>
        <v>45</v>
      </c>
      <c r="G63" t="str" vm="2060">
        <f t="shared" si="5"/>
        <v/>
      </c>
      <c r="H63" t="str" vm="4507">
        <f t="shared" si="5"/>
        <v/>
      </c>
      <c r="I63" t="str" vm="2061">
        <f t="shared" si="5"/>
        <v/>
      </c>
      <c r="J63" t="str" vm="4503">
        <f t="shared" si="5"/>
        <v/>
      </c>
      <c r="K63" vm="4502">
        <f t="shared" si="5"/>
        <v>2</v>
      </c>
      <c r="L63" vm="4505">
        <f t="shared" si="5"/>
        <v>45</v>
      </c>
    </row>
    <row r="64" spans="2:12" x14ac:dyDescent="0.3">
      <c r="B64" s="16" t="str" vm="161">
        <f>CUBEMEMBER("ThisWorkbookDataModel","[Table1].[goal].&amp;[1.16E5]")</f>
        <v>116000</v>
      </c>
      <c r="C64" t="str" vm="1482">
        <f t="shared" si="5"/>
        <v/>
      </c>
      <c r="D64" t="str" vm="4758">
        <f t="shared" si="5"/>
        <v/>
      </c>
      <c r="E64" t="str" vm="1483">
        <f t="shared" si="5"/>
        <v/>
      </c>
      <c r="F64" t="str" vm="4754">
        <f t="shared" si="5"/>
        <v/>
      </c>
      <c r="G64" t="str" vm="1484">
        <f t="shared" si="5"/>
        <v/>
      </c>
      <c r="H64" t="str" vm="4755">
        <f t="shared" si="5"/>
        <v/>
      </c>
      <c r="I64" vm="1485">
        <f t="shared" si="5"/>
        <v>1095</v>
      </c>
      <c r="J64" vm="4756">
        <f t="shared" si="5"/>
        <v>169985.91</v>
      </c>
      <c r="K64" vm="4757">
        <f t="shared" si="5"/>
        <v>1095</v>
      </c>
      <c r="L64" vm="4759">
        <f t="shared" si="5"/>
        <v>169985.91</v>
      </c>
    </row>
    <row r="65" spans="2:12" x14ac:dyDescent="0.3">
      <c r="B65" s="16" t="str" vm="300">
        <f>CUBEMEMBER("ThisWorkbookDataModel","[Table1].[goal].&amp;[1.1525E5]")</f>
        <v>115250</v>
      </c>
      <c r="C65" vm="2054">
        <f t="shared" si="5"/>
        <v>4</v>
      </c>
      <c r="D65" vm="3204">
        <f t="shared" si="5"/>
        <v>220</v>
      </c>
      <c r="E65" t="str" vm="2055">
        <f t="shared" si="5"/>
        <v/>
      </c>
      <c r="F65" t="str" vm="3207">
        <f t="shared" si="5"/>
        <v/>
      </c>
      <c r="G65" t="str" vm="2056">
        <f t="shared" si="5"/>
        <v/>
      </c>
      <c r="H65" t="str" vm="3208">
        <f t="shared" si="5"/>
        <v/>
      </c>
      <c r="I65" t="str" vm="2057">
        <f t="shared" si="5"/>
        <v/>
      </c>
      <c r="J65" t="str" vm="3209">
        <f t="shared" si="5"/>
        <v/>
      </c>
      <c r="K65" vm="3206">
        <f t="shared" si="5"/>
        <v>4</v>
      </c>
      <c r="L65" vm="3205">
        <f t="shared" si="5"/>
        <v>220</v>
      </c>
    </row>
    <row r="66" spans="2:12" x14ac:dyDescent="0.3">
      <c r="B66" s="16" t="str" vm="322">
        <f>CUBEMEMBER("ThisWorkbookDataModel","[Table1].[goal].&amp;[1.1E5]")</f>
        <v>110000</v>
      </c>
      <c r="C66" vm="2050">
        <f t="shared" ref="C66:L75" si="6">CUBEVALUE("ThisWorkbookDataModel",$B66,C$5)</f>
        <v>356</v>
      </c>
      <c r="D66" vm="4704">
        <f t="shared" si="6"/>
        <v>71771</v>
      </c>
      <c r="E66" vm="2051">
        <f t="shared" si="6"/>
        <v>42</v>
      </c>
      <c r="F66" vm="4700">
        <f t="shared" si="6"/>
        <v>1003</v>
      </c>
      <c r="G66" t="str" vm="2052">
        <f t="shared" si="6"/>
        <v/>
      </c>
      <c r="H66" t="str" vm="4701">
        <f t="shared" si="6"/>
        <v/>
      </c>
      <c r="I66" t="str" vm="2053">
        <f t="shared" si="6"/>
        <v/>
      </c>
      <c r="J66" t="str" vm="4702">
        <f t="shared" si="6"/>
        <v/>
      </c>
      <c r="K66" vm="4703">
        <f t="shared" si="6"/>
        <v>398</v>
      </c>
      <c r="L66" vm="4705">
        <f t="shared" si="6"/>
        <v>72774</v>
      </c>
    </row>
    <row r="67" spans="2:12" x14ac:dyDescent="0.3">
      <c r="B67" s="16" t="str" vm="345">
        <f>CUBEMEMBER("ThisWorkbookDataModel","[Table1].[goal].&amp;[1.09225E5]")</f>
        <v>109225</v>
      </c>
      <c r="C67" t="str" vm="2046">
        <f t="shared" si="6"/>
        <v/>
      </c>
      <c r="D67" t="str" vm="3327">
        <f t="shared" si="6"/>
        <v/>
      </c>
      <c r="E67" vm="2047">
        <f t="shared" si="6"/>
        <v>37</v>
      </c>
      <c r="F67" vm="3329">
        <f t="shared" si="6"/>
        <v>4635</v>
      </c>
      <c r="G67" t="str" vm="2048">
        <f t="shared" si="6"/>
        <v/>
      </c>
      <c r="H67" t="str" vm="3324">
        <f t="shared" si="6"/>
        <v/>
      </c>
      <c r="I67" t="str" vm="2049">
        <f t="shared" si="6"/>
        <v/>
      </c>
      <c r="J67" t="str" vm="3325">
        <f t="shared" si="6"/>
        <v/>
      </c>
      <c r="K67" vm="3326">
        <f t="shared" si="6"/>
        <v>37</v>
      </c>
      <c r="L67" vm="3328">
        <f t="shared" si="6"/>
        <v>4635</v>
      </c>
    </row>
    <row r="68" spans="2:12" x14ac:dyDescent="0.3">
      <c r="B68" s="16" t="str" vm="417">
        <f>CUBEMEMBER("ThisWorkbookDataModel","[Table1].[goal].&amp;[1.04219E5]")</f>
        <v>104219</v>
      </c>
      <c r="C68" t="str" vm="2042">
        <f t="shared" si="6"/>
        <v/>
      </c>
      <c r="D68" t="str" vm="2386">
        <f t="shared" si="6"/>
        <v/>
      </c>
      <c r="E68" vm="2043">
        <f t="shared" si="6"/>
        <v>179</v>
      </c>
      <c r="F68" vm="2388">
        <f t="shared" si="6"/>
        <v>30751</v>
      </c>
      <c r="G68" t="str" vm="2044">
        <f t="shared" si="6"/>
        <v/>
      </c>
      <c r="H68" t="str" vm="2389">
        <f t="shared" si="6"/>
        <v/>
      </c>
      <c r="I68" t="str" vm="2045">
        <f t="shared" si="6"/>
        <v/>
      </c>
      <c r="J68" t="str" vm="2384">
        <f t="shared" si="6"/>
        <v/>
      </c>
      <c r="K68" vm="2385">
        <f t="shared" si="6"/>
        <v>179</v>
      </c>
      <c r="L68" vm="2387">
        <f t="shared" si="6"/>
        <v>30751</v>
      </c>
    </row>
    <row r="69" spans="2:12" x14ac:dyDescent="0.3">
      <c r="B69" s="16" t="str" vm="199">
        <f>CUBEMEMBER("ThisWorkbookDataModel","[Table1].[goal].&amp;[1.E5]")</f>
        <v>100000</v>
      </c>
      <c r="C69" vm="1478">
        <f t="shared" si="6"/>
        <v>896</v>
      </c>
      <c r="D69" vm="3381">
        <f t="shared" si="6"/>
        <v>143519</v>
      </c>
      <c r="E69" vm="1479">
        <f t="shared" si="6"/>
        <v>951</v>
      </c>
      <c r="F69" vm="3383">
        <f t="shared" si="6"/>
        <v>112971.18</v>
      </c>
      <c r="G69" t="str" vm="1480">
        <f t="shared" si="6"/>
        <v/>
      </c>
      <c r="H69" t="str" vm="3378">
        <f t="shared" si="6"/>
        <v/>
      </c>
      <c r="I69" vm="1481">
        <f t="shared" si="6"/>
        <v>14563</v>
      </c>
      <c r="J69" vm="3379">
        <f t="shared" si="6"/>
        <v>2816209.73</v>
      </c>
      <c r="K69" vm="3380">
        <f t="shared" si="6"/>
        <v>16410</v>
      </c>
      <c r="L69" vm="3382">
        <f t="shared" si="6"/>
        <v>3072699.91</v>
      </c>
    </row>
    <row r="70" spans="2:12" x14ac:dyDescent="0.3">
      <c r="B70" s="16" t="str" vm="368">
        <f>CUBEMEMBER("ThisWorkbookDataModel","[Table1].[goal].&amp;[9.9E4]")</f>
        <v>99000</v>
      </c>
      <c r="C70" t="str" vm="2038">
        <f t="shared" si="6"/>
        <v/>
      </c>
      <c r="D70" t="str" vm="3507">
        <f t="shared" si="6"/>
        <v/>
      </c>
      <c r="E70" vm="2039">
        <f t="shared" si="6"/>
        <v>25</v>
      </c>
      <c r="F70" vm="3510">
        <f t="shared" si="6"/>
        <v>2670</v>
      </c>
      <c r="G70" t="str" vm="2040">
        <f t="shared" si="6"/>
        <v/>
      </c>
      <c r="H70" t="str" vm="3511">
        <f t="shared" si="6"/>
        <v/>
      </c>
      <c r="I70" t="str" vm="2041">
        <f t="shared" si="6"/>
        <v/>
      </c>
      <c r="J70" t="str" vm="3512">
        <f t="shared" si="6"/>
        <v/>
      </c>
      <c r="K70" vm="3509">
        <f t="shared" si="6"/>
        <v>25</v>
      </c>
      <c r="L70" vm="3508">
        <f t="shared" si="6"/>
        <v>2670</v>
      </c>
    </row>
    <row r="71" spans="2:12" x14ac:dyDescent="0.3">
      <c r="B71" s="16" t="str" vm="235">
        <f>CUBEMEMBER("ThisWorkbookDataModel","[Table1].[goal].&amp;[9.8E4]")</f>
        <v>98000</v>
      </c>
      <c r="C71" vm="1474">
        <f t="shared" si="6"/>
        <v>4</v>
      </c>
      <c r="D71" vm="3561">
        <f t="shared" si="6"/>
        <v>91</v>
      </c>
      <c r="E71" t="str" vm="1475">
        <f t="shared" si="6"/>
        <v/>
      </c>
      <c r="F71" t="str" vm="3565">
        <f t="shared" si="6"/>
        <v/>
      </c>
      <c r="G71" t="str" vm="1476">
        <f t="shared" si="6"/>
        <v/>
      </c>
      <c r="H71" t="str" vm="3566">
        <f t="shared" si="6"/>
        <v/>
      </c>
      <c r="I71" vm="1477">
        <f t="shared" si="6"/>
        <v>443</v>
      </c>
      <c r="J71" vm="3562">
        <f t="shared" si="6"/>
        <v>100939</v>
      </c>
      <c r="K71" vm="3564">
        <f t="shared" si="6"/>
        <v>447</v>
      </c>
      <c r="L71" vm="3563">
        <f t="shared" si="6"/>
        <v>101030</v>
      </c>
    </row>
    <row r="72" spans="2:12" x14ac:dyDescent="0.3">
      <c r="B72" s="16" t="str" vm="427">
        <f>CUBEMEMBER("ThisWorkbookDataModel","[Table1].[goal].&amp;[9.7E4]")</f>
        <v>97000</v>
      </c>
      <c r="C72" t="str" vm="2034">
        <f t="shared" si="6"/>
        <v/>
      </c>
      <c r="D72" t="str" vm="2637">
        <f t="shared" si="6"/>
        <v/>
      </c>
      <c r="E72" vm="2035">
        <f t="shared" si="6"/>
        <v>34</v>
      </c>
      <c r="F72" vm="2633">
        <f t="shared" si="6"/>
        <v>24651</v>
      </c>
      <c r="G72" t="str" vm="2036">
        <f t="shared" si="6"/>
        <v/>
      </c>
      <c r="H72" t="str" vm="2634">
        <f t="shared" si="6"/>
        <v/>
      </c>
      <c r="I72" t="str" vm="2037">
        <f t="shared" si="6"/>
        <v/>
      </c>
      <c r="J72" t="str" vm="2635">
        <f t="shared" si="6"/>
        <v/>
      </c>
      <c r="K72" vm="2636">
        <f t="shared" si="6"/>
        <v>34</v>
      </c>
      <c r="L72" vm="2638">
        <f t="shared" si="6"/>
        <v>24651</v>
      </c>
    </row>
    <row r="73" spans="2:12" x14ac:dyDescent="0.3">
      <c r="B73" s="16" t="str" vm="279">
        <f>CUBEMEMBER("ThisWorkbookDataModel","[Table1].[goal].&amp;[9.5E4]")</f>
        <v>95000</v>
      </c>
      <c r="C73" t="str" vm="2030">
        <f t="shared" si="6"/>
        <v/>
      </c>
      <c r="D73" t="str" vm="2928">
        <f t="shared" si="6"/>
        <v/>
      </c>
      <c r="E73" vm="2031">
        <f t="shared" si="6"/>
        <v>138</v>
      </c>
      <c r="F73" vm="2930">
        <f t="shared" si="6"/>
        <v>41079</v>
      </c>
      <c r="G73" t="str" vm="2032">
        <f t="shared" si="6"/>
        <v/>
      </c>
      <c r="H73" t="str" vm="2925">
        <f t="shared" si="6"/>
        <v/>
      </c>
      <c r="I73" t="str" vm="2033">
        <f t="shared" si="6"/>
        <v/>
      </c>
      <c r="J73" t="str" vm="2926">
        <f t="shared" si="6"/>
        <v/>
      </c>
      <c r="K73" vm="2927">
        <f t="shared" si="6"/>
        <v>138</v>
      </c>
      <c r="L73" vm="2929">
        <f t="shared" si="6"/>
        <v>41079</v>
      </c>
    </row>
    <row r="74" spans="2:12" x14ac:dyDescent="0.3">
      <c r="B74" s="16" t="str" vm="437">
        <f>CUBEMEMBER("ThisWorkbookDataModel","[Table1].[goal].&amp;[9.4875E4]")</f>
        <v>94875</v>
      </c>
      <c r="C74" t="str" vm="2026">
        <f t="shared" si="6"/>
        <v/>
      </c>
      <c r="D74" t="str" vm="3708">
        <f t="shared" si="6"/>
        <v/>
      </c>
      <c r="E74" vm="2027">
        <f t="shared" si="6"/>
        <v>2</v>
      </c>
      <c r="F74" vm="3710">
        <f t="shared" si="6"/>
        <v>26</v>
      </c>
      <c r="G74" t="str" vm="2028">
        <f t="shared" si="6"/>
        <v/>
      </c>
      <c r="H74" t="str" vm="3711">
        <f t="shared" si="6"/>
        <v/>
      </c>
      <c r="I74" t="str" vm="2029">
        <f t="shared" si="6"/>
        <v/>
      </c>
      <c r="J74" t="str" vm="3706">
        <f t="shared" si="6"/>
        <v/>
      </c>
      <c r="K74" vm="3707">
        <f t="shared" si="6"/>
        <v>2</v>
      </c>
      <c r="L74" vm="3709">
        <f t="shared" si="6"/>
        <v>26</v>
      </c>
    </row>
    <row r="75" spans="2:12" x14ac:dyDescent="0.3">
      <c r="B75" s="16" t="str" vm="301">
        <f>CUBEMEMBER("ThisWorkbookDataModel","[Table1].[goal].&amp;[9.35E4]")</f>
        <v>93500</v>
      </c>
      <c r="C75" vm="2022">
        <f t="shared" si="6"/>
        <v>1</v>
      </c>
      <c r="D75" vm="3211">
        <f t="shared" si="6"/>
        <v>250</v>
      </c>
      <c r="E75" t="str" vm="2023">
        <f t="shared" si="6"/>
        <v/>
      </c>
      <c r="F75" t="str" vm="3213">
        <f t="shared" si="6"/>
        <v/>
      </c>
      <c r="G75" t="str" vm="2024">
        <f t="shared" si="6"/>
        <v/>
      </c>
      <c r="H75" t="str" vm="3214">
        <f t="shared" si="6"/>
        <v/>
      </c>
      <c r="I75" t="str" vm="2025">
        <f t="shared" si="6"/>
        <v/>
      </c>
      <c r="J75" t="str" vm="3215">
        <f t="shared" si="6"/>
        <v/>
      </c>
      <c r="K75" vm="3212">
        <f t="shared" si="6"/>
        <v>1</v>
      </c>
      <c r="L75" vm="3210">
        <f t="shared" si="6"/>
        <v>250</v>
      </c>
    </row>
    <row r="76" spans="2:12" x14ac:dyDescent="0.3">
      <c r="B76" s="16" t="str" vm="323">
        <f>CUBEMEMBER("ThisWorkbookDataModel","[Table1].[goal].&amp;[9.E4]")</f>
        <v>90000</v>
      </c>
      <c r="C76" t="str" vm="2018">
        <f t="shared" ref="C76:L85" si="7">CUBEVALUE("ThisWorkbookDataModel",$B76,C$5)</f>
        <v/>
      </c>
      <c r="D76" t="str" vm="3895">
        <f t="shared" si="7"/>
        <v/>
      </c>
      <c r="E76" vm="2019">
        <f t="shared" si="7"/>
        <v>447</v>
      </c>
      <c r="F76" vm="3891">
        <f t="shared" si="7"/>
        <v>36157</v>
      </c>
      <c r="G76" t="str" vm="2020">
        <f t="shared" si="7"/>
        <v/>
      </c>
      <c r="H76" t="str" vm="3892">
        <f t="shared" si="7"/>
        <v/>
      </c>
      <c r="I76" t="str" vm="2021">
        <f t="shared" si="7"/>
        <v/>
      </c>
      <c r="J76" t="str" vm="3893">
        <f t="shared" si="7"/>
        <v/>
      </c>
      <c r="K76" vm="3894">
        <f t="shared" si="7"/>
        <v>447</v>
      </c>
      <c r="L76" vm="3896">
        <f t="shared" si="7"/>
        <v>36157</v>
      </c>
    </row>
    <row r="77" spans="2:12" x14ac:dyDescent="0.3">
      <c r="B77" s="16" t="str" vm="36">
        <f>CUBEMEMBER("ThisWorkbookDataModel","[Table1].[goal].&amp;[8.92E4]")</f>
        <v>89200</v>
      </c>
      <c r="C77" t="str" vm="1470">
        <f t="shared" si="7"/>
        <v/>
      </c>
      <c r="D77" t="str" vm="3761">
        <f t="shared" si="7"/>
        <v/>
      </c>
      <c r="E77" t="str" vm="1471">
        <f t="shared" si="7"/>
        <v/>
      </c>
      <c r="F77" t="str" vm="3762">
        <f t="shared" si="7"/>
        <v/>
      </c>
      <c r="G77" t="str" vm="1472">
        <f t="shared" si="7"/>
        <v/>
      </c>
      <c r="H77" t="str" vm="3764">
        <f t="shared" si="7"/>
        <v/>
      </c>
      <c r="I77" vm="1473">
        <f t="shared" si="7"/>
        <v>1281</v>
      </c>
      <c r="J77" vm="3765">
        <f t="shared" si="7"/>
        <v>231543.12</v>
      </c>
      <c r="K77" vm="3763">
        <f t="shared" si="7"/>
        <v>1281</v>
      </c>
      <c r="L77" vm="3760">
        <f t="shared" si="7"/>
        <v>231543.12</v>
      </c>
    </row>
    <row r="78" spans="2:12" x14ac:dyDescent="0.3">
      <c r="B78" s="16" t="str" vm="346">
        <f>CUBEMEMBER("ThisWorkbookDataModel","[Table1].[goal].&amp;[8.8888E4]")</f>
        <v>88888</v>
      </c>
      <c r="C78" t="str" vm="2014">
        <f t="shared" si="7"/>
        <v/>
      </c>
      <c r="D78" t="str" vm="4079">
        <f t="shared" si="7"/>
        <v/>
      </c>
      <c r="E78" vm="2015">
        <f t="shared" si="7"/>
        <v>13</v>
      </c>
      <c r="F78" vm="4081">
        <f t="shared" si="7"/>
        <v>357</v>
      </c>
      <c r="G78" t="str" vm="2016">
        <f t="shared" si="7"/>
        <v/>
      </c>
      <c r="H78" t="str" vm="4076">
        <f t="shared" si="7"/>
        <v/>
      </c>
      <c r="I78" t="str" vm="2017">
        <f t="shared" si="7"/>
        <v/>
      </c>
      <c r="J78" t="str" vm="4077">
        <f t="shared" si="7"/>
        <v/>
      </c>
      <c r="K78" vm="4078">
        <f t="shared" si="7"/>
        <v>13</v>
      </c>
      <c r="L78" vm="4080">
        <f t="shared" si="7"/>
        <v>357</v>
      </c>
    </row>
    <row r="79" spans="2:12" x14ac:dyDescent="0.3">
      <c r="B79" s="16" t="str" vm="392">
        <f>CUBEMEMBER("ThisWorkbookDataModel","[Table1].[goal].&amp;[8.8E4]")</f>
        <v>88000</v>
      </c>
      <c r="C79" t="str" vm="2010">
        <f t="shared" si="7"/>
        <v/>
      </c>
      <c r="D79" t="str" vm="2392">
        <f t="shared" si="7"/>
        <v/>
      </c>
      <c r="E79" vm="2011">
        <f t="shared" si="7"/>
        <v>312</v>
      </c>
      <c r="F79" vm="2394">
        <f t="shared" si="7"/>
        <v>31272.92</v>
      </c>
      <c r="G79" t="str" vm="2012">
        <f t="shared" si="7"/>
        <v/>
      </c>
      <c r="H79" t="str" vm="2395">
        <f t="shared" si="7"/>
        <v/>
      </c>
      <c r="I79" t="str" vm="2013">
        <f t="shared" si="7"/>
        <v/>
      </c>
      <c r="J79" t="str" vm="2390">
        <f t="shared" si="7"/>
        <v/>
      </c>
      <c r="K79" vm="2391">
        <f t="shared" si="7"/>
        <v>312</v>
      </c>
      <c r="L79" vm="2393">
        <f t="shared" si="7"/>
        <v>31272.92</v>
      </c>
    </row>
    <row r="80" spans="2:12" x14ac:dyDescent="0.3">
      <c r="B80" s="16" t="str" vm="369">
        <f>CUBEMEMBER("ThisWorkbookDataModel","[Table1].[goal].&amp;[8.635E4]")</f>
        <v>86350</v>
      </c>
      <c r="C80" vm="2006">
        <f t="shared" si="7"/>
        <v>7</v>
      </c>
      <c r="D80" vm="4291">
        <f t="shared" si="7"/>
        <v>1571</v>
      </c>
      <c r="E80" t="str" vm="2007">
        <f t="shared" si="7"/>
        <v/>
      </c>
      <c r="F80" t="str" vm="4294">
        <f t="shared" si="7"/>
        <v/>
      </c>
      <c r="G80" t="str" vm="2008">
        <f t="shared" si="7"/>
        <v/>
      </c>
      <c r="H80" t="str" vm="4295">
        <f t="shared" si="7"/>
        <v/>
      </c>
      <c r="I80" t="str" vm="2009">
        <f t="shared" si="7"/>
        <v/>
      </c>
      <c r="J80" t="str" vm="4296">
        <f t="shared" si="7"/>
        <v/>
      </c>
      <c r="K80" vm="4293">
        <f t="shared" si="7"/>
        <v>7</v>
      </c>
      <c r="L80" vm="4292">
        <f t="shared" si="7"/>
        <v>1571</v>
      </c>
    </row>
    <row r="81" spans="2:12" x14ac:dyDescent="0.3">
      <c r="B81" s="16" t="str" vm="4">
        <f>CUBEMEMBER("ThisWorkbookDataModel","[Table1].[goal].&amp;[8.5E4]")</f>
        <v>85000</v>
      </c>
      <c r="C81" vm="1466">
        <f t="shared" si="7"/>
        <v>1</v>
      </c>
      <c r="D81" vm="2496">
        <f t="shared" si="7"/>
        <v>250</v>
      </c>
      <c r="E81" vm="1467">
        <f t="shared" si="7"/>
        <v>286</v>
      </c>
      <c r="F81" vm="2492">
        <f t="shared" si="7"/>
        <v>33628</v>
      </c>
      <c r="G81" t="str" vm="1468">
        <f t="shared" si="7"/>
        <v/>
      </c>
      <c r="H81" t="str" vm="2493">
        <f t="shared" si="7"/>
        <v/>
      </c>
      <c r="I81" vm="1469">
        <f t="shared" si="7"/>
        <v>1519</v>
      </c>
      <c r="J81" vm="2494">
        <f t="shared" si="7"/>
        <v>212215.45</v>
      </c>
      <c r="K81" vm="2495">
        <f t="shared" si="7"/>
        <v>1806</v>
      </c>
      <c r="L81" vm="2497">
        <f t="shared" si="7"/>
        <v>246093.45</v>
      </c>
    </row>
    <row r="82" spans="2:12" x14ac:dyDescent="0.3">
      <c r="B82" s="16" t="str" vm="448">
        <f>CUBEMEMBER("ThisWorkbookDataModel","[Table1].[goal].&amp;[8.2E4]")</f>
        <v>82000</v>
      </c>
      <c r="C82" t="str" vm="2002">
        <f t="shared" si="7"/>
        <v/>
      </c>
      <c r="D82" t="str" vm="2643">
        <f t="shared" si="7"/>
        <v/>
      </c>
      <c r="E82" vm="2003">
        <f t="shared" si="7"/>
        <v>11</v>
      </c>
      <c r="F82" vm="2639">
        <f t="shared" si="7"/>
        <v>8190</v>
      </c>
      <c r="G82" t="str" vm="2004">
        <f t="shared" si="7"/>
        <v/>
      </c>
      <c r="H82" t="str" vm="2640">
        <f t="shared" si="7"/>
        <v/>
      </c>
      <c r="I82" t="str" vm="2005">
        <f t="shared" si="7"/>
        <v/>
      </c>
      <c r="J82" t="str" vm="2641">
        <f t="shared" si="7"/>
        <v/>
      </c>
      <c r="K82" vm="2642">
        <f t="shared" si="7"/>
        <v>11</v>
      </c>
      <c r="L82" vm="2644">
        <f t="shared" si="7"/>
        <v>8190</v>
      </c>
    </row>
    <row r="83" spans="2:12" x14ac:dyDescent="0.3">
      <c r="B83" s="16" t="str" vm="43">
        <f>CUBEMEMBER("ThisWorkbookDataModel","[Table1].[goal].&amp;[8.E4]")</f>
        <v>80000</v>
      </c>
      <c r="C83" vm="1462">
        <f t="shared" si="7"/>
        <v>81</v>
      </c>
      <c r="D83" vm="3948">
        <f t="shared" si="7"/>
        <v>7655</v>
      </c>
      <c r="E83" vm="1463">
        <f t="shared" si="7"/>
        <v>139</v>
      </c>
      <c r="F83" vm="3950">
        <f t="shared" si="7"/>
        <v>9194.69</v>
      </c>
      <c r="G83" t="str" vm="1464">
        <f t="shared" si="7"/>
        <v/>
      </c>
      <c r="H83" t="str" vm="3946">
        <f t="shared" si="7"/>
        <v/>
      </c>
      <c r="I83" vm="1465">
        <f t="shared" si="7"/>
        <v>1373</v>
      </c>
      <c r="J83" vm="3945">
        <f t="shared" si="7"/>
        <v>329749.14</v>
      </c>
      <c r="K83" vm="3947">
        <f t="shared" si="7"/>
        <v>1593</v>
      </c>
      <c r="L83" vm="3949">
        <f t="shared" si="7"/>
        <v>346598.83</v>
      </c>
    </row>
    <row r="84" spans="2:12" x14ac:dyDescent="0.3">
      <c r="B84" s="16" t="str" vm="82">
        <f>CUBEMEMBER("ThisWorkbookDataModel","[Table1].[goal].&amp;[7.8E4]")</f>
        <v>78000</v>
      </c>
      <c r="C84" t="str" vm="1458">
        <f t="shared" si="7"/>
        <v/>
      </c>
      <c r="D84" t="str" vm="2741">
        <f t="shared" si="7"/>
        <v/>
      </c>
      <c r="E84" t="str" vm="1459">
        <f t="shared" si="7"/>
        <v/>
      </c>
      <c r="F84" t="str" vm="2745">
        <f t="shared" si="7"/>
        <v/>
      </c>
      <c r="G84" t="str" vm="1460">
        <f t="shared" si="7"/>
        <v/>
      </c>
      <c r="H84" t="str" vm="2746">
        <f t="shared" si="7"/>
        <v/>
      </c>
      <c r="I84" vm="1461">
        <f t="shared" si="7"/>
        <v>508</v>
      </c>
      <c r="J84" vm="2742">
        <f t="shared" si="7"/>
        <v>301719.59000000003</v>
      </c>
      <c r="K84" vm="2744">
        <f t="shared" si="7"/>
        <v>508</v>
      </c>
      <c r="L84" vm="2743">
        <f t="shared" si="7"/>
        <v>301719.59000000003</v>
      </c>
    </row>
    <row r="85" spans="2:12" x14ac:dyDescent="0.3">
      <c r="B85" s="16" t="str" vm="122">
        <f>CUBEMEMBER("ThisWorkbookDataModel","[Table1].[goal].&amp;[7.5E4]")</f>
        <v>75000</v>
      </c>
      <c r="C85" vm="1454">
        <f t="shared" si="7"/>
        <v>16</v>
      </c>
      <c r="D85" vm="3035">
        <f t="shared" si="7"/>
        <v>1749</v>
      </c>
      <c r="E85" vm="1455">
        <f t="shared" si="7"/>
        <v>1287</v>
      </c>
      <c r="F85" vm="3036">
        <f t="shared" si="7"/>
        <v>103713</v>
      </c>
      <c r="G85" t="str" vm="1456">
        <f t="shared" si="7"/>
        <v/>
      </c>
      <c r="H85" t="str" vm="3037">
        <f t="shared" si="7"/>
        <v/>
      </c>
      <c r="I85" vm="1457">
        <f t="shared" si="7"/>
        <v>5179</v>
      </c>
      <c r="J85" vm="3038">
        <f t="shared" si="7"/>
        <v>475986.92</v>
      </c>
      <c r="K85" vm="3034">
        <f t="shared" si="7"/>
        <v>6482</v>
      </c>
      <c r="L85" vm="3033">
        <f t="shared" si="7"/>
        <v>581448.92000000004</v>
      </c>
    </row>
    <row r="86" spans="2:12" x14ac:dyDescent="0.3">
      <c r="B86" s="16" t="str" vm="280">
        <f>CUBEMEMBER("ThisWorkbookDataModel","[Table1].[goal].&amp;[7.4997E4]")</f>
        <v>74997</v>
      </c>
      <c r="C86" t="str" vm="1998">
        <f t="shared" ref="C86:L95" si="8">CUBEVALUE("ThisWorkbookDataModel",$B86,C$5)</f>
        <v/>
      </c>
      <c r="D86" t="str" vm="2934">
        <f t="shared" si="8"/>
        <v/>
      </c>
      <c r="E86" vm="1999">
        <f t="shared" si="8"/>
        <v>3</v>
      </c>
      <c r="F86" vm="2936">
        <f t="shared" si="8"/>
        <v>215</v>
      </c>
      <c r="G86" t="str" vm="2000">
        <f t="shared" si="8"/>
        <v/>
      </c>
      <c r="H86" t="str" vm="2931">
        <f t="shared" si="8"/>
        <v/>
      </c>
      <c r="I86" t="str" vm="2001">
        <f t="shared" si="8"/>
        <v/>
      </c>
      <c r="J86" t="str" vm="2932">
        <f t="shared" si="8"/>
        <v/>
      </c>
      <c r="K86" vm="2933">
        <f t="shared" si="8"/>
        <v>3</v>
      </c>
      <c r="L86" vm="2935">
        <f t="shared" si="8"/>
        <v>215</v>
      </c>
    </row>
    <row r="87" spans="2:12" x14ac:dyDescent="0.3">
      <c r="B87" s="16" t="str" vm="386">
        <f>CUBEMEMBER("ThisWorkbookDataModel","[Table1].[goal].&amp;[7.1764E4]")</f>
        <v>71764</v>
      </c>
      <c r="C87" vm="1994">
        <f t="shared" si="8"/>
        <v>0</v>
      </c>
      <c r="D87" vm="4510">
        <f t="shared" si="8"/>
        <v>0</v>
      </c>
      <c r="E87" t="str" vm="1995">
        <f t="shared" si="8"/>
        <v/>
      </c>
      <c r="F87" t="str" vm="4512">
        <f t="shared" si="8"/>
        <v/>
      </c>
      <c r="G87" t="str" vm="1996">
        <f t="shared" si="8"/>
        <v/>
      </c>
      <c r="H87" t="str" vm="4513">
        <f t="shared" si="8"/>
        <v/>
      </c>
      <c r="I87" t="str" vm="1997">
        <f t="shared" si="8"/>
        <v/>
      </c>
      <c r="J87" t="str" vm="4509">
        <f t="shared" si="8"/>
        <v/>
      </c>
      <c r="K87" vm="4508">
        <f t="shared" si="8"/>
        <v>0</v>
      </c>
      <c r="L87" vm="4511">
        <f t="shared" si="8"/>
        <v>0</v>
      </c>
    </row>
    <row r="88" spans="2:12" x14ac:dyDescent="0.3">
      <c r="B88" s="16" t="str" vm="162">
        <f>CUBEMEMBER("ThisWorkbookDataModel","[Table1].[goal].&amp;[7.15E4]")</f>
        <v>71500</v>
      </c>
      <c r="C88" t="str" vm="1450">
        <f t="shared" si="8"/>
        <v/>
      </c>
      <c r="D88" t="str" vm="4134">
        <f t="shared" si="8"/>
        <v/>
      </c>
      <c r="E88" t="str" vm="1451">
        <f t="shared" si="8"/>
        <v/>
      </c>
      <c r="F88" t="str" vm="4130">
        <f t="shared" si="8"/>
        <v/>
      </c>
      <c r="G88" t="str" vm="1452">
        <f t="shared" si="8"/>
        <v/>
      </c>
      <c r="H88" t="str" vm="4131">
        <f t="shared" si="8"/>
        <v/>
      </c>
      <c r="I88" vm="1453">
        <f t="shared" si="8"/>
        <v>350</v>
      </c>
      <c r="J88" vm="4132">
        <f t="shared" si="8"/>
        <v>79173</v>
      </c>
      <c r="K88" vm="4133">
        <f t="shared" si="8"/>
        <v>350</v>
      </c>
      <c r="L88" vm="4135">
        <f t="shared" si="8"/>
        <v>79173</v>
      </c>
    </row>
    <row r="89" spans="2:12" x14ac:dyDescent="0.3">
      <c r="B89" s="16" t="str" vm="200">
        <f>CUBEMEMBER("ThisWorkbookDataModel","[Table1].[goal].&amp;[7.E4]")</f>
        <v>70000</v>
      </c>
      <c r="C89" vm="1446">
        <f t="shared" si="8"/>
        <v>6</v>
      </c>
      <c r="D89" vm="4348">
        <f t="shared" si="8"/>
        <v>280</v>
      </c>
      <c r="E89" vm="1447">
        <f t="shared" si="8"/>
        <v>205</v>
      </c>
      <c r="F89" vm="4350">
        <f t="shared" si="8"/>
        <v>19386</v>
      </c>
      <c r="G89" t="str" vm="1448">
        <f t="shared" si="8"/>
        <v/>
      </c>
      <c r="H89" t="str" vm="4346">
        <f t="shared" si="8"/>
        <v/>
      </c>
      <c r="I89" vm="1449">
        <f t="shared" si="8"/>
        <v>1104</v>
      </c>
      <c r="J89" vm="4345">
        <f t="shared" si="8"/>
        <v>159481.82</v>
      </c>
      <c r="K89" vm="4347">
        <f t="shared" si="8"/>
        <v>1315</v>
      </c>
      <c r="L89" vm="4349">
        <f t="shared" si="8"/>
        <v>179147.82</v>
      </c>
    </row>
    <row r="90" spans="2:12" x14ac:dyDescent="0.3">
      <c r="B90" s="16" t="str" vm="236">
        <f>CUBEMEMBER("ThisWorkbookDataModel","[Table1].[goal].&amp;[6.8E4]")</f>
        <v>68000</v>
      </c>
      <c r="C90" t="str" vm="1442">
        <f t="shared" si="8"/>
        <v/>
      </c>
      <c r="D90" t="str" vm="4562">
        <f t="shared" si="8"/>
        <v/>
      </c>
      <c r="E90" vm="1443">
        <f t="shared" si="8"/>
        <v>460</v>
      </c>
      <c r="F90" vm="4566">
        <f t="shared" si="8"/>
        <v>53682.6</v>
      </c>
      <c r="G90" t="str" vm="1444">
        <f t="shared" si="8"/>
        <v/>
      </c>
      <c r="H90" t="str" vm="4567">
        <f t="shared" si="8"/>
        <v/>
      </c>
      <c r="I90" vm="1445">
        <f t="shared" si="8"/>
        <v>1510</v>
      </c>
      <c r="J90" vm="4563">
        <f t="shared" si="8"/>
        <v>123444.12</v>
      </c>
      <c r="K90" vm="4565">
        <f t="shared" si="8"/>
        <v>1970</v>
      </c>
      <c r="L90" vm="4564">
        <f t="shared" si="8"/>
        <v>177126.72</v>
      </c>
    </row>
    <row r="91" spans="2:12" x14ac:dyDescent="0.3">
      <c r="B91" s="16" t="str" vm="302">
        <f>CUBEMEMBER("ThisWorkbookDataModel","[Table1].[goal].&amp;[6.5108E4]")</f>
        <v>65108</v>
      </c>
      <c r="C91" t="str" vm="1990">
        <f t="shared" si="8"/>
        <v/>
      </c>
      <c r="D91" t="str" vm="3216">
        <f t="shared" si="8"/>
        <v/>
      </c>
      <c r="E91" vm="1991">
        <f t="shared" si="8"/>
        <v>22</v>
      </c>
      <c r="F91" vm="3219">
        <f t="shared" si="8"/>
        <v>2994</v>
      </c>
      <c r="G91" t="str" vm="1992">
        <f t="shared" si="8"/>
        <v/>
      </c>
      <c r="H91" t="str" vm="3220">
        <f t="shared" si="8"/>
        <v/>
      </c>
      <c r="I91" t="str" vm="1993">
        <f t="shared" si="8"/>
        <v/>
      </c>
      <c r="J91" t="str" vm="3221">
        <f t="shared" si="8"/>
        <v/>
      </c>
      <c r="K91" vm="3218">
        <f t="shared" si="8"/>
        <v>22</v>
      </c>
      <c r="L91" vm="3217">
        <f t="shared" si="8"/>
        <v>2994</v>
      </c>
    </row>
    <row r="92" spans="2:12" x14ac:dyDescent="0.3">
      <c r="B92" s="16" t="str" vm="75">
        <f>CUBEMEMBER("ThisWorkbookDataModel","[Table1].[goal].&amp;[6.5E4]")</f>
        <v>65000</v>
      </c>
      <c r="C92" vm="1438">
        <f t="shared" si="8"/>
        <v>7</v>
      </c>
      <c r="D92" vm="4763">
        <f t="shared" si="8"/>
        <v>788</v>
      </c>
      <c r="E92" vm="1439">
        <f t="shared" si="8"/>
        <v>7</v>
      </c>
      <c r="F92" vm="4761">
        <f t="shared" si="8"/>
        <v>206</v>
      </c>
      <c r="G92" vm="1440">
        <f t="shared" si="8"/>
        <v>884</v>
      </c>
      <c r="H92" vm="4764">
        <f t="shared" si="8"/>
        <v>65924.38</v>
      </c>
      <c r="I92" vm="1441">
        <f t="shared" si="8"/>
        <v>2652</v>
      </c>
      <c r="J92" vm="4765">
        <f t="shared" si="8"/>
        <v>231580.23</v>
      </c>
      <c r="K92" vm="4760">
        <f t="shared" si="8"/>
        <v>3550</v>
      </c>
      <c r="L92" vm="4762">
        <f t="shared" si="8"/>
        <v>298498.61</v>
      </c>
    </row>
    <row r="93" spans="2:12" x14ac:dyDescent="0.3">
      <c r="B93" s="16" t="str" vm="5">
        <f>CUBEMEMBER("ThisWorkbookDataModel","[Table1].[goal].&amp;[6.E4]")</f>
        <v>60000</v>
      </c>
      <c r="C93" vm="1434">
        <f t="shared" si="8"/>
        <v>129</v>
      </c>
      <c r="D93" vm="2502">
        <f t="shared" si="8"/>
        <v>13215</v>
      </c>
      <c r="E93" vm="1435">
        <f t="shared" si="8"/>
        <v>389</v>
      </c>
      <c r="F93" vm="2498">
        <f t="shared" si="8"/>
        <v>49201</v>
      </c>
      <c r="G93" t="str" vm="1436">
        <f t="shared" si="8"/>
        <v/>
      </c>
      <c r="H93" t="str" vm="2499">
        <f t="shared" si="8"/>
        <v/>
      </c>
      <c r="I93" vm="1437">
        <f t="shared" si="8"/>
        <v>1453</v>
      </c>
      <c r="J93" vm="2500">
        <f t="shared" si="8"/>
        <v>268760.21000000002</v>
      </c>
      <c r="K93" vm="2501">
        <f t="shared" si="8"/>
        <v>1971</v>
      </c>
      <c r="L93" vm="2503">
        <f t="shared" si="8"/>
        <v>331176.21000000002</v>
      </c>
    </row>
    <row r="94" spans="2:12" x14ac:dyDescent="0.3">
      <c r="B94" s="16" t="str" vm="44">
        <f>CUBEMEMBER("ThisWorkbookDataModel","[Table1].[goal].&amp;[5.8425E4]")</f>
        <v>58425</v>
      </c>
      <c r="C94" t="str" vm="1430">
        <f t="shared" si="8"/>
        <v/>
      </c>
      <c r="D94" t="str" vm="3387">
        <f t="shared" si="8"/>
        <v/>
      </c>
      <c r="E94" t="str" vm="1431">
        <f t="shared" si="8"/>
        <v/>
      </c>
      <c r="F94" t="str" vm="3389">
        <f t="shared" si="8"/>
        <v/>
      </c>
      <c r="G94" t="str" vm="1432">
        <f t="shared" si="8"/>
        <v/>
      </c>
      <c r="H94" t="str" vm="3384">
        <f t="shared" si="8"/>
        <v/>
      </c>
      <c r="I94" vm="1433">
        <f t="shared" si="8"/>
        <v>613</v>
      </c>
      <c r="J94" vm="3385">
        <f t="shared" si="8"/>
        <v>63460.18</v>
      </c>
      <c r="K94" vm="3386">
        <f t="shared" si="8"/>
        <v>613</v>
      </c>
      <c r="L94" vm="3388">
        <f t="shared" si="8"/>
        <v>63460.18</v>
      </c>
    </row>
    <row r="95" spans="2:12" x14ac:dyDescent="0.3">
      <c r="B95" s="16" t="str" vm="324">
        <f>CUBEMEMBER("ThisWorkbookDataModel","[Table1].[goal].&amp;[5.7E4]")</f>
        <v>57000</v>
      </c>
      <c r="C95" t="str" vm="1986">
        <f t="shared" si="8"/>
        <v/>
      </c>
      <c r="D95" t="str" vm="4710">
        <f t="shared" si="8"/>
        <v/>
      </c>
      <c r="E95" vm="1987">
        <f t="shared" si="8"/>
        <v>94</v>
      </c>
      <c r="F95" vm="4706">
        <f t="shared" si="8"/>
        <v>8827</v>
      </c>
      <c r="G95" t="str" vm="1988">
        <f t="shared" si="8"/>
        <v/>
      </c>
      <c r="H95" t="str" vm="4707">
        <f t="shared" si="8"/>
        <v/>
      </c>
      <c r="I95" t="str" vm="1989">
        <f t="shared" si="8"/>
        <v/>
      </c>
      <c r="J95" t="str" vm="4708">
        <f t="shared" si="8"/>
        <v/>
      </c>
      <c r="K95" vm="4709">
        <f t="shared" si="8"/>
        <v>94</v>
      </c>
      <c r="L95" vm="4711">
        <f t="shared" si="8"/>
        <v>8827</v>
      </c>
    </row>
    <row r="96" spans="2:12" x14ac:dyDescent="0.3">
      <c r="B96" s="16" t="str" vm="347">
        <f>CUBEMEMBER("ThisWorkbookDataModel","[Table1].[goal].&amp;[5.6E4]")</f>
        <v>56000</v>
      </c>
      <c r="C96" t="str" vm="1982">
        <f t="shared" ref="C96:L105" si="9">CUBEVALUE("ThisWorkbookDataModel",$B96,C$5)</f>
        <v/>
      </c>
      <c r="D96" t="str" vm="3333">
        <f t="shared" si="9"/>
        <v/>
      </c>
      <c r="E96" vm="1983">
        <f t="shared" si="9"/>
        <v>83</v>
      </c>
      <c r="F96" vm="3335">
        <f t="shared" si="9"/>
        <v>1493</v>
      </c>
      <c r="G96" t="str" vm="1984">
        <f t="shared" si="9"/>
        <v/>
      </c>
      <c r="H96" t="str" vm="3330">
        <f t="shared" si="9"/>
        <v/>
      </c>
      <c r="I96" t="str" vm="1985">
        <f t="shared" si="9"/>
        <v/>
      </c>
      <c r="J96" t="str" vm="3331">
        <f t="shared" si="9"/>
        <v/>
      </c>
      <c r="K96" vm="3332">
        <f t="shared" si="9"/>
        <v>83</v>
      </c>
      <c r="L96" vm="3334">
        <f t="shared" si="9"/>
        <v>1493</v>
      </c>
    </row>
    <row r="97" spans="2:12" x14ac:dyDescent="0.3">
      <c r="B97" s="16" t="str" vm="396">
        <f>CUBEMEMBER("ThisWorkbookDataModel","[Table1].[goal].&amp;[5.565E4]")</f>
        <v>55650</v>
      </c>
      <c r="C97" t="str" vm="1978">
        <f t="shared" si="9"/>
        <v/>
      </c>
      <c r="D97" t="str" vm="2398">
        <f t="shared" si="9"/>
        <v/>
      </c>
      <c r="E97" vm="1979">
        <f t="shared" si="9"/>
        <v>188</v>
      </c>
      <c r="F97" vm="2400">
        <f t="shared" si="9"/>
        <v>25655</v>
      </c>
      <c r="G97" t="str" vm="1980">
        <f t="shared" si="9"/>
        <v/>
      </c>
      <c r="H97" t="str" vm="2401">
        <f t="shared" si="9"/>
        <v/>
      </c>
      <c r="I97" t="str" vm="1981">
        <f t="shared" si="9"/>
        <v/>
      </c>
      <c r="J97" t="str" vm="2396">
        <f t="shared" si="9"/>
        <v/>
      </c>
      <c r="K97" vm="2397">
        <f t="shared" si="9"/>
        <v>188</v>
      </c>
      <c r="L97" vm="2399">
        <f t="shared" si="9"/>
        <v>25655</v>
      </c>
    </row>
    <row r="98" spans="2:12" x14ac:dyDescent="0.3">
      <c r="B98" s="16" t="str" vm="83">
        <f>CUBEMEMBER("ThisWorkbookDataModel","[Table1].[goal].&amp;[5.5E4]")</f>
        <v>55000</v>
      </c>
      <c r="C98" vm="1426">
        <f t="shared" si="9"/>
        <v>6</v>
      </c>
      <c r="D98" vm="2747">
        <f t="shared" si="9"/>
        <v>151</v>
      </c>
      <c r="E98" vm="1427">
        <f t="shared" si="9"/>
        <v>204</v>
      </c>
      <c r="F98" vm="2751">
        <f t="shared" si="9"/>
        <v>15052</v>
      </c>
      <c r="G98" t="str" vm="1428">
        <f t="shared" si="9"/>
        <v/>
      </c>
      <c r="H98" t="str" vm="2752">
        <f t="shared" si="9"/>
        <v/>
      </c>
      <c r="I98" vm="1429">
        <f t="shared" si="9"/>
        <v>1962</v>
      </c>
      <c r="J98" vm="2748">
        <f t="shared" si="9"/>
        <v>265372.52</v>
      </c>
      <c r="K98" vm="2750">
        <f t="shared" si="9"/>
        <v>2172</v>
      </c>
      <c r="L98" vm="2749">
        <f t="shared" si="9"/>
        <v>280575.52</v>
      </c>
    </row>
    <row r="99" spans="2:12" x14ac:dyDescent="0.3">
      <c r="B99" s="16" t="str" vm="370">
        <f>CUBEMEMBER("ThisWorkbookDataModel","[Table1].[goal].&amp;[5.4E4]")</f>
        <v>54000</v>
      </c>
      <c r="C99" t="str" vm="1974">
        <f t="shared" si="9"/>
        <v/>
      </c>
      <c r="D99" t="str" vm="3514">
        <f t="shared" si="9"/>
        <v/>
      </c>
      <c r="E99" vm="1975">
        <f t="shared" si="9"/>
        <v>56</v>
      </c>
      <c r="F99" vm="3516">
        <f t="shared" si="9"/>
        <v>3447</v>
      </c>
      <c r="G99" t="str" vm="1976">
        <f t="shared" si="9"/>
        <v/>
      </c>
      <c r="H99" t="str" vm="3517">
        <f t="shared" si="9"/>
        <v/>
      </c>
      <c r="I99" t="str" vm="1977">
        <f t="shared" si="9"/>
        <v/>
      </c>
      <c r="J99" t="str" vm="3518">
        <f t="shared" si="9"/>
        <v/>
      </c>
      <c r="K99" vm="3515">
        <f t="shared" si="9"/>
        <v>56</v>
      </c>
      <c r="L99" vm="3513">
        <f t="shared" si="9"/>
        <v>3447</v>
      </c>
    </row>
    <row r="100" spans="2:12" x14ac:dyDescent="0.3">
      <c r="B100" s="16" t="str" vm="123">
        <f>CUBEMEMBER("ThisWorkbookDataModel","[Table1].[goal].&amp;[5.2E4]")</f>
        <v>52000</v>
      </c>
      <c r="C100" t="str" vm="1422">
        <f t="shared" si="9"/>
        <v/>
      </c>
      <c r="D100" t="str" vm="3040">
        <f t="shared" si="9"/>
        <v/>
      </c>
      <c r="E100" t="str" vm="1423">
        <f t="shared" si="9"/>
        <v/>
      </c>
      <c r="F100" t="str" vm="3039">
        <f t="shared" si="9"/>
        <v/>
      </c>
      <c r="G100" t="str" vm="1424">
        <f t="shared" si="9"/>
        <v/>
      </c>
      <c r="H100" t="str" vm="3043">
        <f t="shared" si="9"/>
        <v/>
      </c>
      <c r="I100" vm="1425">
        <f t="shared" si="9"/>
        <v>885</v>
      </c>
      <c r="J100" vm="3044">
        <f t="shared" si="9"/>
        <v>86492</v>
      </c>
      <c r="K100" vm="3041">
        <f t="shared" si="9"/>
        <v>885</v>
      </c>
      <c r="L100" vm="3042">
        <f t="shared" si="9"/>
        <v>86492</v>
      </c>
    </row>
    <row r="101" spans="2:12" x14ac:dyDescent="0.3">
      <c r="B101" s="16" t="str" vm="406">
        <f>CUBEMEMBER("ThisWorkbookDataModel","[Table1].[goal].&amp;[5.1E4]")</f>
        <v>51000</v>
      </c>
      <c r="C101" vm="1970">
        <f t="shared" si="9"/>
        <v>70</v>
      </c>
      <c r="D101" vm="2649">
        <f t="shared" si="9"/>
        <v>5876</v>
      </c>
      <c r="E101" t="str" vm="1971">
        <f t="shared" si="9"/>
        <v/>
      </c>
      <c r="F101" t="str" vm="2645">
        <f t="shared" si="9"/>
        <v/>
      </c>
      <c r="G101" t="str" vm="1972">
        <f t="shared" si="9"/>
        <v/>
      </c>
      <c r="H101" t="str" vm="2647">
        <f t="shared" si="9"/>
        <v/>
      </c>
      <c r="I101" t="str" vm="1973">
        <f t="shared" si="9"/>
        <v/>
      </c>
      <c r="J101" t="str" vm="2648">
        <f t="shared" si="9"/>
        <v/>
      </c>
      <c r="K101" vm="2646">
        <f t="shared" si="9"/>
        <v>70</v>
      </c>
      <c r="L101" vm="2650">
        <f t="shared" si="9"/>
        <v>5876</v>
      </c>
    </row>
    <row r="102" spans="2:12" x14ac:dyDescent="0.3">
      <c r="B102" s="16" t="str" vm="163">
        <f>CUBEMEMBER("ThisWorkbookDataModel","[Table1].[goal].&amp;[5.E4]")</f>
        <v>50000</v>
      </c>
      <c r="C102" vm="1418">
        <f t="shared" si="9"/>
        <v>879</v>
      </c>
      <c r="D102" vm="3571">
        <f t="shared" si="9"/>
        <v>101699</v>
      </c>
      <c r="E102" vm="1419">
        <f t="shared" si="9"/>
        <v>2054</v>
      </c>
      <c r="F102" vm="3567">
        <f t="shared" si="9"/>
        <v>203215.22</v>
      </c>
      <c r="G102" vm="1420">
        <f t="shared" si="9"/>
        <v>18</v>
      </c>
      <c r="H102" vm="3568">
        <f t="shared" si="9"/>
        <v>7950</v>
      </c>
      <c r="I102" vm="1421">
        <f t="shared" si="9"/>
        <v>37124</v>
      </c>
      <c r="J102" vm="3569">
        <f t="shared" si="9"/>
        <v>4200617.7</v>
      </c>
      <c r="K102" vm="3570">
        <f t="shared" si="9"/>
        <v>40075</v>
      </c>
      <c r="L102" vm="3572">
        <f t="shared" si="9"/>
        <v>4513481.92</v>
      </c>
    </row>
    <row r="103" spans="2:12" x14ac:dyDescent="0.3">
      <c r="B103" s="16" t="str" vm="281">
        <f>CUBEMEMBER("ThisWorkbookDataModel","[Table1].[goal].&amp;[4.9E4]")</f>
        <v>49000</v>
      </c>
      <c r="C103" vm="1966">
        <f t="shared" si="9"/>
        <v>10</v>
      </c>
      <c r="D103" vm="2940">
        <f t="shared" si="9"/>
        <v>1333</v>
      </c>
      <c r="E103" vm="1967">
        <f t="shared" si="9"/>
        <v>196</v>
      </c>
      <c r="F103" vm="2942">
        <f t="shared" si="9"/>
        <v>19572</v>
      </c>
      <c r="G103" t="str" vm="1968">
        <f t="shared" si="9"/>
        <v/>
      </c>
      <c r="H103" t="str" vm="2937">
        <f t="shared" si="9"/>
        <v/>
      </c>
      <c r="I103" t="str" vm="1969">
        <f t="shared" si="9"/>
        <v/>
      </c>
      <c r="J103" t="str" vm="2938">
        <f t="shared" si="9"/>
        <v/>
      </c>
      <c r="K103" vm="2939">
        <f t="shared" si="9"/>
        <v>206</v>
      </c>
      <c r="L103" vm="2941">
        <f t="shared" si="9"/>
        <v>20905</v>
      </c>
    </row>
    <row r="104" spans="2:12" x14ac:dyDescent="0.3">
      <c r="B104" s="16" t="str" vm="418">
        <f>CUBEMEMBER("ThisWorkbookDataModel","[Table1].[goal].&amp;[4.8725E4]")</f>
        <v>48725</v>
      </c>
      <c r="C104" t="str" vm="1962">
        <f t="shared" si="9"/>
        <v/>
      </c>
      <c r="D104" t="str" vm="3714">
        <f t="shared" si="9"/>
        <v/>
      </c>
      <c r="E104" vm="1963">
        <f t="shared" si="9"/>
        <v>27</v>
      </c>
      <c r="F104" vm="3716">
        <f t="shared" si="9"/>
        <v>1758</v>
      </c>
      <c r="G104" t="str" vm="1964">
        <f t="shared" si="9"/>
        <v/>
      </c>
      <c r="H104" t="str" vm="3717">
        <f t="shared" si="9"/>
        <v/>
      </c>
      <c r="I104" t="str" vm="1965">
        <f t="shared" si="9"/>
        <v/>
      </c>
      <c r="J104" t="str" vm="3712">
        <f t="shared" si="9"/>
        <v/>
      </c>
      <c r="K104" vm="3713">
        <f t="shared" si="9"/>
        <v>27</v>
      </c>
      <c r="L104" vm="3715">
        <f t="shared" si="9"/>
        <v>1758</v>
      </c>
    </row>
    <row r="105" spans="2:12" x14ac:dyDescent="0.3">
      <c r="B105" s="16" t="str" vm="303">
        <f>CUBEMEMBER("ThisWorkbookDataModel","[Table1].[goal].&amp;[4.85E4]")</f>
        <v>48500</v>
      </c>
      <c r="C105" t="str" vm="1958">
        <f t="shared" si="9"/>
        <v/>
      </c>
      <c r="D105" t="str" vm="3223">
        <f t="shared" si="9"/>
        <v/>
      </c>
      <c r="E105" vm="1959">
        <f t="shared" si="9"/>
        <v>4</v>
      </c>
      <c r="F105" vm="3225">
        <f t="shared" si="9"/>
        <v>105</v>
      </c>
      <c r="G105" t="str" vm="1960">
        <f t="shared" si="9"/>
        <v/>
      </c>
      <c r="H105" t="str" vm="3226">
        <f t="shared" si="9"/>
        <v/>
      </c>
      <c r="I105" t="str" vm="1961">
        <f t="shared" si="9"/>
        <v/>
      </c>
      <c r="J105" t="str" vm="3227">
        <f t="shared" si="9"/>
        <v/>
      </c>
      <c r="K105" vm="3224">
        <f t="shared" si="9"/>
        <v>4</v>
      </c>
      <c r="L105" vm="3222">
        <f t="shared" si="9"/>
        <v>105</v>
      </c>
    </row>
    <row r="106" spans="2:12" x14ac:dyDescent="0.3">
      <c r="B106" s="16" t="str" vm="201">
        <f>CUBEMEMBER("ThisWorkbookDataModel","[Table1].[goal].&amp;[4.8E4]")</f>
        <v>48000</v>
      </c>
      <c r="C106" vm="1414">
        <f t="shared" ref="C106:L115" si="10">CUBEVALUE("ThisWorkbookDataModel",$B106,C$5)</f>
        <v>41</v>
      </c>
      <c r="D106" vm="3769">
        <f t="shared" si="10"/>
        <v>1705</v>
      </c>
      <c r="E106" vm="1415">
        <f t="shared" si="10"/>
        <v>26</v>
      </c>
      <c r="F106" vm="3771">
        <f t="shared" si="10"/>
        <v>637</v>
      </c>
      <c r="G106" t="str" vm="1416">
        <f t="shared" si="10"/>
        <v/>
      </c>
      <c r="H106" t="str" vm="3766">
        <f t="shared" si="10"/>
        <v/>
      </c>
      <c r="I106" vm="1417">
        <f t="shared" si="10"/>
        <v>1968</v>
      </c>
      <c r="J106" vm="3767">
        <f t="shared" si="10"/>
        <v>144682.96</v>
      </c>
      <c r="K106" vm="3768">
        <f t="shared" si="10"/>
        <v>2035</v>
      </c>
      <c r="L106" vm="3770">
        <f t="shared" si="10"/>
        <v>147024.95999999999</v>
      </c>
    </row>
    <row r="107" spans="2:12" x14ac:dyDescent="0.3">
      <c r="B107" s="16" t="str" vm="237">
        <f>CUBEMEMBER("ThisWorkbookDataModel","[Table1].[goal].&amp;[4.7E4]")</f>
        <v>47000</v>
      </c>
      <c r="C107" t="str" vm="1410">
        <f t="shared" si="10"/>
        <v/>
      </c>
      <c r="D107" t="str" vm="3952">
        <f t="shared" si="10"/>
        <v/>
      </c>
      <c r="E107" t="str" vm="1411">
        <f t="shared" si="10"/>
        <v/>
      </c>
      <c r="F107" t="str" vm="3955">
        <f t="shared" si="10"/>
        <v/>
      </c>
      <c r="G107" t="str" vm="1412">
        <f t="shared" si="10"/>
        <v/>
      </c>
      <c r="H107" t="str" vm="3956">
        <f t="shared" si="10"/>
        <v/>
      </c>
      <c r="I107" vm="1413">
        <f t="shared" si="10"/>
        <v>229</v>
      </c>
      <c r="J107" vm="3953">
        <f t="shared" si="10"/>
        <v>53771</v>
      </c>
      <c r="K107" vm="3954">
        <f t="shared" si="10"/>
        <v>229</v>
      </c>
      <c r="L107" vm="3951">
        <f t="shared" si="10"/>
        <v>53771</v>
      </c>
    </row>
    <row r="108" spans="2:12" x14ac:dyDescent="0.3">
      <c r="B108" s="16" t="str" vm="325">
        <f>CUBEMEMBER("ThisWorkbookDataModel","[Table1].[goal].&amp;[4.626E4]")</f>
        <v>46260</v>
      </c>
      <c r="C108" t="str" vm="1954">
        <f t="shared" si="10"/>
        <v/>
      </c>
      <c r="D108" t="str" vm="3901">
        <f t="shared" si="10"/>
        <v/>
      </c>
      <c r="E108" vm="1955">
        <f t="shared" si="10"/>
        <v>113</v>
      </c>
      <c r="F108" vm="3897">
        <f t="shared" si="10"/>
        <v>9460</v>
      </c>
      <c r="G108" t="str" vm="1956">
        <f t="shared" si="10"/>
        <v/>
      </c>
      <c r="H108" t="str" vm="3899">
        <f t="shared" si="10"/>
        <v/>
      </c>
      <c r="I108" t="str" vm="1957">
        <f t="shared" si="10"/>
        <v/>
      </c>
      <c r="J108" t="str" vm="3900">
        <f t="shared" si="10"/>
        <v/>
      </c>
      <c r="K108" vm="3898">
        <f t="shared" si="10"/>
        <v>113</v>
      </c>
      <c r="L108" vm="3902">
        <f t="shared" si="10"/>
        <v>9460</v>
      </c>
    </row>
    <row r="109" spans="2:12" x14ac:dyDescent="0.3">
      <c r="B109" s="16" t="str" vm="232">
        <f>CUBEMEMBER("ThisWorkbookDataModel","[Table1].[goal].&amp;[4.5E4]")</f>
        <v>45000</v>
      </c>
      <c r="C109" vm="1406">
        <f t="shared" si="10"/>
        <v>402</v>
      </c>
      <c r="D109" vm="4136">
        <f t="shared" si="10"/>
        <v>21420</v>
      </c>
      <c r="E109" vm="1407">
        <f t="shared" si="10"/>
        <v>166</v>
      </c>
      <c r="F109" vm="4137">
        <f t="shared" si="10"/>
        <v>6921.34</v>
      </c>
      <c r="G109" t="str" vm="1408">
        <f t="shared" si="10"/>
        <v/>
      </c>
      <c r="H109" t="str" vm="4140">
        <f t="shared" si="10"/>
        <v/>
      </c>
      <c r="I109" vm="1409">
        <f t="shared" si="10"/>
        <v>1118</v>
      </c>
      <c r="J109" vm="4141">
        <f t="shared" si="10"/>
        <v>156948.69</v>
      </c>
      <c r="K109" vm="4138">
        <f t="shared" si="10"/>
        <v>1686</v>
      </c>
      <c r="L109" vm="4139">
        <f t="shared" si="10"/>
        <v>185290.03</v>
      </c>
    </row>
    <row r="110" spans="2:12" x14ac:dyDescent="0.3">
      <c r="B110" s="16" t="str" vm="6">
        <f>CUBEMEMBER("ThisWorkbookDataModel","[Table1].[goal].&amp;[4.425E4]")</f>
        <v>44250</v>
      </c>
      <c r="C110" t="str" vm="1402">
        <f t="shared" si="10"/>
        <v/>
      </c>
      <c r="D110" t="str" vm="2508">
        <f t="shared" si="10"/>
        <v/>
      </c>
      <c r="E110" t="str" vm="1403">
        <f t="shared" si="10"/>
        <v/>
      </c>
      <c r="F110" t="str" vm="2504">
        <f t="shared" si="10"/>
        <v/>
      </c>
      <c r="G110" t="str" vm="1404">
        <f t="shared" si="10"/>
        <v/>
      </c>
      <c r="H110" t="str" vm="2505">
        <f t="shared" si="10"/>
        <v/>
      </c>
      <c r="I110" vm="1405">
        <f t="shared" si="10"/>
        <v>321</v>
      </c>
      <c r="J110" vm="2506">
        <f t="shared" si="10"/>
        <v>47978</v>
      </c>
      <c r="K110" vm="2507">
        <f t="shared" si="10"/>
        <v>321</v>
      </c>
      <c r="L110" vm="2509">
        <f t="shared" si="10"/>
        <v>47978</v>
      </c>
    </row>
    <row r="111" spans="2:12" x14ac:dyDescent="0.3">
      <c r="B111" s="16" t="str" vm="45">
        <f>CUBEMEMBER("ThisWorkbookDataModel","[Table1].[goal].&amp;[4.4E4]")</f>
        <v>44000</v>
      </c>
      <c r="C111" t="str" vm="1398">
        <f t="shared" si="10"/>
        <v/>
      </c>
      <c r="D111" t="str" vm="4354">
        <f t="shared" si="10"/>
        <v/>
      </c>
      <c r="E111" t="str" vm="1399">
        <f t="shared" si="10"/>
        <v/>
      </c>
      <c r="F111" t="str" vm="4356">
        <f t="shared" si="10"/>
        <v/>
      </c>
      <c r="G111" t="str" vm="1400">
        <f t="shared" si="10"/>
        <v/>
      </c>
      <c r="H111" t="str" vm="4351">
        <f t="shared" si="10"/>
        <v/>
      </c>
      <c r="I111" vm="1401">
        <f t="shared" si="10"/>
        <v>284</v>
      </c>
      <c r="J111" vm="4352">
        <f t="shared" si="10"/>
        <v>54116.28</v>
      </c>
      <c r="K111" vm="4353">
        <f t="shared" si="10"/>
        <v>284</v>
      </c>
      <c r="L111" vm="4355">
        <f t="shared" si="10"/>
        <v>54116.28</v>
      </c>
    </row>
    <row r="112" spans="2:12" x14ac:dyDescent="0.3">
      <c r="B112" s="16" t="str" vm="84">
        <f>CUBEMEMBER("ThisWorkbookDataModel","[Table1].[goal].&amp;[4.35E4]")</f>
        <v>43500</v>
      </c>
      <c r="C112" t="str" vm="1394">
        <f t="shared" si="10"/>
        <v/>
      </c>
      <c r="D112" t="str" vm="2755">
        <f t="shared" si="10"/>
        <v/>
      </c>
      <c r="E112" t="str" vm="1395">
        <f t="shared" si="10"/>
        <v/>
      </c>
      <c r="F112" t="str" vm="2757">
        <f t="shared" si="10"/>
        <v/>
      </c>
      <c r="G112" t="str" vm="1396">
        <f t="shared" si="10"/>
        <v/>
      </c>
      <c r="H112" t="str" vm="2758">
        <f t="shared" si="10"/>
        <v/>
      </c>
      <c r="I112" vm="1397">
        <f t="shared" si="10"/>
        <v>452</v>
      </c>
      <c r="J112" vm="2754">
        <f t="shared" si="10"/>
        <v>60450.1</v>
      </c>
      <c r="K112" vm="2756">
        <f t="shared" si="10"/>
        <v>452</v>
      </c>
      <c r="L112" vm="2753">
        <f t="shared" si="10"/>
        <v>60450.1</v>
      </c>
    </row>
    <row r="113" spans="2:12" x14ac:dyDescent="0.3">
      <c r="B113" s="16" t="str" vm="348">
        <f>CUBEMEMBER("ThisWorkbookDataModel","[Table1].[goal].&amp;[4.285E4]")</f>
        <v>42850</v>
      </c>
      <c r="C113" t="str" vm="1950">
        <f t="shared" si="10"/>
        <v/>
      </c>
      <c r="D113" t="str" vm="4085">
        <f t="shared" si="10"/>
        <v/>
      </c>
      <c r="E113" vm="1951">
        <f t="shared" si="10"/>
        <v>0</v>
      </c>
      <c r="F113" vm="4087">
        <f t="shared" si="10"/>
        <v>0</v>
      </c>
      <c r="G113" t="str" vm="1952">
        <f t="shared" si="10"/>
        <v/>
      </c>
      <c r="H113" t="str" vm="4082">
        <f t="shared" si="10"/>
        <v/>
      </c>
      <c r="I113" t="str" vm="1953">
        <f t="shared" si="10"/>
        <v/>
      </c>
      <c r="J113" t="str" vm="4083">
        <f t="shared" si="10"/>
        <v/>
      </c>
      <c r="K113" vm="4084">
        <f t="shared" si="10"/>
        <v>0</v>
      </c>
      <c r="L113" vm="4086">
        <f t="shared" si="10"/>
        <v>0</v>
      </c>
    </row>
    <row r="114" spans="2:12" x14ac:dyDescent="0.3">
      <c r="B114" s="16" t="str" vm="428">
        <f>CUBEMEMBER("ThisWorkbookDataModel","[Table1].[goal].&amp;[4.25E4]")</f>
        <v>42500</v>
      </c>
      <c r="C114" t="str" vm="1946">
        <f t="shared" si="10"/>
        <v/>
      </c>
      <c r="D114" t="str" vm="2404">
        <f t="shared" si="10"/>
        <v/>
      </c>
      <c r="E114" vm="1947">
        <f t="shared" si="10"/>
        <v>1</v>
      </c>
      <c r="F114" vm="2406">
        <f t="shared" si="10"/>
        <v>10</v>
      </c>
      <c r="G114" t="str" vm="1948">
        <f t="shared" si="10"/>
        <v/>
      </c>
      <c r="H114" t="str" vm="2407">
        <f t="shared" si="10"/>
        <v/>
      </c>
      <c r="I114" t="str" vm="1949">
        <f t="shared" si="10"/>
        <v/>
      </c>
      <c r="J114" t="str" vm="2402">
        <f t="shared" si="10"/>
        <v/>
      </c>
      <c r="K114" vm="2403">
        <f t="shared" si="10"/>
        <v>1</v>
      </c>
      <c r="L114" vm="2405">
        <f t="shared" si="10"/>
        <v>10</v>
      </c>
    </row>
    <row r="115" spans="2:12" x14ac:dyDescent="0.3">
      <c r="B115" s="16" t="str" vm="124">
        <f>CUBEMEMBER("ThisWorkbookDataModel","[Table1].[goal].&amp;[4.2E4]")</f>
        <v>42000</v>
      </c>
      <c r="C115" t="str" vm="1390">
        <f t="shared" si="10"/>
        <v/>
      </c>
      <c r="D115" t="str" vm="3045">
        <f t="shared" si="10"/>
        <v/>
      </c>
      <c r="E115" vm="1391">
        <f t="shared" si="10"/>
        <v>4</v>
      </c>
      <c r="F115" vm="3046">
        <f t="shared" si="10"/>
        <v>85</v>
      </c>
      <c r="G115" t="str" vm="1392">
        <f t="shared" si="10"/>
        <v/>
      </c>
      <c r="H115" t="str" vm="3049">
        <f t="shared" si="10"/>
        <v/>
      </c>
      <c r="I115" vm="1393">
        <f t="shared" si="10"/>
        <v>434</v>
      </c>
      <c r="J115" vm="3050">
        <f t="shared" si="10"/>
        <v>217240.02</v>
      </c>
      <c r="K115" vm="3047">
        <f t="shared" si="10"/>
        <v>438</v>
      </c>
      <c r="L115" vm="3048">
        <f t="shared" si="10"/>
        <v>217325.02</v>
      </c>
    </row>
    <row r="116" spans="2:12" x14ac:dyDescent="0.3">
      <c r="B116" s="16" t="str" vm="164">
        <f>CUBEMEMBER("ThisWorkbookDataModel","[Table1].[goal].&amp;[4.E4]")</f>
        <v>40000</v>
      </c>
      <c r="C116" vm="1386">
        <f t="shared" ref="C116:L125" si="11">CUBEVALUE("ThisWorkbookDataModel",$B116,C$5)</f>
        <v>363</v>
      </c>
      <c r="D116" vm="4572">
        <f t="shared" si="11"/>
        <v>34527</v>
      </c>
      <c r="E116" vm="1387">
        <f t="shared" si="11"/>
        <v>852</v>
      </c>
      <c r="F116" vm="4569">
        <f t="shared" si="11"/>
        <v>49753</v>
      </c>
      <c r="G116" vm="1388">
        <f t="shared" si="11"/>
        <v>45</v>
      </c>
      <c r="H116" vm="4568">
        <f t="shared" si="11"/>
        <v>41500</v>
      </c>
      <c r="I116" vm="1389">
        <f t="shared" si="11"/>
        <v>9994</v>
      </c>
      <c r="J116" vm="4570">
        <f t="shared" si="11"/>
        <v>1204112.81</v>
      </c>
      <c r="K116" vm="4571">
        <f t="shared" si="11"/>
        <v>11254</v>
      </c>
      <c r="L116" vm="4573">
        <f t="shared" si="11"/>
        <v>1329892.81</v>
      </c>
    </row>
    <row r="117" spans="2:12" x14ac:dyDescent="0.3">
      <c r="B117" s="16" t="str" vm="371">
        <f>CUBEMEMBER("ThisWorkbookDataModel","[Table1].[goal].&amp;[3.94E4]")</f>
        <v>39400</v>
      </c>
      <c r="C117" t="str" vm="1942">
        <f t="shared" si="11"/>
        <v/>
      </c>
      <c r="D117" t="str" vm="4298">
        <f t="shared" si="11"/>
        <v/>
      </c>
      <c r="E117" vm="1943">
        <f t="shared" si="11"/>
        <v>3</v>
      </c>
      <c r="F117" vm="4300">
        <f t="shared" si="11"/>
        <v>90</v>
      </c>
      <c r="G117" t="str" vm="1944">
        <f t="shared" si="11"/>
        <v/>
      </c>
      <c r="H117" t="str" vm="4301">
        <f t="shared" si="11"/>
        <v/>
      </c>
      <c r="I117" t="str" vm="1945">
        <f t="shared" si="11"/>
        <v/>
      </c>
      <c r="J117" t="str" vm="4302">
        <f t="shared" si="11"/>
        <v/>
      </c>
      <c r="K117" vm="4299">
        <f t="shared" si="11"/>
        <v>3</v>
      </c>
      <c r="L117" vm="4297">
        <f t="shared" si="11"/>
        <v>90</v>
      </c>
    </row>
    <row r="118" spans="2:12" x14ac:dyDescent="0.3">
      <c r="B118" s="16" t="str" vm="438">
        <f>CUBEMEMBER("ThisWorkbookDataModel","[Table1].[goal].&amp;[3.9E4]")</f>
        <v>39000</v>
      </c>
      <c r="C118" t="str" vm="1938">
        <f t="shared" si="11"/>
        <v/>
      </c>
      <c r="D118" t="str" vm="2655">
        <f t="shared" si="11"/>
        <v/>
      </c>
      <c r="E118" vm="1939">
        <f t="shared" si="11"/>
        <v>5</v>
      </c>
      <c r="F118" vm="2651">
        <f t="shared" si="11"/>
        <v>181</v>
      </c>
      <c r="G118" t="str" vm="1940">
        <f t="shared" si="11"/>
        <v/>
      </c>
      <c r="H118" t="str" vm="2653">
        <f t="shared" si="11"/>
        <v/>
      </c>
      <c r="I118" t="str" vm="1941">
        <f t="shared" si="11"/>
        <v/>
      </c>
      <c r="J118" t="str" vm="2654">
        <f t="shared" si="11"/>
        <v/>
      </c>
      <c r="K118" vm="2652">
        <f t="shared" si="11"/>
        <v>5</v>
      </c>
      <c r="L118" vm="2656">
        <f t="shared" si="11"/>
        <v>181</v>
      </c>
    </row>
    <row r="119" spans="2:12" x14ac:dyDescent="0.3">
      <c r="B119" s="16" t="str" vm="282">
        <f>CUBEMEMBER("ThisWorkbookDataModel","[Table1].[goal].&amp;[3.8888E4]")</f>
        <v>38888</v>
      </c>
      <c r="C119" t="str" vm="1934">
        <f t="shared" si="11"/>
        <v/>
      </c>
      <c r="D119" t="str" vm="2946">
        <f t="shared" si="11"/>
        <v/>
      </c>
      <c r="E119" vm="1935">
        <f t="shared" si="11"/>
        <v>60</v>
      </c>
      <c r="F119" vm="2948">
        <f t="shared" si="11"/>
        <v>2495</v>
      </c>
      <c r="G119" t="str" vm="1936">
        <f t="shared" si="11"/>
        <v/>
      </c>
      <c r="H119" t="str" vm="2943">
        <f t="shared" si="11"/>
        <v/>
      </c>
      <c r="I119" t="str" vm="1937">
        <f t="shared" si="11"/>
        <v/>
      </c>
      <c r="J119" t="str" vm="2944">
        <f t="shared" si="11"/>
        <v/>
      </c>
      <c r="K119" vm="2945">
        <f t="shared" si="11"/>
        <v>60</v>
      </c>
      <c r="L119" vm="2947">
        <f t="shared" si="11"/>
        <v>2495</v>
      </c>
    </row>
    <row r="120" spans="2:12" x14ac:dyDescent="0.3">
      <c r="B120" s="16" t="str" vm="202">
        <f>CUBEMEMBER("ThisWorkbookDataModel","[Table1].[goal].&amp;[3.8E4]")</f>
        <v>38000</v>
      </c>
      <c r="C120" t="str" vm="1382">
        <f t="shared" si="11"/>
        <v/>
      </c>
      <c r="D120" t="str" vm="4769">
        <f t="shared" si="11"/>
        <v/>
      </c>
      <c r="E120" vm="1383">
        <f t="shared" si="11"/>
        <v>16</v>
      </c>
      <c r="F120" vm="4771">
        <f t="shared" si="11"/>
        <v>7510</v>
      </c>
      <c r="G120" t="str" vm="1384">
        <f t="shared" si="11"/>
        <v/>
      </c>
      <c r="H120" t="str" vm="4766">
        <f t="shared" si="11"/>
        <v/>
      </c>
      <c r="I120" vm="1385">
        <f t="shared" si="11"/>
        <v>696</v>
      </c>
      <c r="J120" vm="4767">
        <f t="shared" si="11"/>
        <v>119816</v>
      </c>
      <c r="K120" vm="4768">
        <f t="shared" si="11"/>
        <v>712</v>
      </c>
      <c r="L120" vm="4770">
        <f t="shared" si="11"/>
        <v>127326</v>
      </c>
    </row>
    <row r="121" spans="2:12" x14ac:dyDescent="0.3">
      <c r="B121" s="16" t="str" vm="413">
        <f>CUBEMEMBER("ThisWorkbookDataModel","[Table1].[goal].&amp;[3.7956E4]")</f>
        <v>37956</v>
      </c>
      <c r="C121" t="str" vm="1930">
        <f t="shared" si="11"/>
        <v/>
      </c>
      <c r="D121" t="str" vm="4516">
        <f t="shared" si="11"/>
        <v/>
      </c>
      <c r="E121" vm="1931">
        <f t="shared" si="11"/>
        <v>125</v>
      </c>
      <c r="F121" vm="4518">
        <f t="shared" si="11"/>
        <v>8315.01</v>
      </c>
      <c r="G121" t="str" vm="1932">
        <f t="shared" si="11"/>
        <v/>
      </c>
      <c r="H121" t="str" vm="4519">
        <f t="shared" si="11"/>
        <v/>
      </c>
      <c r="I121" t="str" vm="1933">
        <f t="shared" si="11"/>
        <v/>
      </c>
      <c r="J121" t="str" vm="4514">
        <f t="shared" si="11"/>
        <v/>
      </c>
      <c r="K121" vm="4515">
        <f t="shared" si="11"/>
        <v>125</v>
      </c>
      <c r="L121" vm="4517">
        <f t="shared" si="11"/>
        <v>8315.01</v>
      </c>
    </row>
    <row r="122" spans="2:12" x14ac:dyDescent="0.3">
      <c r="B122" s="16" t="str" vm="238">
        <f>CUBEMEMBER("ThisWorkbookDataModel","[Table1].[goal].&amp;[3.75E4]")</f>
        <v>37500</v>
      </c>
      <c r="C122" t="str" vm="1378">
        <f t="shared" si="11"/>
        <v/>
      </c>
      <c r="D122" t="str" vm="3392">
        <f t="shared" si="11"/>
        <v/>
      </c>
      <c r="E122" t="str" vm="1379">
        <f t="shared" si="11"/>
        <v/>
      </c>
      <c r="F122" t="str" vm="3395">
        <f t="shared" si="11"/>
        <v/>
      </c>
      <c r="G122" t="str" vm="1380">
        <f t="shared" si="11"/>
        <v/>
      </c>
      <c r="H122" t="str" vm="3393">
        <f t="shared" si="11"/>
        <v/>
      </c>
      <c r="I122" vm="1381">
        <f t="shared" si="11"/>
        <v>235</v>
      </c>
      <c r="J122" vm="3390">
        <f t="shared" si="11"/>
        <v>40055</v>
      </c>
      <c r="K122" vm="3394">
        <f t="shared" si="11"/>
        <v>235</v>
      </c>
      <c r="L122" vm="3391">
        <f t="shared" si="11"/>
        <v>40055</v>
      </c>
    </row>
    <row r="123" spans="2:12" x14ac:dyDescent="0.3">
      <c r="B123" s="16" t="str" vm="304">
        <f>CUBEMEMBER("ThisWorkbookDataModel","[Table1].[goal].&amp;[3.7E4]")</f>
        <v>37000</v>
      </c>
      <c r="C123" vm="1926">
        <f t="shared" si="11"/>
        <v>8</v>
      </c>
      <c r="D123" vm="3228">
        <f t="shared" si="11"/>
        <v>463</v>
      </c>
      <c r="E123" t="str" vm="1927">
        <f t="shared" si="11"/>
        <v/>
      </c>
      <c r="F123" t="str" vm="3231">
        <f t="shared" si="11"/>
        <v/>
      </c>
      <c r="G123" t="str" vm="1928">
        <f t="shared" si="11"/>
        <v/>
      </c>
      <c r="H123" t="str" vm="3232">
        <f t="shared" si="11"/>
        <v/>
      </c>
      <c r="I123" t="str" vm="1929">
        <f t="shared" si="11"/>
        <v/>
      </c>
      <c r="J123" t="str" vm="3233">
        <f t="shared" si="11"/>
        <v/>
      </c>
      <c r="K123" vm="3230">
        <f t="shared" si="11"/>
        <v>8</v>
      </c>
      <c r="L123" vm="3229">
        <f t="shared" si="11"/>
        <v>463</v>
      </c>
    </row>
    <row r="124" spans="2:12" x14ac:dyDescent="0.3">
      <c r="B124" s="16" t="str" vm="194">
        <f>CUBEMEMBER("ThisWorkbookDataModel","[Table1].[goal].&amp;[3.64E4]")</f>
        <v>36400</v>
      </c>
      <c r="C124" t="str" vm="1374">
        <f t="shared" si="11"/>
        <v/>
      </c>
      <c r="D124" t="str" vm="3573">
        <f t="shared" si="11"/>
        <v/>
      </c>
      <c r="E124" t="str" vm="1375">
        <f t="shared" si="11"/>
        <v/>
      </c>
      <c r="F124" t="str" vm="3574">
        <f t="shared" si="11"/>
        <v/>
      </c>
      <c r="G124" t="str" vm="1376">
        <f t="shared" si="11"/>
        <v/>
      </c>
      <c r="H124" t="str" vm="3578">
        <f t="shared" si="11"/>
        <v/>
      </c>
      <c r="I124" vm="1377">
        <f t="shared" si="11"/>
        <v>376</v>
      </c>
      <c r="J124" vm="3575">
        <f t="shared" si="11"/>
        <v>41000</v>
      </c>
      <c r="K124" vm="3576">
        <f t="shared" si="11"/>
        <v>376</v>
      </c>
      <c r="L124" vm="3577">
        <f t="shared" si="11"/>
        <v>41000</v>
      </c>
    </row>
    <row r="125" spans="2:12" x14ac:dyDescent="0.3">
      <c r="B125" s="16" t="str" vm="326">
        <f>CUBEMEMBER("ThisWorkbookDataModel","[Table1].[goal].&amp;[3.55E4]")</f>
        <v>35500</v>
      </c>
      <c r="C125" t="str" vm="1922">
        <f t="shared" si="11"/>
        <v/>
      </c>
      <c r="D125" t="str" vm="4716">
        <f t="shared" si="11"/>
        <v/>
      </c>
      <c r="E125" vm="1923">
        <f t="shared" si="11"/>
        <v>24</v>
      </c>
      <c r="F125" vm="4712">
        <f t="shared" si="11"/>
        <v>607</v>
      </c>
      <c r="G125" t="str" vm="1924">
        <f t="shared" si="11"/>
        <v/>
      </c>
      <c r="H125" t="str" vm="4714">
        <f t="shared" si="11"/>
        <v/>
      </c>
      <c r="I125" t="str" vm="1925">
        <f t="shared" si="11"/>
        <v/>
      </c>
      <c r="J125" t="str" vm="4715">
        <f t="shared" si="11"/>
        <v/>
      </c>
      <c r="K125" vm="4713">
        <f t="shared" si="11"/>
        <v>24</v>
      </c>
      <c r="L125" vm="4717">
        <f t="shared" si="11"/>
        <v>607</v>
      </c>
    </row>
    <row r="126" spans="2:12" x14ac:dyDescent="0.3">
      <c r="B126" s="16" t="str" vm="7">
        <f>CUBEMEMBER("ThisWorkbookDataModel","[Table1].[goal].&amp;[3.5E4]")</f>
        <v>35000</v>
      </c>
      <c r="C126" vm="1370">
        <f t="shared" ref="C126:L135" si="12">CUBEVALUE("ThisWorkbookDataModel",$B126,C$5)</f>
        <v>70</v>
      </c>
      <c r="D126" vm="2510">
        <f t="shared" si="12"/>
        <v>9789</v>
      </c>
      <c r="E126" vm="1371">
        <f t="shared" si="12"/>
        <v>454</v>
      </c>
      <c r="F126" vm="2511">
        <f t="shared" si="12"/>
        <v>71129.16</v>
      </c>
      <c r="G126" t="str" vm="1372">
        <f t="shared" si="12"/>
        <v/>
      </c>
      <c r="H126" t="str" vm="2512">
        <f t="shared" si="12"/>
        <v/>
      </c>
      <c r="I126" vm="1373">
        <f t="shared" si="12"/>
        <v>11752</v>
      </c>
      <c r="J126" vm="2514">
        <f t="shared" si="12"/>
        <v>1134828.3600000001</v>
      </c>
      <c r="K126" vm="2515">
        <f t="shared" si="12"/>
        <v>12276</v>
      </c>
      <c r="L126" vm="2513">
        <f t="shared" si="12"/>
        <v>1215746.52</v>
      </c>
    </row>
    <row r="127" spans="2:12" x14ac:dyDescent="0.3">
      <c r="B127" s="16" t="str" vm="46">
        <f>CUBEMEMBER("ThisWorkbookDataModel","[Table1].[goal].&amp;[3.4E4]")</f>
        <v>34000</v>
      </c>
      <c r="C127" t="str" vm="1366">
        <f t="shared" si="12"/>
        <v/>
      </c>
      <c r="D127" t="str" vm="3776">
        <f t="shared" si="12"/>
        <v/>
      </c>
      <c r="E127" t="str" vm="1367">
        <f t="shared" si="12"/>
        <v/>
      </c>
      <c r="F127" t="str" vm="3775">
        <f t="shared" si="12"/>
        <v/>
      </c>
      <c r="G127" t="str" vm="1368">
        <f t="shared" si="12"/>
        <v/>
      </c>
      <c r="H127" t="str" vm="3773">
        <f t="shared" si="12"/>
        <v/>
      </c>
      <c r="I127" vm="1369">
        <f t="shared" si="12"/>
        <v>964</v>
      </c>
      <c r="J127" vm="3772">
        <f t="shared" si="12"/>
        <v>43296</v>
      </c>
      <c r="K127" vm="3774">
        <f t="shared" si="12"/>
        <v>964</v>
      </c>
      <c r="L127" vm="3777">
        <f t="shared" si="12"/>
        <v>43296</v>
      </c>
    </row>
    <row r="128" spans="2:12" x14ac:dyDescent="0.3">
      <c r="B128" s="16" t="str" vm="85">
        <f>CUBEMEMBER("ThisWorkbookDataModel","[Table1].[goal].&amp;[3.35E4]")</f>
        <v>33500</v>
      </c>
      <c r="C128" t="str" vm="1362">
        <f t="shared" si="12"/>
        <v/>
      </c>
      <c r="D128" t="str" vm="2762">
        <f t="shared" si="12"/>
        <v/>
      </c>
      <c r="E128" t="str" vm="1363">
        <f t="shared" si="12"/>
        <v/>
      </c>
      <c r="F128" t="str" vm="2764">
        <f t="shared" si="12"/>
        <v/>
      </c>
      <c r="G128" t="str" vm="1364">
        <f t="shared" si="12"/>
        <v/>
      </c>
      <c r="H128" t="str" vm="2759">
        <f t="shared" si="12"/>
        <v/>
      </c>
      <c r="I128" vm="1365">
        <f t="shared" si="12"/>
        <v>285</v>
      </c>
      <c r="J128" vm="2760">
        <f t="shared" si="12"/>
        <v>34198</v>
      </c>
      <c r="K128" vm="2763">
        <f t="shared" si="12"/>
        <v>285</v>
      </c>
      <c r="L128" vm="2761">
        <f t="shared" si="12"/>
        <v>34198</v>
      </c>
    </row>
    <row r="129" spans="2:12" x14ac:dyDescent="0.3">
      <c r="B129" s="16" t="str" vm="349">
        <f>CUBEMEMBER("ThisWorkbookDataModel","[Table1].[goal].&amp;[3.3E4]")</f>
        <v>33000</v>
      </c>
      <c r="C129" vm="1918">
        <f t="shared" si="12"/>
        <v>0</v>
      </c>
      <c r="D129" vm="3339">
        <f t="shared" si="12"/>
        <v>0</v>
      </c>
      <c r="E129" vm="1919">
        <f t="shared" si="12"/>
        <v>37</v>
      </c>
      <c r="F129" vm="3341">
        <f t="shared" si="12"/>
        <v>5355</v>
      </c>
      <c r="G129" t="str" vm="1920">
        <f t="shared" si="12"/>
        <v/>
      </c>
      <c r="H129" t="str" vm="3336">
        <f t="shared" si="12"/>
        <v/>
      </c>
      <c r="I129" t="str" vm="1921">
        <f t="shared" si="12"/>
        <v/>
      </c>
      <c r="J129" t="str" vm="3337">
        <f t="shared" si="12"/>
        <v/>
      </c>
      <c r="K129" vm="3338">
        <f t="shared" si="12"/>
        <v>37</v>
      </c>
      <c r="L129" vm="3340">
        <f t="shared" si="12"/>
        <v>5355</v>
      </c>
    </row>
    <row r="130" spans="2:12" x14ac:dyDescent="0.3">
      <c r="B130" s="16" t="str" vm="125">
        <f>CUBEMEMBER("ThisWorkbookDataModel","[Table1].[goal].&amp;[3.2768E4]")</f>
        <v>32768</v>
      </c>
      <c r="C130" t="str" vm="1358">
        <f t="shared" si="12"/>
        <v/>
      </c>
      <c r="D130" t="str" vm="2270">
        <f t="shared" si="12"/>
        <v/>
      </c>
      <c r="E130" t="str" vm="1359">
        <f t="shared" si="12"/>
        <v/>
      </c>
      <c r="F130" t="str" vm="3051">
        <f t="shared" si="12"/>
        <v/>
      </c>
      <c r="G130" t="str" vm="1360">
        <f t="shared" si="12"/>
        <v/>
      </c>
      <c r="H130" t="str" vm="3055">
        <f t="shared" si="12"/>
        <v/>
      </c>
      <c r="I130" vm="1361">
        <f t="shared" si="12"/>
        <v>625</v>
      </c>
      <c r="J130" vm="3052">
        <f t="shared" si="12"/>
        <v>74134</v>
      </c>
      <c r="K130" vm="3053">
        <f t="shared" si="12"/>
        <v>625</v>
      </c>
      <c r="L130" vm="3054">
        <f t="shared" si="12"/>
        <v>74134</v>
      </c>
    </row>
    <row r="131" spans="2:12" x14ac:dyDescent="0.3">
      <c r="B131" s="16" t="str" vm="449">
        <f>CUBEMEMBER("ThisWorkbookDataModel","[Table1].[goal].&amp;[3.25E4]")</f>
        <v>32500</v>
      </c>
      <c r="C131" t="str" vm="1914">
        <f t="shared" si="12"/>
        <v/>
      </c>
      <c r="D131" t="str" vm="2410">
        <f t="shared" si="12"/>
        <v/>
      </c>
      <c r="E131" vm="1915">
        <f t="shared" si="12"/>
        <v>124</v>
      </c>
      <c r="F131" vm="2412">
        <f t="shared" si="12"/>
        <v>21158</v>
      </c>
      <c r="G131" t="str" vm="1916">
        <f t="shared" si="12"/>
        <v/>
      </c>
      <c r="H131" t="str" vm="2413">
        <f t="shared" si="12"/>
        <v/>
      </c>
      <c r="I131" t="str" vm="1917">
        <f t="shared" si="12"/>
        <v/>
      </c>
      <c r="J131" t="str" vm="2409">
        <f t="shared" si="12"/>
        <v/>
      </c>
      <c r="K131" vm="2408">
        <f t="shared" si="12"/>
        <v>124</v>
      </c>
      <c r="L131" vm="2411">
        <f t="shared" si="12"/>
        <v>21158</v>
      </c>
    </row>
    <row r="132" spans="2:12" x14ac:dyDescent="0.3">
      <c r="B132" s="16" t="str" vm="165">
        <f>CUBEMEMBER("ThisWorkbookDataModel","[Table1].[goal].&amp;[3.236E4]")</f>
        <v>32360</v>
      </c>
      <c r="C132" t="str" vm="1354">
        <f t="shared" si="12"/>
        <v/>
      </c>
      <c r="D132" t="str" vm="3957">
        <f t="shared" si="12"/>
        <v/>
      </c>
      <c r="E132" t="str" vm="1355">
        <f t="shared" si="12"/>
        <v/>
      </c>
      <c r="F132" t="str" vm="3958">
        <f t="shared" si="12"/>
        <v/>
      </c>
      <c r="G132" t="str" vm="1356">
        <f t="shared" si="12"/>
        <v/>
      </c>
      <c r="H132" t="str" vm="3959">
        <f t="shared" si="12"/>
        <v/>
      </c>
      <c r="I132" vm="1357">
        <f t="shared" si="12"/>
        <v>406</v>
      </c>
      <c r="J132" vm="3961">
        <f t="shared" si="12"/>
        <v>34090.629999999997</v>
      </c>
      <c r="K132" vm="3962">
        <f t="shared" si="12"/>
        <v>406</v>
      </c>
      <c r="L132" vm="3960">
        <f t="shared" si="12"/>
        <v>34090.629999999997</v>
      </c>
    </row>
    <row r="133" spans="2:12" x14ac:dyDescent="0.3">
      <c r="B133" s="16" t="str" vm="203">
        <f>CUBEMEMBER("ThisWorkbookDataModel","[Table1].[goal].&amp;[3.2E4]")</f>
        <v>32000</v>
      </c>
      <c r="C133" t="str" vm="1350">
        <f t="shared" si="12"/>
        <v/>
      </c>
      <c r="D133" t="str" vm="4146">
        <f t="shared" si="12"/>
        <v/>
      </c>
      <c r="E133" vm="1351">
        <f t="shared" si="12"/>
        <v>4</v>
      </c>
      <c r="F133" vm="4144">
        <f t="shared" si="12"/>
        <v>276</v>
      </c>
      <c r="G133" t="str" vm="1352">
        <f t="shared" si="12"/>
        <v/>
      </c>
      <c r="H133" t="str" vm="4145">
        <f t="shared" si="12"/>
        <v/>
      </c>
      <c r="I133" vm="1353">
        <f t="shared" si="12"/>
        <v>343</v>
      </c>
      <c r="J133" vm="4143">
        <f t="shared" si="12"/>
        <v>33229</v>
      </c>
      <c r="K133" vm="4142">
        <f t="shared" si="12"/>
        <v>347</v>
      </c>
      <c r="L133" vm="4147">
        <f t="shared" si="12"/>
        <v>33505</v>
      </c>
    </row>
    <row r="134" spans="2:12" x14ac:dyDescent="0.3">
      <c r="B134" s="16" t="str" vm="239">
        <f>CUBEMEMBER("ThisWorkbookDataModel","[Table1].[goal].&amp;[3.1E4]")</f>
        <v>31000</v>
      </c>
      <c r="C134" t="str" vm="1346">
        <f t="shared" si="12"/>
        <v/>
      </c>
      <c r="D134" t="str" vm="4360">
        <f t="shared" si="12"/>
        <v/>
      </c>
      <c r="E134" vm="1347">
        <f t="shared" si="12"/>
        <v>7</v>
      </c>
      <c r="F134" vm="4362">
        <f t="shared" si="12"/>
        <v>236</v>
      </c>
      <c r="G134" t="str" vm="1348">
        <f t="shared" si="12"/>
        <v/>
      </c>
      <c r="H134" t="str" vm="4357">
        <f t="shared" si="12"/>
        <v/>
      </c>
      <c r="I134" vm="1349">
        <f t="shared" si="12"/>
        <v>237</v>
      </c>
      <c r="J134" vm="4358">
        <f t="shared" si="12"/>
        <v>31820.5</v>
      </c>
      <c r="K134" vm="4361">
        <f t="shared" si="12"/>
        <v>244</v>
      </c>
      <c r="L134" vm="4359">
        <f t="shared" si="12"/>
        <v>32056.5</v>
      </c>
    </row>
    <row r="135" spans="2:12" x14ac:dyDescent="0.3">
      <c r="B135" s="16" t="str" vm="114">
        <f>CUBEMEMBER("ThisWorkbookDataModel","[Table1].[goal].&amp;[3.E4]")</f>
        <v>30000</v>
      </c>
      <c r="C135" vm="1342">
        <f t="shared" si="12"/>
        <v>296</v>
      </c>
      <c r="D135" vm="4577">
        <f t="shared" si="12"/>
        <v>34376.379999999997</v>
      </c>
      <c r="E135" vm="1343">
        <f t="shared" si="12"/>
        <v>431</v>
      </c>
      <c r="F135" vm="4578">
        <f t="shared" si="12"/>
        <v>57448</v>
      </c>
      <c r="G135" vm="1344">
        <f t="shared" si="12"/>
        <v>39</v>
      </c>
      <c r="H135" vm="4579">
        <f t="shared" si="12"/>
        <v>10052</v>
      </c>
      <c r="I135" vm="1345">
        <f t="shared" si="12"/>
        <v>43831</v>
      </c>
      <c r="J135" vm="4574">
        <f t="shared" si="12"/>
        <v>3715885.58</v>
      </c>
      <c r="K135" vm="4575">
        <f t="shared" si="12"/>
        <v>44597</v>
      </c>
      <c r="L135" vm="4576">
        <f t="shared" si="12"/>
        <v>3817761.96</v>
      </c>
    </row>
    <row r="136" spans="2:12" x14ac:dyDescent="0.3">
      <c r="B136" s="16" t="str" vm="372">
        <f>CUBEMEMBER("ThisWorkbookDataModel","[Table1].[goal].&amp;[2.9E4]")</f>
        <v>29000</v>
      </c>
      <c r="C136" t="str" vm="1910">
        <f t="shared" ref="C136:L145" si="13">CUBEVALUE("ThisWorkbookDataModel",$B136,C$5)</f>
        <v/>
      </c>
      <c r="D136" t="str" vm="3519">
        <f t="shared" si="13"/>
        <v/>
      </c>
      <c r="E136" vm="1911">
        <f t="shared" si="13"/>
        <v>19</v>
      </c>
      <c r="F136" vm="3520">
        <f t="shared" si="13"/>
        <v>1358</v>
      </c>
      <c r="G136" t="str" vm="1912">
        <f t="shared" si="13"/>
        <v/>
      </c>
      <c r="H136" t="str" vm="3523">
        <f t="shared" si="13"/>
        <v/>
      </c>
      <c r="I136" t="str" vm="1913">
        <f t="shared" si="13"/>
        <v/>
      </c>
      <c r="J136" t="str" vm="3524">
        <f t="shared" si="13"/>
        <v/>
      </c>
      <c r="K136" vm="3522">
        <f t="shared" si="13"/>
        <v>19</v>
      </c>
      <c r="L136" vm="3521">
        <f t="shared" si="13"/>
        <v>1358</v>
      </c>
    </row>
    <row r="137" spans="2:12" x14ac:dyDescent="0.3">
      <c r="B137" s="16" t="str" vm="8">
        <f>CUBEMEMBER("ThisWorkbookDataModel","[Table1].[goal].&amp;[2.8888E4]")</f>
        <v>28888</v>
      </c>
      <c r="C137" t="str" vm="1338">
        <f t="shared" si="13"/>
        <v/>
      </c>
      <c r="D137" t="str" vm="2519">
        <f t="shared" si="13"/>
        <v/>
      </c>
      <c r="E137" t="str" vm="1339">
        <f t="shared" si="13"/>
        <v/>
      </c>
      <c r="F137" t="str" vm="2521">
        <f t="shared" si="13"/>
        <v/>
      </c>
      <c r="G137" t="str" vm="1340">
        <f t="shared" si="13"/>
        <v/>
      </c>
      <c r="H137" t="str" vm="2516">
        <f t="shared" si="13"/>
        <v/>
      </c>
      <c r="I137" vm="1341">
        <f t="shared" si="13"/>
        <v>276</v>
      </c>
      <c r="J137" vm="2517">
        <f t="shared" si="13"/>
        <v>30177</v>
      </c>
      <c r="K137" vm="2518">
        <f t="shared" si="13"/>
        <v>276</v>
      </c>
      <c r="L137" vm="2520">
        <f t="shared" si="13"/>
        <v>30177</v>
      </c>
    </row>
    <row r="138" spans="2:12" x14ac:dyDescent="0.3">
      <c r="B138" s="16" t="str" vm="47">
        <f>CUBEMEMBER("ThisWorkbookDataModel","[Table1].[goal].&amp;[2.845E4]")</f>
        <v>28450</v>
      </c>
      <c r="C138" t="str" vm="1334">
        <f t="shared" si="13"/>
        <v/>
      </c>
      <c r="D138" t="str" vm="4774">
        <f t="shared" si="13"/>
        <v/>
      </c>
      <c r="E138" t="str" vm="1335">
        <f t="shared" si="13"/>
        <v/>
      </c>
      <c r="F138" t="str" vm="4776">
        <f t="shared" si="13"/>
        <v/>
      </c>
      <c r="G138" t="str" vm="1336">
        <f t="shared" si="13"/>
        <v/>
      </c>
      <c r="H138" t="str" vm="4777">
        <f t="shared" si="13"/>
        <v/>
      </c>
      <c r="I138" vm="1337">
        <f t="shared" si="13"/>
        <v>89</v>
      </c>
      <c r="J138" vm="4773">
        <f t="shared" si="13"/>
        <v>28520</v>
      </c>
      <c r="K138" vm="4772">
        <f t="shared" si="13"/>
        <v>89</v>
      </c>
      <c r="L138" vm="4775">
        <f t="shared" si="13"/>
        <v>28520</v>
      </c>
    </row>
    <row r="139" spans="2:12" x14ac:dyDescent="0.3">
      <c r="B139" s="16" t="str" vm="86">
        <f>CUBEMEMBER("ThisWorkbookDataModel","[Table1].[goal].&amp;[2.8E4]")</f>
        <v>28000</v>
      </c>
      <c r="C139" t="str" vm="1330">
        <f t="shared" si="13"/>
        <v/>
      </c>
      <c r="D139" t="str" vm="2765">
        <f t="shared" si="13"/>
        <v/>
      </c>
      <c r="E139" vm="1331">
        <f t="shared" si="13"/>
        <v>423</v>
      </c>
      <c r="F139" vm="2767">
        <f t="shared" si="13"/>
        <v>30724</v>
      </c>
      <c r="G139" t="str" vm="1332">
        <f t="shared" si="13"/>
        <v/>
      </c>
      <c r="H139" t="str" vm="2768">
        <f t="shared" si="13"/>
        <v/>
      </c>
      <c r="I139" vm="1333">
        <f t="shared" si="13"/>
        <v>194</v>
      </c>
      <c r="J139" vm="2769">
        <f t="shared" si="13"/>
        <v>28728</v>
      </c>
      <c r="K139" vm="2770">
        <f t="shared" si="13"/>
        <v>617</v>
      </c>
      <c r="L139" vm="2766">
        <f t="shared" si="13"/>
        <v>59452</v>
      </c>
    </row>
    <row r="140" spans="2:12" x14ac:dyDescent="0.3">
      <c r="B140" s="16" t="str" vm="126">
        <f>CUBEMEMBER("ThisWorkbookDataModel","[Table1].[goal].&amp;[2.78E4]")</f>
        <v>27800</v>
      </c>
      <c r="C140" t="str" vm="1326">
        <f t="shared" si="13"/>
        <v/>
      </c>
      <c r="D140" t="str" vm="3060">
        <f t="shared" si="13"/>
        <v/>
      </c>
      <c r="E140" t="str" vm="1327">
        <f t="shared" si="13"/>
        <v/>
      </c>
      <c r="F140" t="str" vm="3056">
        <f t="shared" si="13"/>
        <v/>
      </c>
      <c r="G140" t="str" vm="1328">
        <f t="shared" si="13"/>
        <v/>
      </c>
      <c r="H140" t="str" vm="3057">
        <f t="shared" si="13"/>
        <v/>
      </c>
      <c r="I140" vm="1329">
        <f t="shared" si="13"/>
        <v>499</v>
      </c>
      <c r="J140" vm="3058">
        <f t="shared" si="13"/>
        <v>32865.300000000003</v>
      </c>
      <c r="K140" vm="3059">
        <f t="shared" si="13"/>
        <v>499</v>
      </c>
      <c r="L140" vm="3061">
        <f t="shared" si="13"/>
        <v>32865.300000000003</v>
      </c>
    </row>
    <row r="141" spans="2:12" x14ac:dyDescent="0.3">
      <c r="B141" s="16" t="str" vm="387">
        <f>CUBEMEMBER("ThisWorkbookDataModel","[Table1].[goal].&amp;[2.75E4]")</f>
        <v>27500</v>
      </c>
      <c r="C141" t="str" vm="1906">
        <f t="shared" si="13"/>
        <v/>
      </c>
      <c r="D141" t="str" vm="2661">
        <f t="shared" si="13"/>
        <v/>
      </c>
      <c r="E141" vm="1907">
        <f t="shared" si="13"/>
        <v>12</v>
      </c>
      <c r="F141" vm="2657">
        <f t="shared" si="13"/>
        <v>1389</v>
      </c>
      <c r="G141" t="str" vm="1908">
        <f t="shared" si="13"/>
        <v/>
      </c>
      <c r="H141" t="str" vm="2658">
        <f t="shared" si="13"/>
        <v/>
      </c>
      <c r="I141" t="str" vm="1909">
        <f t="shared" si="13"/>
        <v/>
      </c>
      <c r="J141" t="str" vm="2660">
        <f t="shared" si="13"/>
        <v/>
      </c>
      <c r="K141" vm="2659">
        <f t="shared" si="13"/>
        <v>12</v>
      </c>
      <c r="L141" vm="2662">
        <f t="shared" si="13"/>
        <v>1389</v>
      </c>
    </row>
    <row r="142" spans="2:12" x14ac:dyDescent="0.3">
      <c r="B142" s="16" t="str" vm="166">
        <f>CUBEMEMBER("ThisWorkbookDataModel","[Table1].[goal].&amp;[2.7E4]")</f>
        <v>27000</v>
      </c>
      <c r="C142" vm="1322">
        <f t="shared" si="13"/>
        <v>0</v>
      </c>
      <c r="D142" vm="3399">
        <f t="shared" si="13"/>
        <v>0</v>
      </c>
      <c r="E142" vm="1323">
        <f t="shared" si="13"/>
        <v>30</v>
      </c>
      <c r="F142" vm="3401">
        <f t="shared" si="13"/>
        <v>5680</v>
      </c>
      <c r="G142" t="str" vm="1324">
        <f t="shared" si="13"/>
        <v/>
      </c>
      <c r="H142" t="str" vm="3396">
        <f t="shared" si="13"/>
        <v/>
      </c>
      <c r="I142" vm="1325">
        <f t="shared" si="13"/>
        <v>1097</v>
      </c>
      <c r="J142" vm="3397">
        <f t="shared" si="13"/>
        <v>86573.01</v>
      </c>
      <c r="K142" vm="3398">
        <f t="shared" si="13"/>
        <v>1127</v>
      </c>
      <c r="L142" vm="3400">
        <f t="shared" si="13"/>
        <v>92253.01</v>
      </c>
    </row>
    <row r="143" spans="2:12" x14ac:dyDescent="0.3">
      <c r="B143" s="16" t="str" vm="204">
        <f>CUBEMEMBER("ThisWorkbookDataModel","[Table1].[goal].&amp;[2.65E4]")</f>
        <v>26500</v>
      </c>
      <c r="C143" t="str" vm="1318">
        <f t="shared" si="13"/>
        <v/>
      </c>
      <c r="D143" t="str" vm="3581">
        <f t="shared" si="13"/>
        <v/>
      </c>
      <c r="E143" vm="1319">
        <f t="shared" si="13"/>
        <v>114</v>
      </c>
      <c r="F143" vm="3583">
        <f t="shared" si="13"/>
        <v>6633</v>
      </c>
      <c r="G143" t="str" vm="1320">
        <f t="shared" si="13"/>
        <v/>
      </c>
      <c r="H143" t="str" vm="3584">
        <f t="shared" si="13"/>
        <v/>
      </c>
      <c r="I143" vm="1321">
        <f t="shared" si="13"/>
        <v>183</v>
      </c>
      <c r="J143" vm="3580">
        <f t="shared" si="13"/>
        <v>27189</v>
      </c>
      <c r="K143" vm="3579">
        <f t="shared" si="13"/>
        <v>297</v>
      </c>
      <c r="L143" vm="3582">
        <f t="shared" si="13"/>
        <v>33822</v>
      </c>
    </row>
    <row r="144" spans="2:12" x14ac:dyDescent="0.3">
      <c r="B144" s="16" t="str" vm="240">
        <f>CUBEMEMBER("ThisWorkbookDataModel","[Table1].[goal].&amp;[2.6E4]")</f>
        <v>26000</v>
      </c>
      <c r="C144" t="str" vm="1314">
        <f t="shared" si="13"/>
        <v/>
      </c>
      <c r="D144" t="str" vm="3778">
        <f t="shared" si="13"/>
        <v/>
      </c>
      <c r="E144" vm="1315">
        <f t="shared" si="13"/>
        <v>27</v>
      </c>
      <c r="F144" vm="3780">
        <f t="shared" si="13"/>
        <v>2410</v>
      </c>
      <c r="G144" t="str" vm="1316">
        <f t="shared" si="13"/>
        <v/>
      </c>
      <c r="H144" t="str" vm="3781">
        <f t="shared" si="13"/>
        <v/>
      </c>
      <c r="I144" vm="1317">
        <f t="shared" si="13"/>
        <v>131</v>
      </c>
      <c r="J144" vm="3782">
        <f t="shared" si="13"/>
        <v>26360</v>
      </c>
      <c r="K144" vm="3783">
        <f t="shared" si="13"/>
        <v>158</v>
      </c>
      <c r="L144" vm="3779">
        <f t="shared" si="13"/>
        <v>28770</v>
      </c>
    </row>
    <row r="145" spans="2:12" x14ac:dyDescent="0.3">
      <c r="B145" s="16" t="str" vm="154">
        <f>CUBEMEMBER("ThisWorkbookDataModel","[Table1].[goal].&amp;[2.5E4]")</f>
        <v>25000</v>
      </c>
      <c r="C145" vm="1310">
        <f t="shared" si="13"/>
        <v>387</v>
      </c>
      <c r="D145" vm="3967">
        <f t="shared" si="13"/>
        <v>66112</v>
      </c>
      <c r="E145" vm="1311">
        <f t="shared" si="13"/>
        <v>747</v>
      </c>
      <c r="F145" vm="3963">
        <f t="shared" si="13"/>
        <v>56690.82</v>
      </c>
      <c r="G145" vm="1312">
        <f t="shared" si="13"/>
        <v>0</v>
      </c>
      <c r="H145" vm="3964">
        <f t="shared" si="13"/>
        <v>0</v>
      </c>
      <c r="I145" vm="1313">
        <f t="shared" si="13"/>
        <v>17936</v>
      </c>
      <c r="J145" vm="3965">
        <f t="shared" si="13"/>
        <v>1913803.45</v>
      </c>
      <c r="K145" vm="3966">
        <f t="shared" si="13"/>
        <v>19070</v>
      </c>
      <c r="L145" vm="3968">
        <f t="shared" si="13"/>
        <v>2036606.27</v>
      </c>
    </row>
    <row r="146" spans="2:12" x14ac:dyDescent="0.3">
      <c r="B146" s="16" t="str" vm="283">
        <f>CUBEMEMBER("ThisWorkbookDataModel","[Table1].[goal].&amp;[2.45E4]")</f>
        <v>24500</v>
      </c>
      <c r="C146" t="str" vm="1902">
        <f t="shared" ref="C146:L155" si="14">CUBEVALUE("ThisWorkbookDataModel",$B146,C$5)</f>
        <v/>
      </c>
      <c r="D146" t="str" vm="2952">
        <f t="shared" si="14"/>
        <v/>
      </c>
      <c r="E146" vm="1903">
        <f t="shared" si="14"/>
        <v>102</v>
      </c>
      <c r="F146" vm="2954">
        <f t="shared" si="14"/>
        <v>14426</v>
      </c>
      <c r="G146" t="str" vm="1904">
        <f t="shared" si="14"/>
        <v/>
      </c>
      <c r="H146" t="str" vm="2950">
        <f t="shared" si="14"/>
        <v/>
      </c>
      <c r="I146" t="str" vm="1905">
        <f t="shared" si="14"/>
        <v/>
      </c>
      <c r="J146" t="str" vm="2949">
        <f t="shared" si="14"/>
        <v/>
      </c>
      <c r="K146" vm="2951">
        <f t="shared" si="14"/>
        <v>102</v>
      </c>
      <c r="L146" vm="2953">
        <f t="shared" si="14"/>
        <v>14426</v>
      </c>
    </row>
    <row r="147" spans="2:12" x14ac:dyDescent="0.3">
      <c r="B147" s="16" t="str" vm="9">
        <f>CUBEMEMBER("ThisWorkbookDataModel","[Table1].[goal].&amp;[2.42E4]")</f>
        <v>24200</v>
      </c>
      <c r="C147" t="str" vm="1306">
        <f t="shared" si="14"/>
        <v/>
      </c>
      <c r="D147" t="str" vm="2525">
        <f t="shared" si="14"/>
        <v/>
      </c>
      <c r="E147" t="str" vm="1307">
        <f t="shared" si="14"/>
        <v/>
      </c>
      <c r="F147" t="str" vm="2527">
        <f t="shared" si="14"/>
        <v/>
      </c>
      <c r="G147" t="str" vm="1308">
        <f t="shared" si="14"/>
        <v/>
      </c>
      <c r="H147" t="str" vm="2522">
        <f t="shared" si="14"/>
        <v/>
      </c>
      <c r="I147" vm="1309">
        <f t="shared" si="14"/>
        <v>302</v>
      </c>
      <c r="J147" vm="2523">
        <f t="shared" si="14"/>
        <v>25375</v>
      </c>
      <c r="K147" vm="2524">
        <f t="shared" si="14"/>
        <v>302</v>
      </c>
      <c r="L147" vm="2526">
        <f t="shared" si="14"/>
        <v>25375</v>
      </c>
    </row>
    <row r="148" spans="2:12" x14ac:dyDescent="0.3">
      <c r="B148" s="16" t="str" vm="48">
        <f>CUBEMEMBER("ThisWorkbookDataModel","[Table1].[goal].&amp;[2.4E4]")</f>
        <v>24000</v>
      </c>
      <c r="C148" t="str" vm="1302">
        <f t="shared" si="14"/>
        <v/>
      </c>
      <c r="D148" t="str" vm="4150">
        <f t="shared" si="14"/>
        <v/>
      </c>
      <c r="E148" vm="1303">
        <f t="shared" si="14"/>
        <v>108</v>
      </c>
      <c r="F148" vm="4152">
        <f t="shared" si="14"/>
        <v>4853</v>
      </c>
      <c r="G148" t="str" vm="1304">
        <f t="shared" si="14"/>
        <v/>
      </c>
      <c r="H148" t="str" vm="4153">
        <f t="shared" si="14"/>
        <v/>
      </c>
      <c r="I148" vm="1305">
        <f t="shared" si="14"/>
        <v>686</v>
      </c>
      <c r="J148" vm="4149">
        <f t="shared" si="14"/>
        <v>58293.34</v>
      </c>
      <c r="K148" vm="4148">
        <f t="shared" si="14"/>
        <v>794</v>
      </c>
      <c r="L148" vm="4151">
        <f t="shared" si="14"/>
        <v>63146.34</v>
      </c>
    </row>
    <row r="149" spans="2:12" x14ac:dyDescent="0.3">
      <c r="B149" s="16" t="str" vm="397">
        <f>CUBEMEMBER("ThisWorkbookDataModel","[Table1].[goal].&amp;[2.39E4]")</f>
        <v>23900</v>
      </c>
      <c r="C149" t="str" vm="1898">
        <f t="shared" si="14"/>
        <v/>
      </c>
      <c r="D149" t="str" vm="3721">
        <f t="shared" si="14"/>
        <v/>
      </c>
      <c r="E149" vm="1899">
        <f t="shared" si="14"/>
        <v>94</v>
      </c>
      <c r="F149" vm="3722">
        <f t="shared" si="14"/>
        <v>6141.99</v>
      </c>
      <c r="G149" t="str" vm="1900">
        <f t="shared" si="14"/>
        <v/>
      </c>
      <c r="H149" t="str" vm="3723">
        <f t="shared" si="14"/>
        <v/>
      </c>
      <c r="I149" t="str" vm="1901">
        <f t="shared" si="14"/>
        <v/>
      </c>
      <c r="J149" t="str" vm="3718">
        <f t="shared" si="14"/>
        <v/>
      </c>
      <c r="K149" vm="3719">
        <f t="shared" si="14"/>
        <v>94</v>
      </c>
      <c r="L149" vm="3720">
        <f t="shared" si="14"/>
        <v>6141.99</v>
      </c>
    </row>
    <row r="150" spans="2:12" x14ac:dyDescent="0.3">
      <c r="B150" s="16" t="str" vm="87">
        <f>CUBEMEMBER("ThisWorkbookDataModel","[Table1].[goal].&amp;[2.3E4]")</f>
        <v>23000</v>
      </c>
      <c r="C150" t="str" vm="1298">
        <f t="shared" si="14"/>
        <v/>
      </c>
      <c r="D150" t="str" vm="2771">
        <f t="shared" si="14"/>
        <v/>
      </c>
      <c r="E150" vm="1299">
        <f t="shared" si="14"/>
        <v>73</v>
      </c>
      <c r="F150" vm="2773">
        <f t="shared" si="14"/>
        <v>12179</v>
      </c>
      <c r="G150" t="str" vm="1300">
        <f t="shared" si="14"/>
        <v/>
      </c>
      <c r="H150" t="str" vm="2774">
        <f t="shared" si="14"/>
        <v/>
      </c>
      <c r="I150" vm="1301">
        <f t="shared" si="14"/>
        <v>823</v>
      </c>
      <c r="J150" vm="2775">
        <f t="shared" si="14"/>
        <v>103164.6</v>
      </c>
      <c r="K150" vm="2776">
        <f t="shared" si="14"/>
        <v>896</v>
      </c>
      <c r="L150" vm="2772">
        <f t="shared" si="14"/>
        <v>115343.6</v>
      </c>
    </row>
    <row r="151" spans="2:12" x14ac:dyDescent="0.3">
      <c r="B151" s="16" t="str" vm="127">
        <f>CUBEMEMBER("ThisWorkbookDataModel","[Table1].[goal].&amp;[2.2765E4]")</f>
        <v>22765</v>
      </c>
      <c r="C151" t="str" vm="1294">
        <f t="shared" si="14"/>
        <v/>
      </c>
      <c r="D151" t="str" vm="3066">
        <f t="shared" si="14"/>
        <v/>
      </c>
      <c r="E151" t="str" vm="1295">
        <f t="shared" si="14"/>
        <v/>
      </c>
      <c r="F151" t="str" vm="3062">
        <f t="shared" si="14"/>
        <v/>
      </c>
      <c r="G151" t="str" vm="1296">
        <f t="shared" si="14"/>
        <v/>
      </c>
      <c r="H151" t="str" vm="3063">
        <f t="shared" si="14"/>
        <v/>
      </c>
      <c r="I151" vm="1297">
        <f t="shared" si="14"/>
        <v>577</v>
      </c>
      <c r="J151" vm="3064">
        <f t="shared" si="14"/>
        <v>32172.66</v>
      </c>
      <c r="K151" vm="3065">
        <f t="shared" si="14"/>
        <v>577</v>
      </c>
      <c r="L151" vm="3067">
        <f t="shared" si="14"/>
        <v>32172.66</v>
      </c>
    </row>
    <row r="152" spans="2:12" x14ac:dyDescent="0.3">
      <c r="B152" s="16" t="str" vm="305">
        <f>CUBEMEMBER("ThisWorkbookDataModel","[Table1].[goal].&amp;[2.25E4]")</f>
        <v>22500</v>
      </c>
      <c r="C152" t="str" vm="1894">
        <f t="shared" si="14"/>
        <v/>
      </c>
      <c r="D152" t="str" vm="3234">
        <f t="shared" si="14"/>
        <v/>
      </c>
      <c r="E152" vm="1895">
        <f t="shared" si="14"/>
        <v>123</v>
      </c>
      <c r="F152" vm="3235">
        <f t="shared" si="14"/>
        <v>8192</v>
      </c>
      <c r="G152" t="str" vm="1896">
        <f t="shared" si="14"/>
        <v/>
      </c>
      <c r="H152" t="str" vm="3238">
        <f t="shared" si="14"/>
        <v/>
      </c>
      <c r="I152" t="str" vm="1897">
        <f t="shared" si="14"/>
        <v/>
      </c>
      <c r="J152" t="str" vm="3239">
        <f t="shared" si="14"/>
        <v/>
      </c>
      <c r="K152" vm="3236">
        <f t="shared" si="14"/>
        <v>123</v>
      </c>
      <c r="L152" vm="3237">
        <f t="shared" si="14"/>
        <v>8192</v>
      </c>
    </row>
    <row r="153" spans="2:12" x14ac:dyDescent="0.3">
      <c r="B153" s="16" t="str" vm="167">
        <f>CUBEMEMBER("ThisWorkbookDataModel","[Table1].[goal].&amp;[2.24E4]")</f>
        <v>22400</v>
      </c>
      <c r="C153" t="str" vm="1290">
        <f t="shared" si="14"/>
        <v/>
      </c>
      <c r="D153" t="str" vm="4366">
        <f t="shared" si="14"/>
        <v/>
      </c>
      <c r="E153" t="str" vm="1291">
        <f t="shared" si="14"/>
        <v/>
      </c>
      <c r="F153" t="str" vm="4368">
        <f t="shared" si="14"/>
        <v/>
      </c>
      <c r="G153" t="str" vm="1292">
        <f t="shared" si="14"/>
        <v/>
      </c>
      <c r="H153" t="str" vm="4363">
        <f t="shared" si="14"/>
        <v/>
      </c>
      <c r="I153" vm="1293">
        <f t="shared" si="14"/>
        <v>104</v>
      </c>
      <c r="J153" vm="4364">
        <f t="shared" si="14"/>
        <v>22542</v>
      </c>
      <c r="K153" vm="4365">
        <f t="shared" si="14"/>
        <v>104</v>
      </c>
      <c r="L153" vm="4367">
        <f t="shared" si="14"/>
        <v>22542</v>
      </c>
    </row>
    <row r="154" spans="2:12" x14ac:dyDescent="0.3">
      <c r="B154" s="16" t="str" vm="205">
        <f>CUBEMEMBER("ThisWorkbookDataModel","[Table1].[goal].&amp;[2.2E4]")</f>
        <v>22000</v>
      </c>
      <c r="C154" vm="1286">
        <f t="shared" si="14"/>
        <v>1</v>
      </c>
      <c r="D154" vm="4582">
        <f t="shared" si="14"/>
        <v>10</v>
      </c>
      <c r="E154" vm="1287">
        <f t="shared" si="14"/>
        <v>56</v>
      </c>
      <c r="F154" vm="4584">
        <f t="shared" si="14"/>
        <v>6616</v>
      </c>
      <c r="G154" t="str" vm="1288">
        <f t="shared" si="14"/>
        <v/>
      </c>
      <c r="H154" t="str" vm="4585">
        <f t="shared" si="14"/>
        <v/>
      </c>
      <c r="I154" vm="1289">
        <f t="shared" si="14"/>
        <v>1851</v>
      </c>
      <c r="J154" vm="4581">
        <f t="shared" si="14"/>
        <v>155932</v>
      </c>
      <c r="K154" vm="4580">
        <f t="shared" si="14"/>
        <v>1908</v>
      </c>
      <c r="L154" vm="4583">
        <f t="shared" si="14"/>
        <v>162558</v>
      </c>
    </row>
    <row r="155" spans="2:12" x14ac:dyDescent="0.3">
      <c r="B155" s="16" t="str" vm="241">
        <f>CUBEMEMBER("ThisWorkbookDataModel","[Table1].[goal].&amp;[2.1E4]")</f>
        <v>21000</v>
      </c>
      <c r="C155" t="str" vm="1282">
        <f t="shared" si="14"/>
        <v/>
      </c>
      <c r="D155" t="str" vm="4778">
        <f t="shared" si="14"/>
        <v/>
      </c>
      <c r="E155" vm="1283">
        <f t="shared" si="14"/>
        <v>36</v>
      </c>
      <c r="F155" vm="4780">
        <f t="shared" si="14"/>
        <v>1655</v>
      </c>
      <c r="G155" t="str" vm="1284">
        <f t="shared" si="14"/>
        <v/>
      </c>
      <c r="H155" t="str" vm="4781">
        <f t="shared" si="14"/>
        <v/>
      </c>
      <c r="I155" vm="1285">
        <f t="shared" si="14"/>
        <v>1747</v>
      </c>
      <c r="J155" vm="4782">
        <f t="shared" si="14"/>
        <v>242150.01</v>
      </c>
      <c r="K155" vm="4783">
        <f t="shared" si="14"/>
        <v>1783</v>
      </c>
      <c r="L155" vm="4779">
        <f t="shared" si="14"/>
        <v>243805.01</v>
      </c>
    </row>
    <row r="156" spans="2:12" x14ac:dyDescent="0.3">
      <c r="B156" s="16" t="str" vm="268">
        <f>CUBEMEMBER("ThisWorkbookDataModel","[Table1].[goal].&amp;[2.E4]")</f>
        <v>20000</v>
      </c>
      <c r="C156" vm="1278">
        <f t="shared" ref="C156:L165" si="15">CUBEVALUE("ThisWorkbookDataModel",$B156,C$5)</f>
        <v>95</v>
      </c>
      <c r="D156" vm="3406">
        <f t="shared" si="15"/>
        <v>11357</v>
      </c>
      <c r="E156" vm="1279">
        <f t="shared" si="15"/>
        <v>971</v>
      </c>
      <c r="F156" vm="3402">
        <f t="shared" si="15"/>
        <v>66035.25</v>
      </c>
      <c r="G156" vm="1280">
        <f t="shared" si="15"/>
        <v>79</v>
      </c>
      <c r="H156" vm="3403">
        <f t="shared" si="15"/>
        <v>5212</v>
      </c>
      <c r="I156" vm="1281">
        <f t="shared" si="15"/>
        <v>19959</v>
      </c>
      <c r="J156" vm="3404">
        <f t="shared" si="15"/>
        <v>1905673.19</v>
      </c>
      <c r="K156" vm="3405">
        <f t="shared" si="15"/>
        <v>21104</v>
      </c>
      <c r="L156" vm="3407">
        <f t="shared" si="15"/>
        <v>1988277.44</v>
      </c>
    </row>
    <row r="157" spans="2:12" x14ac:dyDescent="0.3">
      <c r="B157" s="16" t="str" vm="327">
        <f>CUBEMEMBER("ThisWorkbookDataModel","[Table1].[goal].&amp;[1.998E4]")</f>
        <v>19980</v>
      </c>
      <c r="C157" t="str" vm="1890">
        <f t="shared" si="15"/>
        <v/>
      </c>
      <c r="D157" t="str" vm="3907">
        <f t="shared" si="15"/>
        <v/>
      </c>
      <c r="E157" vm="1891">
        <f t="shared" si="15"/>
        <v>0</v>
      </c>
      <c r="F157" vm="3903">
        <f t="shared" si="15"/>
        <v>0</v>
      </c>
      <c r="G157" t="str" vm="1892">
        <f t="shared" si="15"/>
        <v/>
      </c>
      <c r="H157" t="str" vm="3904">
        <f t="shared" si="15"/>
        <v/>
      </c>
      <c r="I157" t="str" vm="1893">
        <f t="shared" si="15"/>
        <v/>
      </c>
      <c r="J157" t="str" vm="3906">
        <f t="shared" si="15"/>
        <v/>
      </c>
      <c r="K157" vm="3905">
        <f t="shared" si="15"/>
        <v>0</v>
      </c>
      <c r="L157" vm="3908">
        <f t="shared" si="15"/>
        <v>0</v>
      </c>
    </row>
    <row r="158" spans="2:12" x14ac:dyDescent="0.3">
      <c r="B158" s="16" t="str" vm="10">
        <f>CUBEMEMBER("ThisWorkbookDataModel","[Table1].[goal].&amp;[1.98E4]")</f>
        <v>19800</v>
      </c>
      <c r="C158" t="str" vm="1274">
        <f t="shared" si="15"/>
        <v/>
      </c>
      <c r="D158" t="str" vm="2531">
        <f t="shared" si="15"/>
        <v/>
      </c>
      <c r="E158" t="str" vm="1275">
        <f t="shared" si="15"/>
        <v/>
      </c>
      <c r="F158" t="str" vm="2533">
        <f t="shared" si="15"/>
        <v/>
      </c>
      <c r="G158" t="str" vm="1276">
        <f t="shared" si="15"/>
        <v/>
      </c>
      <c r="H158" t="str" vm="2528">
        <f t="shared" si="15"/>
        <v/>
      </c>
      <c r="I158" vm="1277">
        <f t="shared" si="15"/>
        <v>191</v>
      </c>
      <c r="J158" vm="2529">
        <f t="shared" si="15"/>
        <v>22197</v>
      </c>
      <c r="K158" vm="2530">
        <f t="shared" si="15"/>
        <v>191</v>
      </c>
      <c r="L158" vm="2532">
        <f t="shared" si="15"/>
        <v>22197</v>
      </c>
    </row>
    <row r="159" spans="2:12" x14ac:dyDescent="0.3">
      <c r="B159" s="16" t="str" vm="49">
        <f>CUBEMEMBER("ThisWorkbookDataModel","[Table1].[goal].&amp;[1.95E4]")</f>
        <v>19500</v>
      </c>
      <c r="C159" t="str" vm="1270">
        <f t="shared" si="15"/>
        <v/>
      </c>
      <c r="D159" t="str" vm="3587">
        <f t="shared" si="15"/>
        <v/>
      </c>
      <c r="E159" vm="1271">
        <f t="shared" si="15"/>
        <v>27</v>
      </c>
      <c r="F159" vm="3589">
        <f t="shared" si="15"/>
        <v>3415</v>
      </c>
      <c r="G159" t="str" vm="1272">
        <f t="shared" si="15"/>
        <v/>
      </c>
      <c r="H159" t="str" vm="3590">
        <f t="shared" si="15"/>
        <v/>
      </c>
      <c r="I159" vm="1273">
        <f t="shared" si="15"/>
        <v>100</v>
      </c>
      <c r="J159" vm="3586">
        <f t="shared" si="15"/>
        <v>20631</v>
      </c>
      <c r="K159" vm="3585">
        <f t="shared" si="15"/>
        <v>127</v>
      </c>
      <c r="L159" vm="3588">
        <f t="shared" si="15"/>
        <v>24046</v>
      </c>
    </row>
    <row r="160" spans="2:12" x14ac:dyDescent="0.3">
      <c r="B160" s="16" t="str" vm="88">
        <f>CUBEMEMBER("ThisWorkbookDataModel","[Table1].[goal].&amp;[1.9E4]")</f>
        <v>19000</v>
      </c>
      <c r="C160" t="str" vm="1266">
        <f t="shared" si="15"/>
        <v/>
      </c>
      <c r="D160" t="str" vm="2777">
        <f t="shared" si="15"/>
        <v/>
      </c>
      <c r="E160" vm="1267">
        <f t="shared" si="15"/>
        <v>86</v>
      </c>
      <c r="F160" vm="2779">
        <f t="shared" si="15"/>
        <v>4190</v>
      </c>
      <c r="G160" vm="1268">
        <f t="shared" si="15"/>
        <v>7</v>
      </c>
      <c r="H160" vm="2780">
        <f t="shared" si="15"/>
        <v>1145</v>
      </c>
      <c r="I160" vm="1269">
        <f t="shared" si="15"/>
        <v>883</v>
      </c>
      <c r="J160" vm="2781">
        <f t="shared" si="15"/>
        <v>78313</v>
      </c>
      <c r="K160" vm="2782">
        <f t="shared" si="15"/>
        <v>976</v>
      </c>
      <c r="L160" vm="2778">
        <f t="shared" si="15"/>
        <v>83648</v>
      </c>
    </row>
    <row r="161" spans="2:12" x14ac:dyDescent="0.3">
      <c r="B161" s="16" t="str" vm="350">
        <f>CUBEMEMBER("ThisWorkbookDataModel","[Table1].[goal].&amp;[1.895E4]")</f>
        <v>18950</v>
      </c>
      <c r="C161" vm="1886">
        <f t="shared" si="15"/>
        <v>2</v>
      </c>
      <c r="D161" vm="4091">
        <f t="shared" si="15"/>
        <v>2</v>
      </c>
      <c r="E161" t="str" vm="1887">
        <f t="shared" si="15"/>
        <v/>
      </c>
      <c r="F161" t="str" vm="4093">
        <f t="shared" si="15"/>
        <v/>
      </c>
      <c r="G161" t="str" vm="1888">
        <f t="shared" si="15"/>
        <v/>
      </c>
      <c r="H161" t="str" vm="4089">
        <f t="shared" si="15"/>
        <v/>
      </c>
      <c r="I161" t="str" vm="1889">
        <f t="shared" si="15"/>
        <v/>
      </c>
      <c r="J161" t="str" vm="4088">
        <f t="shared" si="15"/>
        <v/>
      </c>
      <c r="K161" vm="4090">
        <f t="shared" si="15"/>
        <v>2</v>
      </c>
      <c r="L161" vm="4092">
        <f t="shared" si="15"/>
        <v>2</v>
      </c>
    </row>
    <row r="162" spans="2:12" x14ac:dyDescent="0.3">
      <c r="B162" s="16" t="str" vm="407">
        <f>CUBEMEMBER("ThisWorkbookDataModel","[Table1].[goal].&amp;[1.89E4]")</f>
        <v>18900</v>
      </c>
      <c r="C162" vm="1882">
        <f t="shared" si="15"/>
        <v>7</v>
      </c>
      <c r="D162" vm="2417">
        <f t="shared" si="15"/>
        <v>108</v>
      </c>
      <c r="E162" t="str" vm="1883">
        <f t="shared" si="15"/>
        <v/>
      </c>
      <c r="F162" t="str" vm="2418">
        <f t="shared" si="15"/>
        <v/>
      </c>
      <c r="G162" t="str" vm="1884">
        <f t="shared" si="15"/>
        <v/>
      </c>
      <c r="H162" t="str" vm="2419">
        <f t="shared" si="15"/>
        <v/>
      </c>
      <c r="I162" t="str" vm="1885">
        <f t="shared" si="15"/>
        <v/>
      </c>
      <c r="J162" t="str" vm="2414">
        <f t="shared" si="15"/>
        <v/>
      </c>
      <c r="K162" vm="2416">
        <f t="shared" si="15"/>
        <v>7</v>
      </c>
      <c r="L162" vm="2415">
        <f t="shared" si="15"/>
        <v>108</v>
      </c>
    </row>
    <row r="163" spans="2:12" x14ac:dyDescent="0.3">
      <c r="B163" s="16" t="str" vm="128">
        <f>CUBEMEMBER("ThisWorkbookDataModel","[Table1].[goal].&amp;[1.88E4]")</f>
        <v>18800</v>
      </c>
      <c r="C163" t="str" vm="1262">
        <f t="shared" si="15"/>
        <v/>
      </c>
      <c r="D163" t="str" vm="3072">
        <f t="shared" si="15"/>
        <v/>
      </c>
      <c r="E163" t="str" vm="1263">
        <f t="shared" si="15"/>
        <v/>
      </c>
      <c r="F163" t="str" vm="3068">
        <f t="shared" si="15"/>
        <v/>
      </c>
      <c r="G163" t="str" vm="1264">
        <f t="shared" si="15"/>
        <v/>
      </c>
      <c r="H163" t="str" vm="3069">
        <f t="shared" si="15"/>
        <v/>
      </c>
      <c r="I163" vm="1265">
        <f t="shared" si="15"/>
        <v>206</v>
      </c>
      <c r="J163" vm="3070">
        <f t="shared" si="15"/>
        <v>20426</v>
      </c>
      <c r="K163" vm="3071">
        <f t="shared" si="15"/>
        <v>206</v>
      </c>
      <c r="L163" vm="3073">
        <f t="shared" si="15"/>
        <v>20426</v>
      </c>
    </row>
    <row r="164" spans="2:12" x14ac:dyDescent="0.3">
      <c r="B164" s="16" t="str" vm="168">
        <f>CUBEMEMBER("ThisWorkbookDataModel","[Table1].[goal].&amp;[1.85E4]")</f>
        <v>18500</v>
      </c>
      <c r="C164" t="str" vm="1258">
        <f t="shared" si="15"/>
        <v/>
      </c>
      <c r="D164" t="str" vm="3787">
        <f t="shared" si="15"/>
        <v/>
      </c>
      <c r="E164" t="str" vm="1259">
        <f t="shared" si="15"/>
        <v/>
      </c>
      <c r="F164" t="str" vm="3789">
        <f t="shared" si="15"/>
        <v/>
      </c>
      <c r="G164" t="str" vm="1260">
        <f t="shared" si="15"/>
        <v/>
      </c>
      <c r="H164" t="str" vm="3784">
        <f t="shared" si="15"/>
        <v/>
      </c>
      <c r="I164" vm="1261">
        <f t="shared" si="15"/>
        <v>2571</v>
      </c>
      <c r="J164" vm="3785">
        <f t="shared" si="15"/>
        <v>200131.36</v>
      </c>
      <c r="K164" vm="3786">
        <f t="shared" si="15"/>
        <v>2571</v>
      </c>
      <c r="L164" vm="3788">
        <f t="shared" si="15"/>
        <v>200131.36</v>
      </c>
    </row>
    <row r="165" spans="2:12" x14ac:dyDescent="0.3">
      <c r="B165" s="16" t="str" vm="206">
        <f>CUBEMEMBER("ThisWorkbookDataModel","[Table1].[goal].&amp;[1.8E4]")</f>
        <v>18000</v>
      </c>
      <c r="C165" vm="1254">
        <f t="shared" si="15"/>
        <v>1</v>
      </c>
      <c r="D165" vm="3971">
        <f t="shared" si="15"/>
        <v>10</v>
      </c>
      <c r="E165" vm="1255">
        <f t="shared" si="15"/>
        <v>384</v>
      </c>
      <c r="F165" vm="3973">
        <f t="shared" si="15"/>
        <v>29501.01</v>
      </c>
      <c r="G165" t="str" vm="1256">
        <f t="shared" si="15"/>
        <v/>
      </c>
      <c r="H165" t="str" vm="3974">
        <f t="shared" si="15"/>
        <v/>
      </c>
      <c r="I165" vm="1257">
        <f t="shared" si="15"/>
        <v>2997</v>
      </c>
      <c r="J165" vm="3970">
        <f t="shared" si="15"/>
        <v>244432.42</v>
      </c>
      <c r="K165" vm="3969">
        <f t="shared" si="15"/>
        <v>3382</v>
      </c>
      <c r="L165" vm="3972">
        <f t="shared" si="15"/>
        <v>273943.43</v>
      </c>
    </row>
    <row r="166" spans="2:12" x14ac:dyDescent="0.3">
      <c r="B166" s="16" t="str" vm="373">
        <f>CUBEMEMBER("ThisWorkbookDataModel","[Table1].[goal].&amp;[1.76E4]")</f>
        <v>17600</v>
      </c>
      <c r="C166" t="str" vm="1878">
        <f t="shared" ref="C166:L175" si="16">CUBEVALUE("ThisWorkbookDataModel",$B166,C$5)</f>
        <v/>
      </c>
      <c r="D166" t="str" vm="4303">
        <f t="shared" si="16"/>
        <v/>
      </c>
      <c r="E166" vm="1879">
        <f t="shared" si="16"/>
        <v>0</v>
      </c>
      <c r="F166" vm="4305">
        <f t="shared" si="16"/>
        <v>0</v>
      </c>
      <c r="G166" t="str" vm="1880">
        <f t="shared" si="16"/>
        <v/>
      </c>
      <c r="H166" t="str" vm="4307">
        <f t="shared" si="16"/>
        <v/>
      </c>
      <c r="I166" t="str" vm="1881">
        <f t="shared" si="16"/>
        <v/>
      </c>
      <c r="J166" t="str" vm="4308">
        <f t="shared" si="16"/>
        <v/>
      </c>
      <c r="K166" vm="4304">
        <f t="shared" si="16"/>
        <v>0</v>
      </c>
      <c r="L166" vm="4306">
        <f t="shared" si="16"/>
        <v>0</v>
      </c>
    </row>
    <row r="167" spans="2:12" x14ac:dyDescent="0.3">
      <c r="B167" s="16" t="str" vm="242">
        <f>CUBEMEMBER("ThisWorkbookDataModel","[Table1].[goal].&amp;[1.75E4]")</f>
        <v>17500</v>
      </c>
      <c r="C167" t="str" vm="1250">
        <f t="shared" si="16"/>
        <v/>
      </c>
      <c r="D167" t="str" vm="4154">
        <f t="shared" si="16"/>
        <v/>
      </c>
      <c r="E167" vm="1251">
        <f t="shared" si="16"/>
        <v>78</v>
      </c>
      <c r="F167" vm="4156">
        <f t="shared" si="16"/>
        <v>5393</v>
      </c>
      <c r="G167" t="str" vm="1252">
        <f t="shared" si="16"/>
        <v/>
      </c>
      <c r="H167" t="str" vm="4157">
        <f t="shared" si="16"/>
        <v/>
      </c>
      <c r="I167" vm="1253">
        <f t="shared" si="16"/>
        <v>300</v>
      </c>
      <c r="J167" vm="4158">
        <f t="shared" si="16"/>
        <v>39737.22</v>
      </c>
      <c r="K167" vm="4159">
        <f t="shared" si="16"/>
        <v>378</v>
      </c>
      <c r="L167" vm="4155">
        <f t="shared" si="16"/>
        <v>45130.22</v>
      </c>
    </row>
    <row r="168" spans="2:12" x14ac:dyDescent="0.3">
      <c r="B168" s="16" t="str" vm="37">
        <f>CUBEMEMBER("ThisWorkbookDataModel","[Table1].[goal].&amp;[1.7482E4]")</f>
        <v>17482</v>
      </c>
      <c r="C168" t="str" vm="1246">
        <f t="shared" si="16"/>
        <v/>
      </c>
      <c r="D168" t="str" vm="4373">
        <f t="shared" si="16"/>
        <v/>
      </c>
      <c r="E168" t="str" vm="1247">
        <f t="shared" si="16"/>
        <v/>
      </c>
      <c r="F168" t="str" vm="4369">
        <f t="shared" si="16"/>
        <v/>
      </c>
      <c r="G168" t="str" vm="1248">
        <f t="shared" si="16"/>
        <v/>
      </c>
      <c r="H168" t="str" vm="4370">
        <f t="shared" si="16"/>
        <v/>
      </c>
      <c r="I168" vm="1249">
        <f t="shared" si="16"/>
        <v>78</v>
      </c>
      <c r="J168" vm="4371">
        <f t="shared" si="16"/>
        <v>17482</v>
      </c>
      <c r="K168" vm="4372">
        <f t="shared" si="16"/>
        <v>78</v>
      </c>
      <c r="L168" vm="4374">
        <f t="shared" si="16"/>
        <v>17482</v>
      </c>
    </row>
    <row r="169" spans="2:12" x14ac:dyDescent="0.3">
      <c r="B169" s="16" t="str" vm="419">
        <f>CUBEMEMBER("ThisWorkbookDataModel","[Table1].[goal].&amp;[1.71E4]")</f>
        <v>17100</v>
      </c>
      <c r="C169" t="str" vm="1874">
        <f t="shared" si="16"/>
        <v/>
      </c>
      <c r="D169" t="str" vm="2667">
        <f t="shared" si="16"/>
        <v/>
      </c>
      <c r="E169" vm="1875">
        <f t="shared" si="16"/>
        <v>59</v>
      </c>
      <c r="F169" vm="2663">
        <f t="shared" si="16"/>
        <v>8725</v>
      </c>
      <c r="G169" t="str" vm="1876">
        <f t="shared" si="16"/>
        <v/>
      </c>
      <c r="H169" t="str" vm="2664">
        <f t="shared" si="16"/>
        <v/>
      </c>
      <c r="I169" t="str" vm="1877">
        <f t="shared" si="16"/>
        <v/>
      </c>
      <c r="J169" t="str" vm="2666">
        <f t="shared" si="16"/>
        <v/>
      </c>
      <c r="K169" vm="2665">
        <f t="shared" si="16"/>
        <v>59</v>
      </c>
      <c r="L169" vm="2668">
        <f t="shared" si="16"/>
        <v>8725</v>
      </c>
    </row>
    <row r="170" spans="2:12" x14ac:dyDescent="0.3">
      <c r="B170" s="16" t="str" vm="11">
        <f>CUBEMEMBER("ThisWorkbookDataModel","[Table1].[goal].&amp;[1.7E4]")</f>
        <v>17000</v>
      </c>
      <c r="C170" t="str" vm="1242">
        <f t="shared" si="16"/>
        <v/>
      </c>
      <c r="D170" t="str" vm="2537">
        <f t="shared" si="16"/>
        <v/>
      </c>
      <c r="E170" vm="1243">
        <f t="shared" si="16"/>
        <v>192</v>
      </c>
      <c r="F170" vm="2539">
        <f t="shared" si="16"/>
        <v>17478</v>
      </c>
      <c r="G170" t="str" vm="1244">
        <f t="shared" si="16"/>
        <v/>
      </c>
      <c r="H170" t="str" vm="2534">
        <f t="shared" si="16"/>
        <v/>
      </c>
      <c r="I170" vm="1245">
        <f t="shared" si="16"/>
        <v>643</v>
      </c>
      <c r="J170" vm="2535">
        <f t="shared" si="16"/>
        <v>63021.11</v>
      </c>
      <c r="K170" vm="2536">
        <f t="shared" si="16"/>
        <v>835</v>
      </c>
      <c r="L170" vm="2538">
        <f t="shared" si="16"/>
        <v>80499.11</v>
      </c>
    </row>
    <row r="171" spans="2:12" x14ac:dyDescent="0.3">
      <c r="B171" s="16" t="str" vm="284">
        <f>CUBEMEMBER("ThisWorkbookDataModel","[Table1].[goal].&amp;[1.687E4]")</f>
        <v>16870</v>
      </c>
      <c r="C171" t="str" vm="1870">
        <f t="shared" si="16"/>
        <v/>
      </c>
      <c r="D171" t="str" vm="2958">
        <f t="shared" si="16"/>
        <v/>
      </c>
      <c r="E171" vm="1871">
        <f t="shared" si="16"/>
        <v>36</v>
      </c>
      <c r="F171" vm="2960">
        <f t="shared" si="16"/>
        <v>2501</v>
      </c>
      <c r="G171" t="str" vm="1872">
        <f t="shared" si="16"/>
        <v/>
      </c>
      <c r="H171" t="str" vm="2956">
        <f t="shared" si="16"/>
        <v/>
      </c>
      <c r="I171" t="str" vm="1873">
        <f t="shared" si="16"/>
        <v/>
      </c>
      <c r="J171" t="str" vm="2955">
        <f t="shared" si="16"/>
        <v/>
      </c>
      <c r="K171" vm="2957">
        <f t="shared" si="16"/>
        <v>36</v>
      </c>
      <c r="L171" vm="2959">
        <f t="shared" si="16"/>
        <v>2501</v>
      </c>
    </row>
    <row r="172" spans="2:12" x14ac:dyDescent="0.3">
      <c r="B172" s="16" t="str" vm="50">
        <f>CUBEMEMBER("ThisWorkbookDataModel","[Table1].[goal].&amp;[1.67E4]")</f>
        <v>16700</v>
      </c>
      <c r="C172" t="str" vm="1238">
        <f t="shared" si="16"/>
        <v/>
      </c>
      <c r="D172" t="str" vm="4588">
        <f t="shared" si="16"/>
        <v/>
      </c>
      <c r="E172" t="str" vm="1239">
        <f t="shared" si="16"/>
        <v/>
      </c>
      <c r="F172" t="str" vm="4590">
        <f t="shared" si="16"/>
        <v/>
      </c>
      <c r="G172" t="str" vm="1240">
        <f t="shared" si="16"/>
        <v/>
      </c>
      <c r="H172" t="str" vm="4591">
        <f t="shared" si="16"/>
        <v/>
      </c>
      <c r="I172" vm="1241">
        <f t="shared" si="16"/>
        <v>141</v>
      </c>
      <c r="J172" vm="4587">
        <f t="shared" si="16"/>
        <v>17396</v>
      </c>
      <c r="K172" vm="4586">
        <f t="shared" si="16"/>
        <v>141</v>
      </c>
      <c r="L172" vm="4589">
        <f t="shared" si="16"/>
        <v>17396</v>
      </c>
    </row>
    <row r="173" spans="2:12" x14ac:dyDescent="0.3">
      <c r="B173" s="16" t="str" vm="429">
        <f>CUBEMEMBER("ThisWorkbookDataModel","[Table1].[goal].&amp;[1.65E4]")</f>
        <v>16500</v>
      </c>
      <c r="C173" t="str" vm="1866">
        <f t="shared" si="16"/>
        <v/>
      </c>
      <c r="D173" t="str" vm="4523">
        <f t="shared" si="16"/>
        <v/>
      </c>
      <c r="E173" vm="1867">
        <f t="shared" si="16"/>
        <v>1</v>
      </c>
      <c r="F173" vm="4524">
        <f t="shared" si="16"/>
        <v>1</v>
      </c>
      <c r="G173" vm="1868">
        <f t="shared" si="16"/>
        <v>8</v>
      </c>
      <c r="H173" vm="4525">
        <f t="shared" si="16"/>
        <v>1739</v>
      </c>
      <c r="I173" t="str" vm="1869">
        <f t="shared" si="16"/>
        <v/>
      </c>
      <c r="J173" t="str" vm="4520">
        <f t="shared" si="16"/>
        <v/>
      </c>
      <c r="K173" vm="4521">
        <f t="shared" si="16"/>
        <v>9</v>
      </c>
      <c r="L173" vm="4522">
        <f t="shared" si="16"/>
        <v>1740</v>
      </c>
    </row>
    <row r="174" spans="2:12" x14ac:dyDescent="0.3">
      <c r="B174" s="16" t="str" vm="89">
        <f>CUBEMEMBER("ThisWorkbookDataModel","[Table1].[goal].&amp;[1.635E4]")</f>
        <v>16350</v>
      </c>
      <c r="C174" t="str" vm="1234">
        <f t="shared" si="16"/>
        <v/>
      </c>
      <c r="D174" t="str" vm="2783">
        <f t="shared" si="16"/>
        <v/>
      </c>
      <c r="E174" t="str" vm="1235">
        <f t="shared" si="16"/>
        <v/>
      </c>
      <c r="F174" t="str" vm="2785">
        <f t="shared" si="16"/>
        <v/>
      </c>
      <c r="G174" t="str" vm="1236">
        <f t="shared" si="16"/>
        <v/>
      </c>
      <c r="H174" t="str" vm="2786">
        <f t="shared" si="16"/>
        <v/>
      </c>
      <c r="I174" vm="1237">
        <f t="shared" si="16"/>
        <v>253</v>
      </c>
      <c r="J174" vm="2787">
        <f t="shared" si="16"/>
        <v>26024</v>
      </c>
      <c r="K174" vm="2788">
        <f t="shared" si="16"/>
        <v>253</v>
      </c>
      <c r="L174" vm="2784">
        <f t="shared" si="16"/>
        <v>26024</v>
      </c>
    </row>
    <row r="175" spans="2:12" x14ac:dyDescent="0.3">
      <c r="B175" s="16" t="str" vm="129">
        <f>CUBEMEMBER("ThisWorkbookDataModel","[Table1].[goal].&amp;[1.63E4]")</f>
        <v>16300</v>
      </c>
      <c r="C175" t="str" vm="1230">
        <f t="shared" si="16"/>
        <v/>
      </c>
      <c r="D175" t="str" vm="3078">
        <f t="shared" si="16"/>
        <v/>
      </c>
      <c r="E175" t="str" vm="1231">
        <f t="shared" si="16"/>
        <v/>
      </c>
      <c r="F175" t="str" vm="3074">
        <f t="shared" si="16"/>
        <v/>
      </c>
      <c r="G175" t="str" vm="1232">
        <f t="shared" si="16"/>
        <v/>
      </c>
      <c r="H175" t="str" vm="3075">
        <f t="shared" si="16"/>
        <v/>
      </c>
      <c r="I175" vm="1233">
        <f t="shared" si="16"/>
        <v>101</v>
      </c>
      <c r="J175" vm="3076">
        <f t="shared" si="16"/>
        <v>16700</v>
      </c>
      <c r="K175" vm="3077">
        <f t="shared" si="16"/>
        <v>101</v>
      </c>
      <c r="L175" vm="3079">
        <f t="shared" si="16"/>
        <v>16700</v>
      </c>
    </row>
    <row r="176" spans="2:12" x14ac:dyDescent="0.3">
      <c r="B176" s="16" t="str" vm="169">
        <f>CUBEMEMBER("ThisWorkbookDataModel","[Table1].[goal].&amp;[1.6E4]")</f>
        <v>16000</v>
      </c>
      <c r="C176" vm="1226">
        <f t="shared" ref="C176:L185" si="17">CUBEVALUE("ThisWorkbookDataModel",$B176,C$5)</f>
        <v>1</v>
      </c>
      <c r="D176" vm="4787">
        <f t="shared" si="17"/>
        <v>30</v>
      </c>
      <c r="E176" vm="1227">
        <f t="shared" si="17"/>
        <v>172</v>
      </c>
      <c r="F176" vm="4789">
        <f t="shared" si="17"/>
        <v>10706</v>
      </c>
      <c r="G176" t="str" vm="1228">
        <f t="shared" si="17"/>
        <v/>
      </c>
      <c r="H176" t="str" vm="4784">
        <f t="shared" si="17"/>
        <v/>
      </c>
      <c r="I176" vm="1229">
        <f t="shared" si="17"/>
        <v>1442</v>
      </c>
      <c r="J176" vm="4785">
        <f t="shared" si="17"/>
        <v>100562.31</v>
      </c>
      <c r="K176" vm="4786">
        <f t="shared" si="17"/>
        <v>1615</v>
      </c>
      <c r="L176" vm="4788">
        <f t="shared" si="17"/>
        <v>111298.31</v>
      </c>
    </row>
    <row r="177" spans="2:12" x14ac:dyDescent="0.3">
      <c r="B177" s="16" t="str" vm="207">
        <f>CUBEMEMBER("ThisWorkbookDataModel","[Table1].[goal].&amp;[1.55E4]")</f>
        <v>15500</v>
      </c>
      <c r="C177" t="str" vm="1222">
        <f t="shared" si="17"/>
        <v/>
      </c>
      <c r="D177" t="str" vm="3410">
        <f t="shared" si="17"/>
        <v/>
      </c>
      <c r="E177" vm="1223">
        <f t="shared" si="17"/>
        <v>52</v>
      </c>
      <c r="F177" vm="3412">
        <f t="shared" si="17"/>
        <v>5452</v>
      </c>
      <c r="G177" t="str" vm="1224">
        <f t="shared" si="17"/>
        <v/>
      </c>
      <c r="H177" t="str" vm="3413">
        <f t="shared" si="17"/>
        <v/>
      </c>
      <c r="I177" vm="1225">
        <f t="shared" si="17"/>
        <v>286</v>
      </c>
      <c r="J177" vm="3409">
        <f t="shared" si="17"/>
        <v>15705</v>
      </c>
      <c r="K177" vm="3408">
        <f t="shared" si="17"/>
        <v>338</v>
      </c>
      <c r="L177" vm="3411">
        <f t="shared" si="17"/>
        <v>21157</v>
      </c>
    </row>
    <row r="178" spans="2:12" x14ac:dyDescent="0.3">
      <c r="B178" s="16" t="str" vm="243">
        <f>CUBEMEMBER("ThisWorkbookDataModel","[Table1].[goal].&amp;[1.5E4]")</f>
        <v>15000</v>
      </c>
      <c r="C178" vm="1218">
        <f t="shared" si="17"/>
        <v>135</v>
      </c>
      <c r="D178" vm="3591">
        <f t="shared" si="17"/>
        <v>8259.02</v>
      </c>
      <c r="E178" vm="1219">
        <f t="shared" si="17"/>
        <v>876</v>
      </c>
      <c r="F178" vm="3593">
        <f t="shared" si="17"/>
        <v>65210.77</v>
      </c>
      <c r="G178" vm="1220">
        <f t="shared" si="17"/>
        <v>118</v>
      </c>
      <c r="H178" vm="3594">
        <f t="shared" si="17"/>
        <v>16399</v>
      </c>
      <c r="I178" vm="1221">
        <f t="shared" si="17"/>
        <v>12168</v>
      </c>
      <c r="J178" vm="3595">
        <f t="shared" si="17"/>
        <v>1103429.7</v>
      </c>
      <c r="K178" vm="3596">
        <f t="shared" si="17"/>
        <v>13297</v>
      </c>
      <c r="L178" vm="3592">
        <f t="shared" si="17"/>
        <v>1193298.49</v>
      </c>
    </row>
    <row r="179" spans="2:12" x14ac:dyDescent="0.3">
      <c r="B179" s="16" t="str" vm="306">
        <f>CUBEMEMBER("ThisWorkbookDataModel","[Table1].[goal].&amp;[1.492E4]")</f>
        <v>14920</v>
      </c>
      <c r="C179" t="str" vm="1862">
        <f t="shared" si="17"/>
        <v/>
      </c>
      <c r="D179" t="str" vm="3243">
        <f t="shared" si="17"/>
        <v/>
      </c>
      <c r="E179" vm="1863">
        <f t="shared" si="17"/>
        <v>1</v>
      </c>
      <c r="F179" vm="3240">
        <f t="shared" si="17"/>
        <v>50</v>
      </c>
      <c r="G179" t="str" vm="1864">
        <f t="shared" si="17"/>
        <v/>
      </c>
      <c r="H179" t="str" vm="3244">
        <f t="shared" si="17"/>
        <v/>
      </c>
      <c r="I179" t="str" vm="1865">
        <f t="shared" si="17"/>
        <v/>
      </c>
      <c r="J179" t="str" vm="3245">
        <f t="shared" si="17"/>
        <v/>
      </c>
      <c r="K179" vm="3242">
        <f t="shared" si="17"/>
        <v>1</v>
      </c>
      <c r="L179" vm="3241">
        <f t="shared" si="17"/>
        <v>50</v>
      </c>
    </row>
    <row r="180" spans="2:12" x14ac:dyDescent="0.3">
      <c r="B180" s="16" t="str" vm="76">
        <f>CUBEMEMBER("ThisWorkbookDataModel","[Table1].[goal].&amp;[1.45E4]")</f>
        <v>14500</v>
      </c>
      <c r="C180" t="str" vm="1214">
        <f t="shared" si="17"/>
        <v/>
      </c>
      <c r="D180" t="str" vm="3794">
        <f t="shared" si="17"/>
        <v/>
      </c>
      <c r="E180" vm="1215">
        <f t="shared" si="17"/>
        <v>33</v>
      </c>
      <c r="F180" vm="3790">
        <f t="shared" si="17"/>
        <v>1816</v>
      </c>
      <c r="G180" t="str" vm="1216">
        <f t="shared" si="17"/>
        <v/>
      </c>
      <c r="H180" t="str" vm="3791">
        <f t="shared" si="17"/>
        <v/>
      </c>
      <c r="I180" vm="1217">
        <f t="shared" si="17"/>
        <v>691</v>
      </c>
      <c r="J180" vm="3792">
        <f t="shared" si="17"/>
        <v>57012</v>
      </c>
      <c r="K180" vm="3793">
        <f t="shared" si="17"/>
        <v>724</v>
      </c>
      <c r="L180" vm="3795">
        <f t="shared" si="17"/>
        <v>58828</v>
      </c>
    </row>
    <row r="181" spans="2:12" x14ac:dyDescent="0.3">
      <c r="B181" s="16" t="str" vm="328">
        <f>CUBEMEMBER("ThisWorkbookDataModel","[Table1].[goal].&amp;[1.444E4]")</f>
        <v>14440</v>
      </c>
      <c r="C181" t="str" vm="1858">
        <f t="shared" si="17"/>
        <v/>
      </c>
      <c r="D181" t="str" vm="4722">
        <f t="shared" si="17"/>
        <v/>
      </c>
      <c r="E181" vm="1859">
        <f t="shared" si="17"/>
        <v>26</v>
      </c>
      <c r="F181" vm="4719">
        <f t="shared" si="17"/>
        <v>2030</v>
      </c>
      <c r="G181" t="str" vm="1860">
        <f t="shared" si="17"/>
        <v/>
      </c>
      <c r="H181" t="str" vm="4718">
        <f t="shared" si="17"/>
        <v/>
      </c>
      <c r="I181" t="str" vm="1861">
        <f t="shared" si="17"/>
        <v/>
      </c>
      <c r="J181" t="str" vm="4721">
        <f t="shared" si="17"/>
        <v/>
      </c>
      <c r="K181" vm="4720">
        <f t="shared" si="17"/>
        <v>26</v>
      </c>
      <c r="L181" vm="4723">
        <f t="shared" si="17"/>
        <v>2030</v>
      </c>
    </row>
    <row r="182" spans="2:12" x14ac:dyDescent="0.3">
      <c r="B182" s="16" t="str" vm="12">
        <f>CUBEMEMBER("ThisWorkbookDataModel","[Table1].[goal].&amp;[1.4E4]")</f>
        <v>14000</v>
      </c>
      <c r="C182" vm="1210">
        <f t="shared" si="17"/>
        <v>0</v>
      </c>
      <c r="D182" vm="2543">
        <f t="shared" si="17"/>
        <v>0</v>
      </c>
      <c r="E182" vm="1211">
        <f t="shared" si="17"/>
        <v>161</v>
      </c>
      <c r="F182" vm="2545">
        <f t="shared" si="17"/>
        <v>8900</v>
      </c>
      <c r="G182" t="str" vm="1212">
        <f t="shared" si="17"/>
        <v/>
      </c>
      <c r="H182" t="str" vm="2540">
        <f t="shared" si="17"/>
        <v/>
      </c>
      <c r="I182" vm="1213">
        <f t="shared" si="17"/>
        <v>1578</v>
      </c>
      <c r="J182" vm="2541">
        <f t="shared" si="17"/>
        <v>119531.51</v>
      </c>
      <c r="K182" vm="2542">
        <f t="shared" si="17"/>
        <v>1739</v>
      </c>
      <c r="L182" vm="2544">
        <f t="shared" si="17"/>
        <v>128431.51</v>
      </c>
    </row>
    <row r="183" spans="2:12" x14ac:dyDescent="0.3">
      <c r="B183" s="16" t="str" vm="351">
        <f>CUBEMEMBER("ThisWorkbookDataModel","[Table1].[goal].&amp;[1.3803E4]")</f>
        <v>13803</v>
      </c>
      <c r="C183" vm="1854">
        <f t="shared" si="17"/>
        <v>0</v>
      </c>
      <c r="D183" vm="3345">
        <f t="shared" si="17"/>
        <v>0</v>
      </c>
      <c r="E183" t="str" vm="1855">
        <f t="shared" si="17"/>
        <v/>
      </c>
      <c r="F183" t="str" vm="3347">
        <f t="shared" si="17"/>
        <v/>
      </c>
      <c r="G183" t="str" vm="1856">
        <f t="shared" si="17"/>
        <v/>
      </c>
      <c r="H183" t="str" vm="3342">
        <f t="shared" si="17"/>
        <v/>
      </c>
      <c r="I183" t="str" vm="1857">
        <f t="shared" si="17"/>
        <v/>
      </c>
      <c r="J183" t="str" vm="3343">
        <f t="shared" si="17"/>
        <v/>
      </c>
      <c r="K183" vm="3344">
        <f t="shared" si="17"/>
        <v>0</v>
      </c>
      <c r="L183" vm="3346">
        <f t="shared" si="17"/>
        <v>0</v>
      </c>
    </row>
    <row r="184" spans="2:12" x14ac:dyDescent="0.3">
      <c r="B184" s="16" t="str" vm="439">
        <f>CUBEMEMBER("ThisWorkbookDataModel","[Table1].[goal].&amp;[1.35E4]")</f>
        <v>13500</v>
      </c>
      <c r="C184" t="str" vm="1850">
        <f t="shared" si="17"/>
        <v/>
      </c>
      <c r="D184" t="str" vm="2423">
        <f t="shared" si="17"/>
        <v/>
      </c>
      <c r="E184" vm="1851">
        <f t="shared" si="17"/>
        <v>2</v>
      </c>
      <c r="F184" vm="2424">
        <f t="shared" si="17"/>
        <v>200</v>
      </c>
      <c r="G184" t="str" vm="1852">
        <f t="shared" si="17"/>
        <v/>
      </c>
      <c r="H184" t="str" vm="2425">
        <f t="shared" si="17"/>
        <v/>
      </c>
      <c r="I184" t="str" vm="1853">
        <f t="shared" si="17"/>
        <v/>
      </c>
      <c r="J184" t="str" vm="2420">
        <f t="shared" si="17"/>
        <v/>
      </c>
      <c r="K184" vm="2421">
        <f t="shared" si="17"/>
        <v>2</v>
      </c>
      <c r="L184" vm="2422">
        <f t="shared" si="17"/>
        <v>200</v>
      </c>
    </row>
    <row r="185" spans="2:12" x14ac:dyDescent="0.3">
      <c r="B185" s="16" t="str" vm="374">
        <f>CUBEMEMBER("ThisWorkbookDataModel","[Table1].[goal].&amp;[1.3111E4]")</f>
        <v>13111</v>
      </c>
      <c r="C185" vm="1846">
        <f t="shared" si="17"/>
        <v>15</v>
      </c>
      <c r="D185" vm="3528">
        <f t="shared" si="17"/>
        <v>452</v>
      </c>
      <c r="E185" t="str" vm="1847">
        <f t="shared" si="17"/>
        <v/>
      </c>
      <c r="F185" t="str" vm="3525">
        <f t="shared" si="17"/>
        <v/>
      </c>
      <c r="G185" t="str" vm="1848">
        <f t="shared" si="17"/>
        <v/>
      </c>
      <c r="H185" t="str" vm="3529">
        <f t="shared" si="17"/>
        <v/>
      </c>
      <c r="I185" t="str" vm="1849">
        <f t="shared" si="17"/>
        <v/>
      </c>
      <c r="J185" t="str" vm="3530">
        <f t="shared" si="17"/>
        <v/>
      </c>
      <c r="K185" vm="3526">
        <f t="shared" si="17"/>
        <v>15</v>
      </c>
      <c r="L185" vm="3527">
        <f t="shared" si="17"/>
        <v>452</v>
      </c>
    </row>
    <row r="186" spans="2:12" x14ac:dyDescent="0.3">
      <c r="B186" s="16" t="str" vm="51">
        <f>CUBEMEMBER("ThisWorkbookDataModel","[Table1].[goal].&amp;[1.3E4]")</f>
        <v>13000</v>
      </c>
      <c r="C186" vm="1206">
        <f t="shared" ref="C186:L195" si="18">CUBEVALUE("ThisWorkbookDataModel",$B186,C$5)</f>
        <v>0</v>
      </c>
      <c r="D186" vm="3977">
        <f t="shared" si="18"/>
        <v>0</v>
      </c>
      <c r="E186" vm="1207">
        <f t="shared" si="18"/>
        <v>44</v>
      </c>
      <c r="F186" vm="3979">
        <f t="shared" si="18"/>
        <v>2130</v>
      </c>
      <c r="G186" t="str" vm="1208">
        <f t="shared" si="18"/>
        <v/>
      </c>
      <c r="H186" t="str" vm="3980">
        <f t="shared" si="18"/>
        <v/>
      </c>
      <c r="I186" vm="1209">
        <f t="shared" si="18"/>
        <v>1647</v>
      </c>
      <c r="J186" vm="3976">
        <f t="shared" si="18"/>
        <v>156060.85</v>
      </c>
      <c r="K186" vm="3975">
        <f t="shared" si="18"/>
        <v>1691</v>
      </c>
      <c r="L186" vm="3978">
        <f t="shared" si="18"/>
        <v>158190.85</v>
      </c>
    </row>
    <row r="187" spans="2:12" x14ac:dyDescent="0.3">
      <c r="B187" s="16" t="str" vm="424">
        <f>CUBEMEMBER("ThisWorkbookDataModel","[Table1].[goal].&amp;[1.2999E4]")</f>
        <v>12999</v>
      </c>
      <c r="C187" t="str" vm="1842">
        <f t="shared" si="18"/>
        <v/>
      </c>
      <c r="D187" t="str" vm="2673">
        <f t="shared" si="18"/>
        <v/>
      </c>
      <c r="E187" vm="1843">
        <f t="shared" si="18"/>
        <v>1</v>
      </c>
      <c r="F187" vm="2669">
        <f t="shared" si="18"/>
        <v>5</v>
      </c>
      <c r="G187" t="str" vm="1844">
        <f t="shared" si="18"/>
        <v/>
      </c>
      <c r="H187" t="str" vm="2670">
        <f t="shared" si="18"/>
        <v/>
      </c>
      <c r="I187" t="str" vm="1845">
        <f t="shared" si="18"/>
        <v/>
      </c>
      <c r="J187" t="str" vm="2672">
        <f t="shared" si="18"/>
        <v/>
      </c>
      <c r="K187" vm="2671">
        <f t="shared" si="18"/>
        <v>1</v>
      </c>
      <c r="L187" vm="2674">
        <f t="shared" si="18"/>
        <v>5</v>
      </c>
    </row>
    <row r="188" spans="2:12" x14ac:dyDescent="0.3">
      <c r="B188" s="16" t="str" vm="90">
        <f>CUBEMEMBER("ThisWorkbookDataModel","[Table1].[goal].&amp;[1.28E4]")</f>
        <v>12800</v>
      </c>
      <c r="C188" t="str" vm="1202">
        <f t="shared" si="18"/>
        <v/>
      </c>
      <c r="D188" t="str" vm="2789">
        <f t="shared" si="18"/>
        <v/>
      </c>
      <c r="E188" t="str" vm="1203">
        <f t="shared" si="18"/>
        <v/>
      </c>
      <c r="F188" t="str" vm="2791">
        <f t="shared" si="18"/>
        <v/>
      </c>
      <c r="G188" t="str" vm="1204">
        <f t="shared" si="18"/>
        <v/>
      </c>
      <c r="H188" t="str" vm="2792">
        <f t="shared" si="18"/>
        <v/>
      </c>
      <c r="I188" vm="1205">
        <f t="shared" si="18"/>
        <v>171</v>
      </c>
      <c r="J188" vm="2793">
        <f t="shared" si="18"/>
        <v>13451</v>
      </c>
      <c r="K188" vm="2794">
        <f t="shared" si="18"/>
        <v>171</v>
      </c>
      <c r="L188" vm="2790">
        <f t="shared" si="18"/>
        <v>13451</v>
      </c>
    </row>
    <row r="189" spans="2:12" x14ac:dyDescent="0.3">
      <c r="B189" s="16" t="str" vm="285">
        <f>CUBEMEMBER("ThisWorkbookDataModel","[Table1].[goal].&amp;[1.27E4]")</f>
        <v>12700</v>
      </c>
      <c r="C189" t="str" vm="1838">
        <f t="shared" si="18"/>
        <v/>
      </c>
      <c r="D189" t="str" vm="2964">
        <f t="shared" si="18"/>
        <v/>
      </c>
      <c r="E189" vm="1839">
        <f t="shared" si="18"/>
        <v>3</v>
      </c>
      <c r="F189" vm="2966">
        <f t="shared" si="18"/>
        <v>55</v>
      </c>
      <c r="G189" t="str" vm="1840">
        <f t="shared" si="18"/>
        <v/>
      </c>
      <c r="H189" t="str" vm="2961">
        <f t="shared" si="18"/>
        <v/>
      </c>
      <c r="I189" t="str" vm="1841">
        <f t="shared" si="18"/>
        <v/>
      </c>
      <c r="J189" t="str" vm="2963">
        <f t="shared" si="18"/>
        <v/>
      </c>
      <c r="K189" vm="2962">
        <f t="shared" si="18"/>
        <v>3</v>
      </c>
      <c r="L189" vm="2965">
        <f t="shared" si="18"/>
        <v>55</v>
      </c>
    </row>
    <row r="190" spans="2:12" x14ac:dyDescent="0.3">
      <c r="B190" s="16" t="str" vm="130">
        <f>CUBEMEMBER("ThisWorkbookDataModel","[Table1].[goal].&amp;[1.2516E4]")</f>
        <v>12516</v>
      </c>
      <c r="C190" t="str" vm="1198">
        <f t="shared" si="18"/>
        <v/>
      </c>
      <c r="D190" t="str" vm="3084">
        <f t="shared" si="18"/>
        <v/>
      </c>
      <c r="E190" t="str" vm="1199">
        <f t="shared" si="18"/>
        <v/>
      </c>
      <c r="F190" t="str" vm="3080">
        <f t="shared" si="18"/>
        <v/>
      </c>
      <c r="G190" t="str" vm="1200">
        <f t="shared" si="18"/>
        <v/>
      </c>
      <c r="H190" t="str" vm="3081">
        <f t="shared" si="18"/>
        <v/>
      </c>
      <c r="I190" vm="1201">
        <f t="shared" si="18"/>
        <v>189</v>
      </c>
      <c r="J190" vm="3082">
        <f t="shared" si="18"/>
        <v>13864.17</v>
      </c>
      <c r="K190" vm="3083">
        <f t="shared" si="18"/>
        <v>189</v>
      </c>
      <c r="L190" vm="3085">
        <f t="shared" si="18"/>
        <v>13864.17</v>
      </c>
    </row>
    <row r="191" spans="2:12" x14ac:dyDescent="0.3">
      <c r="B191" s="16" t="str" vm="170">
        <f>CUBEMEMBER("ThisWorkbookDataModel","[Table1].[goal].&amp;[1.25E4]")</f>
        <v>12500</v>
      </c>
      <c r="C191" t="str" vm="1194">
        <f t="shared" si="18"/>
        <v/>
      </c>
      <c r="D191" t="str" vm="4163">
        <f t="shared" si="18"/>
        <v/>
      </c>
      <c r="E191" vm="1195">
        <f t="shared" si="18"/>
        <v>118</v>
      </c>
      <c r="F191" vm="4165">
        <f t="shared" si="18"/>
        <v>11951.48</v>
      </c>
      <c r="G191" vm="1196">
        <f t="shared" si="18"/>
        <v>22</v>
      </c>
      <c r="H191" vm="4160">
        <f t="shared" si="18"/>
        <v>2526</v>
      </c>
      <c r="I191" vm="1197">
        <f t="shared" si="18"/>
        <v>1215</v>
      </c>
      <c r="J191" vm="4161">
        <f t="shared" si="18"/>
        <v>92713.99</v>
      </c>
      <c r="K191" vm="4162">
        <f t="shared" si="18"/>
        <v>1355</v>
      </c>
      <c r="L191" vm="4164">
        <f t="shared" si="18"/>
        <v>107191.47</v>
      </c>
    </row>
    <row r="192" spans="2:12" x14ac:dyDescent="0.3">
      <c r="B192" s="16" t="str" vm="208">
        <f>CUBEMEMBER("ThisWorkbookDataModel","[Table1].[goal].&amp;[1.2444E4]")</f>
        <v>12444</v>
      </c>
      <c r="C192" t="str" vm="1190">
        <f t="shared" si="18"/>
        <v/>
      </c>
      <c r="D192" t="str" vm="4377">
        <f t="shared" si="18"/>
        <v/>
      </c>
      <c r="E192" t="str" vm="1191">
        <f t="shared" si="18"/>
        <v/>
      </c>
      <c r="F192" t="str" vm="4379">
        <f t="shared" si="18"/>
        <v/>
      </c>
      <c r="G192" t="str" vm="1192">
        <f t="shared" si="18"/>
        <v/>
      </c>
      <c r="H192" t="str" vm="4380">
        <f t="shared" si="18"/>
        <v/>
      </c>
      <c r="I192" vm="1193">
        <f t="shared" si="18"/>
        <v>229</v>
      </c>
      <c r="J192" vm="4376">
        <f t="shared" si="18"/>
        <v>12929.35</v>
      </c>
      <c r="K192" vm="4375">
        <f t="shared" si="18"/>
        <v>229</v>
      </c>
      <c r="L192" vm="4378">
        <f t="shared" si="18"/>
        <v>12929.35</v>
      </c>
    </row>
    <row r="193" spans="2:12" x14ac:dyDescent="0.3">
      <c r="B193" s="16" t="str" vm="244">
        <f>CUBEMEMBER("ThisWorkbookDataModel","[Table1].[goal].&amp;[1.22E4]")</f>
        <v>12200</v>
      </c>
      <c r="C193" t="str" vm="1186">
        <f t="shared" si="18"/>
        <v/>
      </c>
      <c r="D193" t="str" vm="4592">
        <f t="shared" si="18"/>
        <v/>
      </c>
      <c r="E193" t="str" vm="1187">
        <f t="shared" si="18"/>
        <v/>
      </c>
      <c r="F193" t="str" vm="4594">
        <f t="shared" si="18"/>
        <v/>
      </c>
      <c r="G193" t="str" vm="1188">
        <f t="shared" si="18"/>
        <v/>
      </c>
      <c r="H193" t="str" vm="4595">
        <f t="shared" si="18"/>
        <v/>
      </c>
      <c r="I193" vm="1189">
        <f t="shared" si="18"/>
        <v>134</v>
      </c>
      <c r="J193" vm="4596">
        <f t="shared" si="18"/>
        <v>12571</v>
      </c>
      <c r="K193" vm="4597">
        <f t="shared" si="18"/>
        <v>134</v>
      </c>
      <c r="L193" vm="4593">
        <f t="shared" si="18"/>
        <v>12571</v>
      </c>
    </row>
    <row r="194" spans="2:12" x14ac:dyDescent="0.3">
      <c r="B194" s="16" t="str" vm="450">
        <f>CUBEMEMBER("ThisWorkbookDataModel","[Table1].[goal].&amp;[1.21E4]")</f>
        <v>12100</v>
      </c>
      <c r="C194" vm="1834">
        <f t="shared" si="18"/>
        <v>4</v>
      </c>
      <c r="D194" vm="3726">
        <f t="shared" si="18"/>
        <v>80</v>
      </c>
      <c r="E194" t="str" vm="1835">
        <f t="shared" si="18"/>
        <v/>
      </c>
      <c r="F194" t="str" vm="3728">
        <f t="shared" si="18"/>
        <v/>
      </c>
      <c r="G194" t="str" vm="1836">
        <f t="shared" si="18"/>
        <v/>
      </c>
      <c r="H194" t="str" vm="3729">
        <f t="shared" si="18"/>
        <v/>
      </c>
      <c r="I194" t="str" vm="1837">
        <f t="shared" si="18"/>
        <v/>
      </c>
      <c r="J194" t="str" vm="3724">
        <f t="shared" si="18"/>
        <v/>
      </c>
      <c r="K194" vm="3725">
        <f t="shared" si="18"/>
        <v>4</v>
      </c>
      <c r="L194" vm="3727">
        <f t="shared" si="18"/>
        <v>80</v>
      </c>
    </row>
    <row r="195" spans="2:12" x14ac:dyDescent="0.3">
      <c r="B195" s="16" t="str" vm="307">
        <f>CUBEMEMBER("ThisWorkbookDataModel","[Table1].[goal].&amp;[1.2001E4]")</f>
        <v>12001</v>
      </c>
      <c r="C195" t="str" vm="1830">
        <f t="shared" si="18"/>
        <v/>
      </c>
      <c r="D195" t="str" vm="3248">
        <f t="shared" si="18"/>
        <v/>
      </c>
      <c r="E195" vm="1831">
        <f t="shared" si="18"/>
        <v>70</v>
      </c>
      <c r="F195" vm="3249">
        <f t="shared" si="18"/>
        <v>2746</v>
      </c>
      <c r="G195" t="str" vm="1832">
        <f t="shared" si="18"/>
        <v/>
      </c>
      <c r="H195" t="str" vm="3250">
        <f t="shared" si="18"/>
        <v/>
      </c>
      <c r="I195" t="str" vm="1833">
        <f t="shared" si="18"/>
        <v/>
      </c>
      <c r="J195" t="str" vm="3251">
        <f t="shared" si="18"/>
        <v/>
      </c>
      <c r="K195" vm="3246">
        <f t="shared" si="18"/>
        <v>70</v>
      </c>
      <c r="L195" vm="3247">
        <f t="shared" si="18"/>
        <v>2746</v>
      </c>
    </row>
    <row r="196" spans="2:12" x14ac:dyDescent="0.3">
      <c r="B196" s="16" t="str" vm="195">
        <f>CUBEMEMBER("ThisWorkbookDataModel","[Table1].[goal].&amp;[1.2E4]")</f>
        <v>12000</v>
      </c>
      <c r="C196" vm="1182">
        <f t="shared" ref="C196:L205" si="19">CUBEVALUE("ThisWorkbookDataModel",$B196,C$5)</f>
        <v>72</v>
      </c>
      <c r="D196" vm="4794">
        <f t="shared" si="19"/>
        <v>3090</v>
      </c>
      <c r="E196" vm="1183">
        <f t="shared" si="19"/>
        <v>528</v>
      </c>
      <c r="F196" vm="4790">
        <f t="shared" si="19"/>
        <v>30833</v>
      </c>
      <c r="G196" vm="1184">
        <f t="shared" si="19"/>
        <v>23</v>
      </c>
      <c r="H196" vm="4791">
        <f t="shared" si="19"/>
        <v>1405</v>
      </c>
      <c r="I196" vm="1185">
        <f t="shared" si="19"/>
        <v>9250</v>
      </c>
      <c r="J196" vm="4792">
        <f t="shared" si="19"/>
        <v>559340.71</v>
      </c>
      <c r="K196" vm="4793">
        <f t="shared" si="19"/>
        <v>9873</v>
      </c>
      <c r="L196" vm="4795">
        <f t="shared" si="19"/>
        <v>594668.71</v>
      </c>
    </row>
    <row r="197" spans="2:12" x14ac:dyDescent="0.3">
      <c r="B197" s="16" t="str" vm="329">
        <f>CUBEMEMBER("ThisWorkbookDataModel","[Table1].[goal].&amp;[1.1999E4]")</f>
        <v>11999</v>
      </c>
      <c r="C197" vm="1826">
        <f t="shared" si="19"/>
        <v>1</v>
      </c>
      <c r="D197" vm="3913">
        <f t="shared" si="19"/>
        <v>10</v>
      </c>
      <c r="E197" t="str" vm="1827">
        <f t="shared" si="19"/>
        <v/>
      </c>
      <c r="F197" t="str" vm="3909">
        <f t="shared" si="19"/>
        <v/>
      </c>
      <c r="G197" t="str" vm="1828">
        <f t="shared" si="19"/>
        <v/>
      </c>
      <c r="H197" t="str" vm="3910">
        <f t="shared" si="19"/>
        <v/>
      </c>
      <c r="I197" t="str" vm="1829">
        <f t="shared" si="19"/>
        <v/>
      </c>
      <c r="J197" t="str" vm="3911">
        <f t="shared" si="19"/>
        <v/>
      </c>
      <c r="K197" vm="3912">
        <f t="shared" si="19"/>
        <v>1</v>
      </c>
      <c r="L197" vm="3914">
        <f t="shared" si="19"/>
        <v>10</v>
      </c>
    </row>
    <row r="198" spans="2:12" x14ac:dyDescent="0.3">
      <c r="B198" s="16" t="str" vm="13">
        <f>CUBEMEMBER("ThisWorkbookDataModel","[Table1].[goal].&amp;[1.1737E4]")</f>
        <v>11737</v>
      </c>
      <c r="C198" t="str" vm="1178">
        <f t="shared" si="19"/>
        <v/>
      </c>
      <c r="D198" t="str" vm="2549">
        <f t="shared" si="19"/>
        <v/>
      </c>
      <c r="E198" t="str" vm="1179">
        <f t="shared" si="19"/>
        <v/>
      </c>
      <c r="F198" t="str" vm="2551">
        <f t="shared" si="19"/>
        <v/>
      </c>
      <c r="G198" t="str" vm="1180">
        <f t="shared" si="19"/>
        <v/>
      </c>
      <c r="H198" t="str" vm="2546">
        <f t="shared" si="19"/>
        <v/>
      </c>
      <c r="I198" vm="1181">
        <f t="shared" si="19"/>
        <v>125</v>
      </c>
      <c r="J198" vm="2547">
        <f t="shared" si="19"/>
        <v>11747.18</v>
      </c>
      <c r="K198" vm="2548">
        <f t="shared" si="19"/>
        <v>125</v>
      </c>
      <c r="L198" vm="2550">
        <f t="shared" si="19"/>
        <v>11747.18</v>
      </c>
    </row>
    <row r="199" spans="2:12" x14ac:dyDescent="0.3">
      <c r="B199" s="16" t="str" vm="52">
        <f>CUBEMEMBER("ThisWorkbookDataModel","[Table1].[goal].&amp;[1.15E4]")</f>
        <v>11500</v>
      </c>
      <c r="C199" vm="1174">
        <f t="shared" si="19"/>
        <v>35</v>
      </c>
      <c r="D199" vm="3416">
        <f t="shared" si="19"/>
        <v>12879</v>
      </c>
      <c r="E199" vm="1175">
        <f t="shared" si="19"/>
        <v>17</v>
      </c>
      <c r="F199" vm="3418">
        <f t="shared" si="19"/>
        <v>1384</v>
      </c>
      <c r="G199" t="str" vm="1176">
        <f t="shared" si="19"/>
        <v/>
      </c>
      <c r="H199" t="str" vm="3419">
        <f t="shared" si="19"/>
        <v/>
      </c>
      <c r="I199" vm="1177">
        <f t="shared" si="19"/>
        <v>84</v>
      </c>
      <c r="J199" vm="3415">
        <f t="shared" si="19"/>
        <v>11500</v>
      </c>
      <c r="K199" vm="3414">
        <f t="shared" si="19"/>
        <v>136</v>
      </c>
      <c r="L199" vm="3417">
        <f t="shared" si="19"/>
        <v>25763</v>
      </c>
    </row>
    <row r="200" spans="2:12" x14ac:dyDescent="0.3">
      <c r="B200" s="16" t="str" vm="91">
        <f>CUBEMEMBER("ThisWorkbookDataModel","[Table1].[goal].&amp;[1.126E4]")</f>
        <v>11260</v>
      </c>
      <c r="C200" t="str" vm="1170">
        <f t="shared" si="19"/>
        <v/>
      </c>
      <c r="D200" t="str" vm="2795">
        <f t="shared" si="19"/>
        <v/>
      </c>
      <c r="E200" t="str" vm="1171">
        <f t="shared" si="19"/>
        <v/>
      </c>
      <c r="F200" t="str" vm="2797">
        <f t="shared" si="19"/>
        <v/>
      </c>
      <c r="G200" t="str" vm="1172">
        <f t="shared" si="19"/>
        <v/>
      </c>
      <c r="H200" t="str" vm="2798">
        <f t="shared" si="19"/>
        <v/>
      </c>
      <c r="I200" vm="1173">
        <f t="shared" si="19"/>
        <v>167</v>
      </c>
      <c r="J200" vm="2799">
        <f t="shared" si="19"/>
        <v>12007.18</v>
      </c>
      <c r="K200" vm="2800">
        <f t="shared" si="19"/>
        <v>167</v>
      </c>
      <c r="L200" vm="2796">
        <f t="shared" si="19"/>
        <v>12007.18</v>
      </c>
    </row>
    <row r="201" spans="2:12" x14ac:dyDescent="0.3">
      <c r="B201" s="16" t="str" vm="352">
        <f>CUBEMEMBER("ThisWorkbookDataModel","[Table1].[goal].&amp;[1.12E4]")</f>
        <v>11200</v>
      </c>
      <c r="C201" t="str" vm="1822">
        <f t="shared" si="19"/>
        <v/>
      </c>
      <c r="D201" t="str" vm="4097">
        <f t="shared" si="19"/>
        <v/>
      </c>
      <c r="E201" vm="1823">
        <f t="shared" si="19"/>
        <v>1</v>
      </c>
      <c r="F201" vm="4099">
        <f t="shared" si="19"/>
        <v>29</v>
      </c>
      <c r="G201" t="str" vm="1824">
        <f t="shared" si="19"/>
        <v/>
      </c>
      <c r="H201" t="str" vm="4094">
        <f t="shared" si="19"/>
        <v/>
      </c>
      <c r="I201" t="str" vm="1825">
        <f t="shared" si="19"/>
        <v/>
      </c>
      <c r="J201" t="str" vm="4096">
        <f t="shared" si="19"/>
        <v/>
      </c>
      <c r="K201" vm="4095">
        <f t="shared" si="19"/>
        <v>1</v>
      </c>
      <c r="L201" vm="4098">
        <f t="shared" si="19"/>
        <v>29</v>
      </c>
    </row>
    <row r="202" spans="2:12" x14ac:dyDescent="0.3">
      <c r="B202" s="16" t="str" vm="388">
        <f>CUBEMEMBER("ThisWorkbookDataModel","[Table1].[goal].&amp;[1.118E4]")</f>
        <v>11180</v>
      </c>
      <c r="C202" t="str" vm="1818">
        <f t="shared" si="19"/>
        <v/>
      </c>
      <c r="D202" t="str" vm="2428">
        <f t="shared" si="19"/>
        <v/>
      </c>
      <c r="E202" vm="1819">
        <f t="shared" si="19"/>
        <v>4</v>
      </c>
      <c r="F202" vm="2430">
        <f t="shared" si="19"/>
        <v>80</v>
      </c>
      <c r="G202" t="str" vm="1820">
        <f t="shared" si="19"/>
        <v/>
      </c>
      <c r="H202" t="str" vm="2431">
        <f t="shared" si="19"/>
        <v/>
      </c>
      <c r="I202" t="str" vm="1821">
        <f t="shared" si="19"/>
        <v/>
      </c>
      <c r="J202" t="str" vm="2426">
        <f t="shared" si="19"/>
        <v/>
      </c>
      <c r="K202" vm="2427">
        <f t="shared" si="19"/>
        <v>4</v>
      </c>
      <c r="L202" vm="2429">
        <f t="shared" si="19"/>
        <v>80</v>
      </c>
    </row>
    <row r="203" spans="2:12" x14ac:dyDescent="0.3">
      <c r="B203" s="16" t="str" vm="375">
        <f>CUBEMEMBER("ThisWorkbookDataModel","[Table1].[goal].&amp;[1.114E4]")</f>
        <v>11140</v>
      </c>
      <c r="C203" t="str" vm="1814">
        <f t="shared" si="19"/>
        <v/>
      </c>
      <c r="D203" t="str" vm="4309">
        <f t="shared" si="19"/>
        <v/>
      </c>
      <c r="E203" vm="1815">
        <f t="shared" si="19"/>
        <v>46</v>
      </c>
      <c r="F203" vm="4312">
        <f t="shared" si="19"/>
        <v>3877</v>
      </c>
      <c r="G203" t="str" vm="1816">
        <f t="shared" si="19"/>
        <v/>
      </c>
      <c r="H203" t="str" vm="4313">
        <f t="shared" si="19"/>
        <v/>
      </c>
      <c r="I203" t="str" vm="1817">
        <f t="shared" si="19"/>
        <v/>
      </c>
      <c r="J203" t="str" vm="4314">
        <f t="shared" si="19"/>
        <v/>
      </c>
      <c r="K203" vm="4310">
        <f t="shared" si="19"/>
        <v>46</v>
      </c>
      <c r="L203" vm="4311">
        <f t="shared" si="19"/>
        <v>3877</v>
      </c>
    </row>
    <row r="204" spans="2:12" x14ac:dyDescent="0.3">
      <c r="B204" s="16" t="str" vm="131">
        <f>CUBEMEMBER("ThisWorkbookDataModel","[Table1].[goal].&amp;[1.1E4]")</f>
        <v>11000</v>
      </c>
      <c r="C204" t="str" vm="1166">
        <f t="shared" si="19"/>
        <v/>
      </c>
      <c r="D204" t="str" vm="3090">
        <f t="shared" si="19"/>
        <v/>
      </c>
      <c r="E204" vm="1167">
        <f t="shared" si="19"/>
        <v>113</v>
      </c>
      <c r="F204" vm="3086">
        <f t="shared" si="19"/>
        <v>8732</v>
      </c>
      <c r="G204" t="str" vm="1168">
        <f t="shared" si="19"/>
        <v/>
      </c>
      <c r="H204" t="str" vm="3087">
        <f t="shared" si="19"/>
        <v/>
      </c>
      <c r="I204" vm="1169">
        <f t="shared" si="19"/>
        <v>4167</v>
      </c>
      <c r="J204" vm="3088">
        <f t="shared" si="19"/>
        <v>333158</v>
      </c>
      <c r="K204" vm="3089">
        <f t="shared" si="19"/>
        <v>4280</v>
      </c>
      <c r="L204" vm="3091">
        <f t="shared" si="19"/>
        <v>341890</v>
      </c>
    </row>
    <row r="205" spans="2:12" x14ac:dyDescent="0.3">
      <c r="B205" s="16" t="str" vm="171">
        <f>CUBEMEMBER("ThisWorkbookDataModel","[Table1].[goal].&amp;[1.06E4]")</f>
        <v>10600</v>
      </c>
      <c r="C205" t="str" vm="1162">
        <f t="shared" si="19"/>
        <v/>
      </c>
      <c r="D205" t="str" vm="3600">
        <f t="shared" si="19"/>
        <v/>
      </c>
      <c r="E205" t="str" vm="1163">
        <f t="shared" si="19"/>
        <v/>
      </c>
      <c r="F205" t="str" vm="3602">
        <f t="shared" si="19"/>
        <v/>
      </c>
      <c r="G205" t="str" vm="1164">
        <f t="shared" si="19"/>
        <v/>
      </c>
      <c r="H205" t="str" vm="3597">
        <f t="shared" si="19"/>
        <v/>
      </c>
      <c r="I205" vm="1165">
        <f t="shared" si="19"/>
        <v>118</v>
      </c>
      <c r="J205" vm="3598">
        <f t="shared" si="19"/>
        <v>12772.6</v>
      </c>
      <c r="K205" vm="3599">
        <f t="shared" si="19"/>
        <v>118</v>
      </c>
      <c r="L205" vm="3601">
        <f t="shared" si="19"/>
        <v>12772.6</v>
      </c>
    </row>
    <row r="206" spans="2:12" x14ac:dyDescent="0.3">
      <c r="B206" s="16" t="str" vm="398">
        <f>CUBEMEMBER("ThisWorkbookDataModel","[Table1].[goal].&amp;[1.0557E4]")</f>
        <v>10557</v>
      </c>
      <c r="C206" t="str" vm="1810">
        <f t="shared" ref="C206:L215" si="20">CUBEVALUE("ThisWorkbookDataModel",$B206,C$5)</f>
        <v/>
      </c>
      <c r="D206" t="str" vm="2679">
        <f t="shared" si="20"/>
        <v/>
      </c>
      <c r="E206" t="str" vm="1811">
        <f t="shared" si="20"/>
        <v/>
      </c>
      <c r="F206" t="str" vm="2675">
        <f t="shared" si="20"/>
        <v/>
      </c>
      <c r="G206" vm="1812">
        <f t="shared" si="20"/>
        <v>64</v>
      </c>
      <c r="H206" vm="2676">
        <f t="shared" si="20"/>
        <v>4130</v>
      </c>
      <c r="I206" t="str" vm="1813">
        <f t="shared" si="20"/>
        <v/>
      </c>
      <c r="J206" t="str" vm="2677">
        <f t="shared" si="20"/>
        <v/>
      </c>
      <c r="K206" vm="2678">
        <f t="shared" si="20"/>
        <v>64</v>
      </c>
      <c r="L206" vm="2680">
        <f t="shared" si="20"/>
        <v>4130</v>
      </c>
    </row>
    <row r="207" spans="2:12" x14ac:dyDescent="0.3">
      <c r="B207" s="16" t="str" vm="209">
        <f>CUBEMEMBER("ThisWorkbookDataModel","[Table1].[goal].&amp;[1.05E4]")</f>
        <v>10500</v>
      </c>
      <c r="C207" t="str" vm="1158">
        <f t="shared" si="20"/>
        <v/>
      </c>
      <c r="D207" t="str" vm="3798">
        <f t="shared" si="20"/>
        <v/>
      </c>
      <c r="E207" vm="1159">
        <f t="shared" si="20"/>
        <v>37</v>
      </c>
      <c r="F207" vm="3800">
        <f t="shared" si="20"/>
        <v>3064</v>
      </c>
      <c r="G207" t="str" vm="1160">
        <f t="shared" si="20"/>
        <v/>
      </c>
      <c r="H207" t="str" vm="3801">
        <f t="shared" si="20"/>
        <v/>
      </c>
      <c r="I207" vm="1161">
        <f t="shared" si="20"/>
        <v>349</v>
      </c>
      <c r="J207" vm="3797">
        <f t="shared" si="20"/>
        <v>32281</v>
      </c>
      <c r="K207" vm="3796">
        <f t="shared" si="20"/>
        <v>386</v>
      </c>
      <c r="L207" vm="3799">
        <f t="shared" si="20"/>
        <v>35345</v>
      </c>
    </row>
    <row r="208" spans="2:12" x14ac:dyDescent="0.3">
      <c r="B208" s="16" t="str" vm="245">
        <f>CUBEMEMBER("ThisWorkbookDataModel","[Table1].[goal].&amp;[1.0275E4]")</f>
        <v>10275</v>
      </c>
      <c r="C208" t="str" vm="1154">
        <f t="shared" si="20"/>
        <v/>
      </c>
      <c r="D208" t="str" vm="3981">
        <f t="shared" si="20"/>
        <v/>
      </c>
      <c r="E208" t="str" vm="1155">
        <f t="shared" si="20"/>
        <v/>
      </c>
      <c r="F208" t="str" vm="3983">
        <f t="shared" si="20"/>
        <v/>
      </c>
      <c r="G208" t="str" vm="1156">
        <f t="shared" si="20"/>
        <v/>
      </c>
      <c r="H208" t="str" vm="3984">
        <f t="shared" si="20"/>
        <v/>
      </c>
      <c r="I208" vm="1157">
        <f t="shared" si="20"/>
        <v>79</v>
      </c>
      <c r="J208" vm="3985">
        <f t="shared" si="20"/>
        <v>14653</v>
      </c>
      <c r="K208" vm="3986">
        <f t="shared" si="20"/>
        <v>79</v>
      </c>
      <c r="L208" vm="3982">
        <f t="shared" si="20"/>
        <v>14653</v>
      </c>
    </row>
    <row r="209" spans="2:12" x14ac:dyDescent="0.3">
      <c r="B209" s="16" t="str" vm="286">
        <f>CUBEMEMBER("ThisWorkbookDataModel","[Table1].[goal].&amp;[1.0115E4]")</f>
        <v>10115</v>
      </c>
      <c r="C209" vm="1806">
        <f t="shared" si="20"/>
        <v>0</v>
      </c>
      <c r="D209" vm="2970">
        <f t="shared" si="20"/>
        <v>0</v>
      </c>
      <c r="E209" t="str" vm="1807">
        <f t="shared" si="20"/>
        <v/>
      </c>
      <c r="F209" t="str" vm="2972">
        <f t="shared" si="20"/>
        <v/>
      </c>
      <c r="G209" t="str" vm="1808">
        <f t="shared" si="20"/>
        <v/>
      </c>
      <c r="H209" t="str" vm="2968">
        <f t="shared" si="20"/>
        <v/>
      </c>
      <c r="I209" t="str" vm="1809">
        <f t="shared" si="20"/>
        <v/>
      </c>
      <c r="J209" t="str" vm="2969">
        <f t="shared" si="20"/>
        <v/>
      </c>
      <c r="K209" vm="2967">
        <f t="shared" si="20"/>
        <v>0</v>
      </c>
      <c r="L209" vm="2971">
        <f t="shared" si="20"/>
        <v>0</v>
      </c>
    </row>
    <row r="210" spans="2:12" x14ac:dyDescent="0.3">
      <c r="B210" s="16" t="str" vm="115">
        <f>CUBEMEMBER("ThisWorkbookDataModel","[Table1].[goal].&amp;[1.005E4]")</f>
        <v>10050</v>
      </c>
      <c r="C210" t="str" vm="1150">
        <f t="shared" si="20"/>
        <v/>
      </c>
      <c r="D210" t="str" vm="4170">
        <f t="shared" si="20"/>
        <v/>
      </c>
      <c r="E210" t="str" vm="1151">
        <f t="shared" si="20"/>
        <v/>
      </c>
      <c r="F210" t="str" vm="4166">
        <f t="shared" si="20"/>
        <v/>
      </c>
      <c r="G210" t="str" vm="1152">
        <f t="shared" si="20"/>
        <v/>
      </c>
      <c r="H210" t="str" vm="4167">
        <f t="shared" si="20"/>
        <v/>
      </c>
      <c r="I210" vm="1153">
        <f t="shared" si="20"/>
        <v>131</v>
      </c>
      <c r="J210" vm="4168">
        <f t="shared" si="20"/>
        <v>12410.5</v>
      </c>
      <c r="K210" vm="4169">
        <f t="shared" si="20"/>
        <v>131</v>
      </c>
      <c r="L210" vm="4171">
        <f t="shared" si="20"/>
        <v>12410.5</v>
      </c>
    </row>
    <row r="211" spans="2:12" x14ac:dyDescent="0.3">
      <c r="B211" s="16" t="str" vm="14">
        <f>CUBEMEMBER("ThisWorkbookDataModel","[Table1].[goal].&amp;[1.E4]")</f>
        <v>10000</v>
      </c>
      <c r="C211" vm="1146">
        <f t="shared" si="20"/>
        <v>163</v>
      </c>
      <c r="D211" vm="2555">
        <f t="shared" si="20"/>
        <v>11328</v>
      </c>
      <c r="E211" vm="1147">
        <f t="shared" si="20"/>
        <v>980</v>
      </c>
      <c r="F211" vm="2557">
        <f t="shared" si="20"/>
        <v>54422.5</v>
      </c>
      <c r="G211" vm="1148">
        <f t="shared" si="20"/>
        <v>104</v>
      </c>
      <c r="H211" vm="2552">
        <f t="shared" si="20"/>
        <v>14582</v>
      </c>
      <c r="I211" vm="1149">
        <f t="shared" si="20"/>
        <v>23140</v>
      </c>
      <c r="J211" vm="2553">
        <f t="shared" si="20"/>
        <v>1878181.72</v>
      </c>
      <c r="K211" vm="2554">
        <f t="shared" si="20"/>
        <v>24387</v>
      </c>
      <c r="L211" vm="2556">
        <f t="shared" si="20"/>
        <v>1958514.22</v>
      </c>
    </row>
    <row r="212" spans="2:12" x14ac:dyDescent="0.3">
      <c r="B212" s="16" t="str" vm="53">
        <f>CUBEMEMBER("ThisWorkbookDataModel","[Table1].[goal].&amp;[9.999E3]")</f>
        <v>9999</v>
      </c>
      <c r="C212" vm="1142">
        <f t="shared" si="20"/>
        <v>22</v>
      </c>
      <c r="D212" vm="4383">
        <f t="shared" si="20"/>
        <v>2960</v>
      </c>
      <c r="E212" vm="1143">
        <f t="shared" si="20"/>
        <v>4</v>
      </c>
      <c r="F212" vm="4385">
        <f t="shared" si="20"/>
        <v>70</v>
      </c>
      <c r="G212" t="str" vm="1144">
        <f t="shared" si="20"/>
        <v/>
      </c>
      <c r="H212" t="str" vm="4386">
        <f t="shared" si="20"/>
        <v/>
      </c>
      <c r="I212" vm="1145">
        <f t="shared" si="20"/>
        <v>8200</v>
      </c>
      <c r="J212" vm="4382">
        <f t="shared" si="20"/>
        <v>167820.6</v>
      </c>
      <c r="K212" vm="4381">
        <f t="shared" si="20"/>
        <v>8226</v>
      </c>
      <c r="L212" vm="4384">
        <f t="shared" si="20"/>
        <v>170850.6</v>
      </c>
    </row>
    <row r="213" spans="2:12" x14ac:dyDescent="0.3">
      <c r="B213" s="16" t="str" vm="92">
        <f>CUBEMEMBER("ThisWorkbookDataModel","[Table1].[goal].&amp;[9.85E3]")</f>
        <v>9850</v>
      </c>
      <c r="C213" t="str" vm="1138">
        <f t="shared" si="20"/>
        <v/>
      </c>
      <c r="D213" t="str" vm="2801">
        <f t="shared" si="20"/>
        <v/>
      </c>
      <c r="E213" t="str" vm="1139">
        <f t="shared" si="20"/>
        <v/>
      </c>
      <c r="F213" t="str" vm="2803">
        <f t="shared" si="20"/>
        <v/>
      </c>
      <c r="G213" t="str" vm="1140">
        <f t="shared" si="20"/>
        <v/>
      </c>
      <c r="H213" t="str" vm="2804">
        <f t="shared" si="20"/>
        <v/>
      </c>
      <c r="I213" vm="1141">
        <f t="shared" si="20"/>
        <v>165</v>
      </c>
      <c r="J213" vm="2805">
        <f t="shared" si="20"/>
        <v>12965.44</v>
      </c>
      <c r="K213" vm="2806">
        <f t="shared" si="20"/>
        <v>165</v>
      </c>
      <c r="L213" vm="2802">
        <f t="shared" si="20"/>
        <v>12965.44</v>
      </c>
    </row>
    <row r="214" spans="2:12" x14ac:dyDescent="0.3">
      <c r="B214" s="16" t="str" vm="132">
        <f>CUBEMEMBER("ThisWorkbookDataModel","[Table1].[goal].&amp;[9.8E3]")</f>
        <v>9800</v>
      </c>
      <c r="C214" t="str" vm="1134">
        <f t="shared" si="20"/>
        <v/>
      </c>
      <c r="D214" t="str" vm="3096">
        <f t="shared" si="20"/>
        <v/>
      </c>
      <c r="E214" vm="1135">
        <f t="shared" si="20"/>
        <v>50</v>
      </c>
      <c r="F214" vm="3092">
        <f t="shared" si="20"/>
        <v>4066</v>
      </c>
      <c r="G214" t="str" vm="1136">
        <f t="shared" si="20"/>
        <v/>
      </c>
      <c r="H214" t="str" vm="3093">
        <f t="shared" si="20"/>
        <v/>
      </c>
      <c r="I214" vm="1137">
        <f t="shared" si="20"/>
        <v>480</v>
      </c>
      <c r="J214" vm="3094">
        <f t="shared" si="20"/>
        <v>39550.5</v>
      </c>
      <c r="K214" vm="3095">
        <f t="shared" si="20"/>
        <v>530</v>
      </c>
      <c r="L214" vm="3097">
        <f t="shared" si="20"/>
        <v>43616.5</v>
      </c>
    </row>
    <row r="215" spans="2:12" x14ac:dyDescent="0.3">
      <c r="B215" s="16" t="str" vm="172">
        <f>CUBEMEMBER("ThisWorkbookDataModel","[Table1].[goal].&amp;[9.665E3]")</f>
        <v>9665</v>
      </c>
      <c r="C215" t="str" vm="1130">
        <f t="shared" si="20"/>
        <v/>
      </c>
      <c r="D215" t="str" vm="4601">
        <f t="shared" si="20"/>
        <v/>
      </c>
      <c r="E215" t="str" vm="1131">
        <f t="shared" si="20"/>
        <v/>
      </c>
      <c r="F215" t="str" vm="4603">
        <f t="shared" si="20"/>
        <v/>
      </c>
      <c r="G215" t="str" vm="1132">
        <f t="shared" si="20"/>
        <v/>
      </c>
      <c r="H215" t="str" vm="4598">
        <f t="shared" si="20"/>
        <v/>
      </c>
      <c r="I215" vm="1133">
        <f t="shared" si="20"/>
        <v>86</v>
      </c>
      <c r="J215" vm="4599">
        <f t="shared" si="20"/>
        <v>12000</v>
      </c>
      <c r="K215" vm="4600">
        <f t="shared" si="20"/>
        <v>86</v>
      </c>
      <c r="L215" vm="4602">
        <f t="shared" si="20"/>
        <v>12000</v>
      </c>
    </row>
    <row r="216" spans="2:12" x14ac:dyDescent="0.3">
      <c r="B216" s="16" t="str" vm="408">
        <f>CUBEMEMBER("ThisWorkbookDataModel","[Table1].[goal].&amp;[9.6E3]")</f>
        <v>9600</v>
      </c>
      <c r="C216" t="str" vm="1802">
        <f t="shared" ref="C216:L225" si="21">CUBEVALUE("ThisWorkbookDataModel",$B216,C$5)</f>
        <v/>
      </c>
      <c r="D216" t="str" vm="4528">
        <f t="shared" si="21"/>
        <v/>
      </c>
      <c r="E216" vm="1803">
        <f t="shared" si="21"/>
        <v>5</v>
      </c>
      <c r="F216" vm="4530">
        <f t="shared" si="21"/>
        <v>264</v>
      </c>
      <c r="G216" t="str" vm="1804">
        <f t="shared" si="21"/>
        <v/>
      </c>
      <c r="H216" t="str" vm="4531">
        <f t="shared" si="21"/>
        <v/>
      </c>
      <c r="I216" t="str" vm="1805">
        <f t="shared" si="21"/>
        <v/>
      </c>
      <c r="J216" t="str" vm="4526">
        <f t="shared" si="21"/>
        <v/>
      </c>
      <c r="K216" vm="4527">
        <f t="shared" si="21"/>
        <v>5</v>
      </c>
      <c r="L216" vm="4529">
        <f t="shared" si="21"/>
        <v>264</v>
      </c>
    </row>
    <row r="217" spans="2:12" x14ac:dyDescent="0.3">
      <c r="B217" s="16" t="str" vm="210">
        <f>CUBEMEMBER("ThisWorkbookDataModel","[Table1].[goal].&amp;[9.5E3]")</f>
        <v>9500</v>
      </c>
      <c r="C217" t="str" vm="1126">
        <f t="shared" si="21"/>
        <v/>
      </c>
      <c r="D217" t="str" vm="4799">
        <f t="shared" si="21"/>
        <v/>
      </c>
      <c r="E217" vm="1127">
        <f t="shared" si="21"/>
        <v>39</v>
      </c>
      <c r="F217" vm="4800">
        <f t="shared" si="21"/>
        <v>1516</v>
      </c>
      <c r="G217" t="str" vm="1128">
        <f t="shared" si="21"/>
        <v/>
      </c>
      <c r="H217" t="str" vm="4801">
        <f t="shared" si="21"/>
        <v/>
      </c>
      <c r="I217" vm="1129">
        <f t="shared" si="21"/>
        <v>857</v>
      </c>
      <c r="J217" vm="4797">
        <f t="shared" si="21"/>
        <v>66943.7</v>
      </c>
      <c r="K217" vm="4796">
        <f t="shared" si="21"/>
        <v>896</v>
      </c>
      <c r="L217" vm="4798">
        <f t="shared" si="21"/>
        <v>68459.7</v>
      </c>
    </row>
    <row r="218" spans="2:12" x14ac:dyDescent="0.3">
      <c r="B218" s="16" t="str" vm="308">
        <f>CUBEMEMBER("ThisWorkbookDataModel","[Table1].[goal].&amp;[9.3E3]")</f>
        <v>9300</v>
      </c>
      <c r="C218" t="str" vm="1798">
        <f t="shared" si="21"/>
        <v/>
      </c>
      <c r="D218" t="str" vm="3254">
        <f t="shared" si="21"/>
        <v/>
      </c>
      <c r="E218" vm="1799">
        <f t="shared" si="21"/>
        <v>0</v>
      </c>
      <c r="F218" vm="3255">
        <f t="shared" si="21"/>
        <v>0</v>
      </c>
      <c r="G218" t="str" vm="1800">
        <f t="shared" si="21"/>
        <v/>
      </c>
      <c r="H218" t="str" vm="3256">
        <f t="shared" si="21"/>
        <v/>
      </c>
      <c r="I218" t="str" vm="1801">
        <f t="shared" si="21"/>
        <v/>
      </c>
      <c r="J218" t="str" vm="3257">
        <f t="shared" si="21"/>
        <v/>
      </c>
      <c r="K218" vm="3252">
        <f t="shared" si="21"/>
        <v>0</v>
      </c>
      <c r="L218" vm="3253">
        <f t="shared" si="21"/>
        <v>0</v>
      </c>
    </row>
    <row r="219" spans="2:12" x14ac:dyDescent="0.3">
      <c r="B219" s="16" t="str" vm="246">
        <f>CUBEMEMBER("ThisWorkbookDataModel","[Table1].[goal].&amp;[9.072E3]")</f>
        <v>9072</v>
      </c>
      <c r="C219" t="str" vm="1122">
        <f t="shared" si="21"/>
        <v/>
      </c>
      <c r="D219" t="str" vm="3420">
        <f t="shared" si="21"/>
        <v/>
      </c>
      <c r="E219" t="str" vm="1123">
        <f t="shared" si="21"/>
        <v/>
      </c>
      <c r="F219" t="str" vm="3421">
        <f t="shared" si="21"/>
        <v/>
      </c>
      <c r="G219" t="str" vm="1124">
        <f t="shared" si="21"/>
        <v/>
      </c>
      <c r="H219" t="str" vm="3423">
        <f t="shared" si="21"/>
        <v/>
      </c>
      <c r="I219" vm="1125">
        <f t="shared" si="21"/>
        <v>47</v>
      </c>
      <c r="J219" vm="3424">
        <f t="shared" si="21"/>
        <v>9228</v>
      </c>
      <c r="K219" vm="3425">
        <f t="shared" si="21"/>
        <v>47</v>
      </c>
      <c r="L219" vm="3422">
        <f t="shared" si="21"/>
        <v>9228</v>
      </c>
    </row>
    <row r="220" spans="2:12" x14ac:dyDescent="0.3">
      <c r="B220" s="16" t="str" vm="330">
        <f>CUBEMEMBER("ThisWorkbookDataModel","[Table1].[goal].&amp;[9.041E3]")</f>
        <v>9041</v>
      </c>
      <c r="C220" t="str" vm="1794">
        <f t="shared" si="21"/>
        <v/>
      </c>
      <c r="D220" t="str" vm="4728">
        <f t="shared" si="21"/>
        <v/>
      </c>
      <c r="E220" vm="1795">
        <f t="shared" si="21"/>
        <v>5</v>
      </c>
      <c r="F220" vm="4724">
        <f t="shared" si="21"/>
        <v>90</v>
      </c>
      <c r="G220" t="str" vm="1796">
        <f t="shared" si="21"/>
        <v/>
      </c>
      <c r="H220" t="str" vm="4725">
        <f t="shared" si="21"/>
        <v/>
      </c>
      <c r="I220" t="str" vm="1797">
        <f t="shared" si="21"/>
        <v/>
      </c>
      <c r="J220" t="str" vm="4726">
        <f t="shared" si="21"/>
        <v/>
      </c>
      <c r="K220" vm="4727">
        <f t="shared" si="21"/>
        <v>5</v>
      </c>
      <c r="L220" vm="4729">
        <f t="shared" si="21"/>
        <v>90</v>
      </c>
    </row>
    <row r="221" spans="2:12" x14ac:dyDescent="0.3">
      <c r="B221" s="16" t="str" vm="38">
        <f>CUBEMEMBER("ThisWorkbookDataModel","[Table1].[goal].&amp;[9.E3]")</f>
        <v>9000</v>
      </c>
      <c r="C221" vm="1118">
        <f t="shared" si="21"/>
        <v>9</v>
      </c>
      <c r="D221" vm="3606">
        <f t="shared" si="21"/>
        <v>463</v>
      </c>
      <c r="E221" vm="1119">
        <f t="shared" si="21"/>
        <v>35</v>
      </c>
      <c r="F221" vm="3603">
        <f t="shared" si="21"/>
        <v>2843</v>
      </c>
      <c r="G221" t="str" vm="1120">
        <f t="shared" si="21"/>
        <v/>
      </c>
      <c r="H221" t="str" vm="2287">
        <f t="shared" si="21"/>
        <v/>
      </c>
      <c r="I221" vm="1121">
        <f t="shared" si="21"/>
        <v>1575</v>
      </c>
      <c r="J221" vm="3604">
        <f t="shared" si="21"/>
        <v>129780.75</v>
      </c>
      <c r="K221" vm="3605">
        <f t="shared" si="21"/>
        <v>1619</v>
      </c>
      <c r="L221" vm="3607">
        <f t="shared" si="21"/>
        <v>133086.75</v>
      </c>
    </row>
    <row r="222" spans="2:12" x14ac:dyDescent="0.3">
      <c r="B222" s="16" t="str" vm="15">
        <f>CUBEMEMBER("ThisWorkbookDataModel","[Table1].[goal].&amp;[8.925E3]")</f>
        <v>8925</v>
      </c>
      <c r="C222" t="str" vm="1114">
        <f t="shared" si="21"/>
        <v/>
      </c>
      <c r="D222" t="str" vm="2561">
        <f t="shared" si="21"/>
        <v/>
      </c>
      <c r="E222" t="str" vm="1115">
        <f t="shared" si="21"/>
        <v/>
      </c>
      <c r="F222" t="str" vm="2563">
        <f t="shared" si="21"/>
        <v/>
      </c>
      <c r="G222" t="str" vm="1116">
        <f t="shared" si="21"/>
        <v/>
      </c>
      <c r="H222" t="str" vm="2558">
        <f t="shared" si="21"/>
        <v/>
      </c>
      <c r="I222" vm="1117">
        <f t="shared" si="21"/>
        <v>26</v>
      </c>
      <c r="J222" vm="2559">
        <f t="shared" si="21"/>
        <v>9044</v>
      </c>
      <c r="K222" vm="2560">
        <f t="shared" si="21"/>
        <v>26</v>
      </c>
      <c r="L222" vm="2562">
        <f t="shared" si="21"/>
        <v>9044</v>
      </c>
    </row>
    <row r="223" spans="2:12" x14ac:dyDescent="0.3">
      <c r="B223" s="16" t="str" vm="353">
        <f>CUBEMEMBER("ThisWorkbookDataModel","[Table1].[goal].&amp;[8.888E3]")</f>
        <v>8888</v>
      </c>
      <c r="C223" t="str" vm="1790">
        <f t="shared" si="21"/>
        <v/>
      </c>
      <c r="D223" t="str" vm="3351">
        <f t="shared" si="21"/>
        <v/>
      </c>
      <c r="E223" vm="1791">
        <f t="shared" si="21"/>
        <v>3</v>
      </c>
      <c r="F223" vm="3353">
        <f t="shared" si="21"/>
        <v>61</v>
      </c>
      <c r="G223" t="str" vm="1792">
        <f t="shared" si="21"/>
        <v/>
      </c>
      <c r="H223" t="str" vm="3348">
        <f t="shared" si="21"/>
        <v/>
      </c>
      <c r="I223" t="str" vm="1793">
        <f t="shared" si="21"/>
        <v/>
      </c>
      <c r="J223" t="str" vm="3350">
        <f t="shared" si="21"/>
        <v/>
      </c>
      <c r="K223" vm="3349">
        <f t="shared" si="21"/>
        <v>3</v>
      </c>
      <c r="L223" vm="3352">
        <f t="shared" si="21"/>
        <v>61</v>
      </c>
    </row>
    <row r="224" spans="2:12" x14ac:dyDescent="0.3">
      <c r="B224" s="16" t="str" vm="420">
        <f>CUBEMEMBER("ThisWorkbookDataModel","[Table1].[goal].&amp;[8.88E3]")</f>
        <v>8880</v>
      </c>
      <c r="C224" t="str" vm="1786">
        <f t="shared" si="21"/>
        <v/>
      </c>
      <c r="D224" t="str" vm="2434">
        <f t="shared" si="21"/>
        <v/>
      </c>
      <c r="E224" vm="1787">
        <f t="shared" si="21"/>
        <v>0</v>
      </c>
      <c r="F224" vm="2436">
        <f t="shared" si="21"/>
        <v>0</v>
      </c>
      <c r="G224" t="str" vm="1788">
        <f t="shared" si="21"/>
        <v/>
      </c>
      <c r="H224" t="str" vm="2437">
        <f t="shared" si="21"/>
        <v/>
      </c>
      <c r="I224" t="str" vm="1789">
        <f t="shared" si="21"/>
        <v/>
      </c>
      <c r="J224" t="str" vm="2432">
        <f t="shared" si="21"/>
        <v/>
      </c>
      <c r="K224" vm="2433">
        <f t="shared" si="21"/>
        <v>0</v>
      </c>
      <c r="L224" vm="2435">
        <f t="shared" si="21"/>
        <v>0</v>
      </c>
    </row>
    <row r="225" spans="2:12" x14ac:dyDescent="0.3">
      <c r="B225" s="16" t="str" vm="376">
        <f>CUBEMEMBER("ThisWorkbookDataModel","[Table1].[goal].&amp;[8.8E3]")</f>
        <v>8800</v>
      </c>
      <c r="C225" t="str" vm="1782">
        <f t="shared" si="21"/>
        <v/>
      </c>
      <c r="D225" t="str" vm="3531">
        <f t="shared" si="21"/>
        <v/>
      </c>
      <c r="E225" vm="1783">
        <f t="shared" si="21"/>
        <v>3</v>
      </c>
      <c r="F225" vm="3534">
        <f t="shared" si="21"/>
        <v>1040</v>
      </c>
      <c r="G225" t="str" vm="1784">
        <f t="shared" si="21"/>
        <v/>
      </c>
      <c r="H225" t="str" vm="3535">
        <f t="shared" si="21"/>
        <v/>
      </c>
      <c r="I225" t="str" vm="1785">
        <f t="shared" si="21"/>
        <v/>
      </c>
      <c r="J225" t="str" vm="3536">
        <f t="shared" si="21"/>
        <v/>
      </c>
      <c r="K225" vm="3532">
        <f t="shared" si="21"/>
        <v>3</v>
      </c>
      <c r="L225" vm="3533">
        <f t="shared" si="21"/>
        <v>1040</v>
      </c>
    </row>
    <row r="226" spans="2:12" x14ac:dyDescent="0.3">
      <c r="B226" s="16" t="str" vm="54">
        <f>CUBEMEMBER("ThisWorkbookDataModel","[Table1].[goal].&amp;[8.75E3]")</f>
        <v>8750</v>
      </c>
      <c r="C226" t="str" vm="1110">
        <f t="shared" ref="C226:L235" si="22">CUBEVALUE("ThisWorkbookDataModel",$B226,C$5)</f>
        <v/>
      </c>
      <c r="D226" t="str" vm="3805">
        <f t="shared" si="22"/>
        <v/>
      </c>
      <c r="E226" vm="1111">
        <f t="shared" si="22"/>
        <v>0</v>
      </c>
      <c r="F226" vm="3806">
        <f t="shared" si="22"/>
        <v>0</v>
      </c>
      <c r="G226" t="str" vm="1112">
        <f t="shared" si="22"/>
        <v/>
      </c>
      <c r="H226" t="str" vm="3807">
        <f t="shared" si="22"/>
        <v/>
      </c>
      <c r="I226" vm="1113">
        <f t="shared" si="22"/>
        <v>261</v>
      </c>
      <c r="J226" vm="3803">
        <f t="shared" si="22"/>
        <v>22591.16</v>
      </c>
      <c r="K226" vm="3802">
        <f t="shared" si="22"/>
        <v>261</v>
      </c>
      <c r="L226" vm="3804">
        <f t="shared" si="22"/>
        <v>22591.16</v>
      </c>
    </row>
    <row r="227" spans="2:12" x14ac:dyDescent="0.3">
      <c r="B227" s="16" t="str" vm="93">
        <f>CUBEMEMBER("ThisWorkbookDataModel","[Table1].[goal].&amp;[8.6E3]")</f>
        <v>8600</v>
      </c>
      <c r="C227" t="str" vm="1106">
        <f t="shared" si="22"/>
        <v/>
      </c>
      <c r="D227" t="str" vm="2807">
        <f t="shared" si="22"/>
        <v/>
      </c>
      <c r="E227" t="str" vm="1107">
        <f t="shared" si="22"/>
        <v/>
      </c>
      <c r="F227" t="str" vm="2808">
        <f t="shared" si="22"/>
        <v/>
      </c>
      <c r="G227" t="str" vm="1108">
        <f t="shared" si="22"/>
        <v/>
      </c>
      <c r="H227" t="str" vm="2810">
        <f t="shared" si="22"/>
        <v/>
      </c>
      <c r="I227" vm="1109">
        <f t="shared" si="22"/>
        <v>86</v>
      </c>
      <c r="J227" vm="2811">
        <f t="shared" si="22"/>
        <v>11090</v>
      </c>
      <c r="K227" vm="2812">
        <f t="shared" si="22"/>
        <v>86</v>
      </c>
      <c r="L227" vm="2809">
        <f t="shared" si="22"/>
        <v>11090</v>
      </c>
    </row>
    <row r="228" spans="2:12" x14ac:dyDescent="0.3">
      <c r="B228" s="16" t="str" vm="133">
        <f>CUBEMEMBER("ThisWorkbookDataModel","[Table1].[goal].&amp;[8.5E3]")</f>
        <v>8500</v>
      </c>
      <c r="C228" vm="1102">
        <f t="shared" si="22"/>
        <v>15</v>
      </c>
      <c r="D228" vm="3102">
        <f t="shared" si="22"/>
        <v>401</v>
      </c>
      <c r="E228" vm="1103">
        <f t="shared" si="22"/>
        <v>3</v>
      </c>
      <c r="F228" vm="3098">
        <f t="shared" si="22"/>
        <v>227</v>
      </c>
      <c r="G228" t="str" vm="1104">
        <f t="shared" si="22"/>
        <v/>
      </c>
      <c r="H228" t="str" vm="3099">
        <f t="shared" si="22"/>
        <v/>
      </c>
      <c r="I228" vm="1105">
        <f t="shared" si="22"/>
        <v>2040</v>
      </c>
      <c r="J228" vm="3100">
        <f t="shared" si="22"/>
        <v>119065.19</v>
      </c>
      <c r="K228" vm="3101">
        <f t="shared" si="22"/>
        <v>2058</v>
      </c>
      <c r="L228" vm="3103">
        <f t="shared" si="22"/>
        <v>119693.19</v>
      </c>
    </row>
    <row r="229" spans="2:12" x14ac:dyDescent="0.3">
      <c r="B229" s="16" t="str" vm="173">
        <f>CUBEMEMBER("ThisWorkbookDataModel","[Table1].[goal].&amp;[8.4E3]")</f>
        <v>8400</v>
      </c>
      <c r="C229" t="str" vm="1098">
        <f t="shared" si="22"/>
        <v/>
      </c>
      <c r="D229" t="str" vm="3990">
        <f t="shared" si="22"/>
        <v/>
      </c>
      <c r="E229" t="str" vm="1099">
        <f t="shared" si="22"/>
        <v/>
      </c>
      <c r="F229" t="str" vm="3992">
        <f t="shared" si="22"/>
        <v/>
      </c>
      <c r="G229" t="str" vm="1100">
        <f t="shared" si="22"/>
        <v/>
      </c>
      <c r="H229" t="str" vm="3987">
        <f t="shared" si="22"/>
        <v/>
      </c>
      <c r="I229" vm="1101">
        <f t="shared" si="22"/>
        <v>95</v>
      </c>
      <c r="J229" vm="3988">
        <f t="shared" si="22"/>
        <v>17435</v>
      </c>
      <c r="K229" vm="3989">
        <f t="shared" si="22"/>
        <v>95</v>
      </c>
      <c r="L229" vm="3991">
        <f t="shared" si="22"/>
        <v>17435</v>
      </c>
    </row>
    <row r="230" spans="2:12" x14ac:dyDescent="0.3">
      <c r="B230" s="16" t="str" vm="211">
        <f>CUBEMEMBER("ThisWorkbookDataModel","[Table1].[goal].&amp;[8.3E3]")</f>
        <v>8300</v>
      </c>
      <c r="C230" t="str" vm="1094">
        <f t="shared" si="22"/>
        <v/>
      </c>
      <c r="D230" t="str" vm="4172">
        <f t="shared" si="22"/>
        <v/>
      </c>
      <c r="E230" t="str" vm="1095">
        <f t="shared" si="22"/>
        <v/>
      </c>
      <c r="F230" t="str" vm="4173">
        <f t="shared" si="22"/>
        <v/>
      </c>
      <c r="G230" t="str" vm="1096">
        <f t="shared" si="22"/>
        <v/>
      </c>
      <c r="H230" t="str" vm="4177">
        <f t="shared" si="22"/>
        <v/>
      </c>
      <c r="I230" vm="1097">
        <f t="shared" si="22"/>
        <v>95</v>
      </c>
      <c r="J230" vm="4174">
        <f t="shared" si="22"/>
        <v>9170</v>
      </c>
      <c r="K230" vm="4175">
        <f t="shared" si="22"/>
        <v>95</v>
      </c>
      <c r="L230" vm="4176">
        <f t="shared" si="22"/>
        <v>9170</v>
      </c>
    </row>
    <row r="231" spans="2:12" x14ac:dyDescent="0.3">
      <c r="B231" s="16" t="str" vm="247">
        <f>CUBEMEMBER("ThisWorkbookDataModel","[Table1].[goal].&amp;[8.2E3]")</f>
        <v>8200</v>
      </c>
      <c r="C231" t="str" vm="1090">
        <f t="shared" si="22"/>
        <v/>
      </c>
      <c r="D231" t="str" vm="4387">
        <f t="shared" si="22"/>
        <v/>
      </c>
      <c r="E231" t="str" vm="1091">
        <f t="shared" si="22"/>
        <v/>
      </c>
      <c r="F231" t="str" vm="4388">
        <f t="shared" si="22"/>
        <v/>
      </c>
      <c r="G231" t="str" vm="1092">
        <f t="shared" si="22"/>
        <v/>
      </c>
      <c r="H231" t="str" vm="4389">
        <f t="shared" si="22"/>
        <v/>
      </c>
      <c r="I231" vm="1093">
        <f t="shared" si="22"/>
        <v>119</v>
      </c>
      <c r="J231" vm="4391">
        <f t="shared" si="22"/>
        <v>10013</v>
      </c>
      <c r="K231" vm="4392">
        <f t="shared" si="22"/>
        <v>119</v>
      </c>
      <c r="L231" vm="4390">
        <f t="shared" si="22"/>
        <v>10013</v>
      </c>
    </row>
    <row r="232" spans="2:12" x14ac:dyDescent="0.3">
      <c r="B232" s="16" t="str" vm="155">
        <f>CUBEMEMBER("ThisWorkbookDataModel","[Table1].[goal].&amp;[8.012E3]")</f>
        <v>8012</v>
      </c>
      <c r="C232" t="str" vm="1086">
        <f t="shared" si="22"/>
        <v/>
      </c>
      <c r="D232" t="str" vm="4608">
        <f t="shared" si="22"/>
        <v/>
      </c>
      <c r="E232" t="str" vm="1087">
        <f t="shared" si="22"/>
        <v/>
      </c>
      <c r="F232" t="str" vm="4606">
        <f t="shared" si="22"/>
        <v/>
      </c>
      <c r="G232" t="str" vm="1088">
        <f t="shared" si="22"/>
        <v/>
      </c>
      <c r="H232" t="str" vm="4607">
        <f t="shared" si="22"/>
        <v/>
      </c>
      <c r="I232" vm="1089">
        <f t="shared" si="22"/>
        <v>539</v>
      </c>
      <c r="J232" vm="4605">
        <f t="shared" si="22"/>
        <v>13704.33</v>
      </c>
      <c r="K232" vm="4604">
        <f t="shared" si="22"/>
        <v>539</v>
      </c>
      <c r="L232" vm="4609">
        <f t="shared" si="22"/>
        <v>13704.33</v>
      </c>
    </row>
    <row r="233" spans="2:12" x14ac:dyDescent="0.3">
      <c r="B233" s="16" t="str" vm="16">
        <f>CUBEMEMBER("ThisWorkbookDataModel","[Table1].[goal].&amp;[8.E3]")</f>
        <v>8000</v>
      </c>
      <c r="C233" vm="1082">
        <f t="shared" si="22"/>
        <v>14</v>
      </c>
      <c r="D233" vm="2295">
        <f t="shared" si="22"/>
        <v>486</v>
      </c>
      <c r="E233" vm="1083">
        <f t="shared" si="22"/>
        <v>280</v>
      </c>
      <c r="F233" vm="2565">
        <f t="shared" si="22"/>
        <v>14490.01</v>
      </c>
      <c r="G233" vm="1084">
        <f t="shared" si="22"/>
        <v>101</v>
      </c>
      <c r="H233" vm="2566">
        <f t="shared" si="22"/>
        <v>8730</v>
      </c>
      <c r="I233" vm="1085">
        <f t="shared" si="22"/>
        <v>8885</v>
      </c>
      <c r="J233" vm="2567">
        <f t="shared" si="22"/>
        <v>564050.12</v>
      </c>
      <c r="K233" vm="2564">
        <f t="shared" si="22"/>
        <v>9280</v>
      </c>
      <c r="L233" vm="4257">
        <f t="shared" si="22"/>
        <v>587756.13</v>
      </c>
    </row>
    <row r="234" spans="2:12" x14ac:dyDescent="0.3">
      <c r="B234" s="16" t="str" vm="55">
        <f>CUBEMEMBER("ThisWorkbookDataModel","[Table1].[goal].&amp;[7.9E3]")</f>
        <v>7900</v>
      </c>
      <c r="C234" vm="1078">
        <f t="shared" si="22"/>
        <v>20</v>
      </c>
      <c r="D234" vm="4806">
        <f t="shared" si="22"/>
        <v>1322</v>
      </c>
      <c r="E234" t="str" vm="1079">
        <f t="shared" si="22"/>
        <v/>
      </c>
      <c r="F234" t="str" vm="4802">
        <f t="shared" si="22"/>
        <v/>
      </c>
      <c r="G234" t="str" vm="1080">
        <f t="shared" si="22"/>
        <v/>
      </c>
      <c r="H234" t="str" vm="4803">
        <f t="shared" si="22"/>
        <v/>
      </c>
      <c r="I234" vm="1081">
        <f t="shared" si="22"/>
        <v>159</v>
      </c>
      <c r="J234" vm="4804">
        <f t="shared" si="22"/>
        <v>23175</v>
      </c>
      <c r="K234" vm="4805">
        <f t="shared" si="22"/>
        <v>179</v>
      </c>
      <c r="L234" vm="4807">
        <f t="shared" si="22"/>
        <v>24497</v>
      </c>
    </row>
    <row r="235" spans="2:12" x14ac:dyDescent="0.3">
      <c r="B235" s="16" t="str" vm="94">
        <f>CUBEMEMBER("ThisWorkbookDataModel","[Table1].[goal].&amp;[7.777E3]")</f>
        <v>7777</v>
      </c>
      <c r="C235" t="str" vm="1074">
        <f t="shared" si="22"/>
        <v/>
      </c>
      <c r="D235" t="str" vm="2816">
        <f t="shared" si="22"/>
        <v/>
      </c>
      <c r="E235" vm="1075">
        <f t="shared" si="22"/>
        <v>17</v>
      </c>
      <c r="F235" vm="2818">
        <f t="shared" si="22"/>
        <v>881</v>
      </c>
      <c r="G235" t="str" vm="1076">
        <f t="shared" si="22"/>
        <v/>
      </c>
      <c r="H235" t="str" vm="2813">
        <f t="shared" si="22"/>
        <v/>
      </c>
      <c r="I235" vm="1077">
        <f t="shared" si="22"/>
        <v>115</v>
      </c>
      <c r="J235" vm="2814">
        <f t="shared" si="22"/>
        <v>11364</v>
      </c>
      <c r="K235" vm="2815">
        <f t="shared" si="22"/>
        <v>132</v>
      </c>
      <c r="L235" vm="2817">
        <f t="shared" si="22"/>
        <v>12245</v>
      </c>
    </row>
    <row r="236" spans="2:12" x14ac:dyDescent="0.3">
      <c r="B236" s="16" t="str" vm="134">
        <f>CUBEMEMBER("ThisWorkbookDataModel","[Table1].[goal].&amp;[7.75E3]")</f>
        <v>7750</v>
      </c>
      <c r="C236" t="str" vm="1070">
        <f t="shared" ref="C236:L245" si="23">CUBEVALUE("ThisWorkbookDataModel",$B236,C$5)</f>
        <v/>
      </c>
      <c r="D236" t="str" vm="3106">
        <f t="shared" si="23"/>
        <v/>
      </c>
      <c r="E236" t="str" vm="1071">
        <f t="shared" si="23"/>
        <v/>
      </c>
      <c r="F236" t="str" vm="3108">
        <f t="shared" si="23"/>
        <v/>
      </c>
      <c r="G236" t="str" vm="1072">
        <f t="shared" si="23"/>
        <v/>
      </c>
      <c r="H236" t="str" vm="3109">
        <f t="shared" si="23"/>
        <v/>
      </c>
      <c r="I236" vm="1073">
        <f t="shared" si="23"/>
        <v>26</v>
      </c>
      <c r="J236" vm="3104">
        <f t="shared" si="23"/>
        <v>7860</v>
      </c>
      <c r="K236" vm="3105">
        <f t="shared" si="23"/>
        <v>26</v>
      </c>
      <c r="L236" vm="3107">
        <f t="shared" si="23"/>
        <v>7860</v>
      </c>
    </row>
    <row r="237" spans="2:12" x14ac:dyDescent="0.3">
      <c r="B237" s="16" t="str" vm="430">
        <f>CUBEMEMBER("ThisWorkbookDataModel","[Table1].[goal].&amp;[7.534E3]")</f>
        <v>7534</v>
      </c>
      <c r="C237" vm="1778">
        <f t="shared" si="23"/>
        <v>6</v>
      </c>
      <c r="D237" vm="2685">
        <f t="shared" si="23"/>
        <v>210</v>
      </c>
      <c r="E237" t="str" vm="1779">
        <f t="shared" si="23"/>
        <v/>
      </c>
      <c r="F237" t="str" vm="2681">
        <f t="shared" si="23"/>
        <v/>
      </c>
      <c r="G237" t="str" vm="1780">
        <f t="shared" si="23"/>
        <v/>
      </c>
      <c r="H237" t="str" vm="2682">
        <f t="shared" si="23"/>
        <v/>
      </c>
      <c r="I237" t="str" vm="1781">
        <f t="shared" si="23"/>
        <v/>
      </c>
      <c r="J237" t="str" vm="2683">
        <f t="shared" si="23"/>
        <v/>
      </c>
      <c r="K237" vm="2684">
        <f t="shared" si="23"/>
        <v>6</v>
      </c>
      <c r="L237" vm="2686">
        <f t="shared" si="23"/>
        <v>210</v>
      </c>
    </row>
    <row r="238" spans="2:12" x14ac:dyDescent="0.3">
      <c r="B238" s="16" t="str" vm="174">
        <f>CUBEMEMBER("ThisWorkbookDataModel","[Table1].[goal].&amp;[7.501E3]")</f>
        <v>7501</v>
      </c>
      <c r="C238" t="str" vm="1066">
        <f t="shared" si="23"/>
        <v/>
      </c>
      <c r="D238" t="str" vm="3426">
        <f t="shared" si="23"/>
        <v/>
      </c>
      <c r="E238" t="str" vm="1067">
        <f t="shared" si="23"/>
        <v/>
      </c>
      <c r="F238" t="str" vm="3429">
        <f t="shared" si="23"/>
        <v/>
      </c>
      <c r="G238" t="str" vm="1068">
        <f t="shared" si="23"/>
        <v/>
      </c>
      <c r="H238" t="str" vm="3430">
        <f t="shared" si="23"/>
        <v/>
      </c>
      <c r="I238" vm="1069">
        <f t="shared" si="23"/>
        <v>111</v>
      </c>
      <c r="J238" vm="3431">
        <f t="shared" si="23"/>
        <v>7733</v>
      </c>
      <c r="K238" vm="3428">
        <f t="shared" si="23"/>
        <v>111</v>
      </c>
      <c r="L238" vm="3427">
        <f t="shared" si="23"/>
        <v>7733</v>
      </c>
    </row>
    <row r="239" spans="2:12" x14ac:dyDescent="0.3">
      <c r="B239" s="16" t="str" vm="212">
        <f>CUBEMEMBER("ThisWorkbookDataModel","[Table1].[goal].&amp;[7.5E3]")</f>
        <v>7500</v>
      </c>
      <c r="C239" vm="1062">
        <f t="shared" si="23"/>
        <v>57</v>
      </c>
      <c r="D239" vm="3612">
        <f t="shared" si="23"/>
        <v>4151</v>
      </c>
      <c r="E239" vm="1063">
        <f t="shared" si="23"/>
        <v>105</v>
      </c>
      <c r="F239" vm="3608">
        <f t="shared" si="23"/>
        <v>5616</v>
      </c>
      <c r="G239" vm="1064">
        <f t="shared" si="23"/>
        <v>61</v>
      </c>
      <c r="H239" vm="3609">
        <f t="shared" si="23"/>
        <v>1555</v>
      </c>
      <c r="I239" vm="1065">
        <f t="shared" si="23"/>
        <v>2863</v>
      </c>
      <c r="J239" vm="3610">
        <f t="shared" si="23"/>
        <v>255277.22</v>
      </c>
      <c r="K239" vm="3611">
        <f t="shared" si="23"/>
        <v>3086</v>
      </c>
      <c r="L239" vm="3613">
        <f t="shared" si="23"/>
        <v>266599.21999999997</v>
      </c>
    </row>
    <row r="240" spans="2:12" x14ac:dyDescent="0.3">
      <c r="B240" s="16" t="str" vm="248">
        <f>CUBEMEMBER("ThisWorkbookDataModel","[Table1].[goal].&amp;[7.214E3]")</f>
        <v>7214</v>
      </c>
      <c r="C240" t="str" vm="1058">
        <f t="shared" si="23"/>
        <v/>
      </c>
      <c r="D240" t="str" vm="3811">
        <f t="shared" si="23"/>
        <v/>
      </c>
      <c r="E240" t="str" vm="1059">
        <f t="shared" si="23"/>
        <v/>
      </c>
      <c r="F240" t="str" vm="3813">
        <f t="shared" si="23"/>
        <v/>
      </c>
      <c r="G240" t="str" vm="1060">
        <f t="shared" si="23"/>
        <v/>
      </c>
      <c r="H240" t="str" vm="3808">
        <f t="shared" si="23"/>
        <v/>
      </c>
      <c r="I240" vm="1061">
        <f t="shared" si="23"/>
        <v>175</v>
      </c>
      <c r="J240" vm="3809">
        <f t="shared" si="23"/>
        <v>22991.01</v>
      </c>
      <c r="K240" vm="3810">
        <f t="shared" si="23"/>
        <v>175</v>
      </c>
      <c r="L240" vm="3812">
        <f t="shared" si="23"/>
        <v>22991.01</v>
      </c>
    </row>
    <row r="241" spans="2:12" x14ac:dyDescent="0.3">
      <c r="B241" s="16" t="str" vm="77">
        <f>CUBEMEMBER("ThisWorkbookDataModel","[Table1].[goal].&amp;[7.2E3]")</f>
        <v>7200</v>
      </c>
      <c r="C241" t="str" vm="1054">
        <f t="shared" si="23"/>
        <v/>
      </c>
      <c r="D241" t="str" vm="3994">
        <f t="shared" si="23"/>
        <v/>
      </c>
      <c r="E241" vm="1055">
        <f t="shared" si="23"/>
        <v>38</v>
      </c>
      <c r="F241" vm="3996">
        <f t="shared" si="23"/>
        <v>1742</v>
      </c>
      <c r="G241" t="str" vm="1056">
        <f t="shared" si="23"/>
        <v/>
      </c>
      <c r="H241" t="str" vm="3997">
        <f t="shared" si="23"/>
        <v/>
      </c>
      <c r="I241" vm="1057">
        <f t="shared" si="23"/>
        <v>162</v>
      </c>
      <c r="J241" vm="4879">
        <f t="shared" si="23"/>
        <v>8136.01</v>
      </c>
      <c r="K241" vm="3993">
        <f t="shared" si="23"/>
        <v>200</v>
      </c>
      <c r="L241" vm="3995">
        <f t="shared" si="23"/>
        <v>9878.01</v>
      </c>
    </row>
    <row r="242" spans="2:12" x14ac:dyDescent="0.3">
      <c r="B242" s="16" t="str" vm="287">
        <f>CUBEMEMBER("ThisWorkbookDataModel","[Table1].[goal].&amp;[7.175E3]")</f>
        <v>7175</v>
      </c>
      <c r="C242" t="str" vm="1774">
        <f t="shared" si="23"/>
        <v/>
      </c>
      <c r="D242" t="str" vm="2976">
        <f t="shared" si="23"/>
        <v/>
      </c>
      <c r="E242" vm="1775">
        <f t="shared" si="23"/>
        <v>0</v>
      </c>
      <c r="F242" vm="2978">
        <f t="shared" si="23"/>
        <v>0</v>
      </c>
      <c r="G242" t="str" vm="1776">
        <f t="shared" si="23"/>
        <v/>
      </c>
      <c r="H242" t="str" vm="2974">
        <f t="shared" si="23"/>
        <v/>
      </c>
      <c r="I242" t="str" vm="1777">
        <f t="shared" si="23"/>
        <v/>
      </c>
      <c r="J242" t="str" vm="2975">
        <f t="shared" si="23"/>
        <v/>
      </c>
      <c r="K242" vm="2973">
        <f t="shared" si="23"/>
        <v>0</v>
      </c>
      <c r="L242" vm="2977">
        <f t="shared" si="23"/>
        <v>0</v>
      </c>
    </row>
    <row r="243" spans="2:12" x14ac:dyDescent="0.3">
      <c r="B243" s="16" t="str" vm="17">
        <f>CUBEMEMBER("ThisWorkbookDataModel","[Table1].[goal].&amp;[7.E3]")</f>
        <v>7000</v>
      </c>
      <c r="C243" vm="1050">
        <f t="shared" si="23"/>
        <v>4</v>
      </c>
      <c r="D243" vm="2568">
        <f t="shared" si="23"/>
        <v>65</v>
      </c>
      <c r="E243" vm="1051">
        <f t="shared" si="23"/>
        <v>226</v>
      </c>
      <c r="F243" vm="2570">
        <f t="shared" si="23"/>
        <v>14855</v>
      </c>
      <c r="G243" t="str" vm="1052">
        <f t="shared" si="23"/>
        <v/>
      </c>
      <c r="H243" t="str" vm="2571">
        <f t="shared" si="23"/>
        <v/>
      </c>
      <c r="I243" vm="1053">
        <f t="shared" si="23"/>
        <v>3542</v>
      </c>
      <c r="J243" vm="2572">
        <f t="shared" si="23"/>
        <v>263268.89</v>
      </c>
      <c r="K243" vm="2569">
        <f t="shared" si="23"/>
        <v>3772</v>
      </c>
      <c r="L243" vm="2331">
        <f t="shared" si="23"/>
        <v>278188.89</v>
      </c>
    </row>
    <row r="244" spans="2:12" x14ac:dyDescent="0.3">
      <c r="B244" s="16" t="str" vm="56">
        <f>CUBEMEMBER("ThisWorkbookDataModel","[Table1].[goal].&amp;[6.999E3]")</f>
        <v>6999</v>
      </c>
      <c r="C244" t="str" vm="1046">
        <f t="shared" si="23"/>
        <v/>
      </c>
      <c r="D244" t="str" vm="4182">
        <f t="shared" si="23"/>
        <v/>
      </c>
      <c r="E244" t="str" vm="1047">
        <f t="shared" si="23"/>
        <v/>
      </c>
      <c r="F244" t="str" vm="4178">
        <f t="shared" si="23"/>
        <v/>
      </c>
      <c r="G244" t="str" vm="1048">
        <f t="shared" si="23"/>
        <v/>
      </c>
      <c r="H244" t="str" vm="4179">
        <f t="shared" si="23"/>
        <v/>
      </c>
      <c r="I244" vm="1049">
        <f t="shared" si="23"/>
        <v>70</v>
      </c>
      <c r="J244" vm="4180">
        <f t="shared" si="23"/>
        <v>7495</v>
      </c>
      <c r="K244" vm="4181">
        <f t="shared" si="23"/>
        <v>70</v>
      </c>
      <c r="L244" vm="4183">
        <f t="shared" si="23"/>
        <v>7495</v>
      </c>
    </row>
    <row r="245" spans="2:12" x14ac:dyDescent="0.3">
      <c r="B245" s="16" t="str" vm="95">
        <f>CUBEMEMBER("ThisWorkbookDataModel","[Table1].[goal].&amp;[6.9E3]")</f>
        <v>6900</v>
      </c>
      <c r="C245" t="str" vm="1042">
        <f t="shared" si="23"/>
        <v/>
      </c>
      <c r="D245" t="str" vm="2822">
        <f t="shared" si="23"/>
        <v/>
      </c>
      <c r="E245" t="str" vm="1043">
        <f t="shared" si="23"/>
        <v/>
      </c>
      <c r="F245" t="str" vm="2824">
        <f t="shared" si="23"/>
        <v/>
      </c>
      <c r="G245" t="str" vm="1044">
        <f t="shared" si="23"/>
        <v/>
      </c>
      <c r="H245" t="str" vm="2819">
        <f t="shared" si="23"/>
        <v/>
      </c>
      <c r="I245" vm="1045">
        <f t="shared" si="23"/>
        <v>65</v>
      </c>
      <c r="J245" vm="2820">
        <f t="shared" si="23"/>
        <v>7019</v>
      </c>
      <c r="K245" vm="2821">
        <f t="shared" si="23"/>
        <v>65</v>
      </c>
      <c r="L245" vm="2823">
        <f t="shared" si="23"/>
        <v>7019</v>
      </c>
    </row>
    <row r="246" spans="2:12" x14ac:dyDescent="0.3">
      <c r="B246" s="16" t="str" vm="440">
        <f>CUBEMEMBER("ThisWorkbookDataModel","[Table1].[goal].&amp;[6.75E3]")</f>
        <v>6750</v>
      </c>
      <c r="C246" t="str" vm="1770">
        <f t="shared" ref="C246:L255" si="24">CUBEVALUE("ThisWorkbookDataModel",$B246,C$5)</f>
        <v/>
      </c>
      <c r="D246" t="str" vm="3732">
        <f t="shared" si="24"/>
        <v/>
      </c>
      <c r="E246" vm="1771">
        <f t="shared" si="24"/>
        <v>0</v>
      </c>
      <c r="F246" vm="3734">
        <f t="shared" si="24"/>
        <v>0</v>
      </c>
      <c r="G246" t="str" vm="1772">
        <f t="shared" si="24"/>
        <v/>
      </c>
      <c r="H246" t="str" vm="3735">
        <f t="shared" si="24"/>
        <v/>
      </c>
      <c r="I246" t="str" vm="1773">
        <f t="shared" si="24"/>
        <v/>
      </c>
      <c r="J246" t="str" vm="3730">
        <f t="shared" si="24"/>
        <v/>
      </c>
      <c r="K246" vm="3731">
        <f t="shared" si="24"/>
        <v>0</v>
      </c>
      <c r="L246" vm="3733">
        <f t="shared" si="24"/>
        <v>0</v>
      </c>
    </row>
    <row r="247" spans="2:12" x14ac:dyDescent="0.3">
      <c r="B247" s="16" t="str" vm="135">
        <f>CUBEMEMBER("ThisWorkbookDataModel","[Table1].[goal].&amp;[6.7E3]")</f>
        <v>6700</v>
      </c>
      <c r="C247" t="str" vm="1038">
        <f t="shared" si="24"/>
        <v/>
      </c>
      <c r="D247" t="str" vm="3112">
        <f t="shared" si="24"/>
        <v/>
      </c>
      <c r="E247" vm="1039">
        <f t="shared" si="24"/>
        <v>3</v>
      </c>
      <c r="F247" vm="3114">
        <f t="shared" si="24"/>
        <v>150</v>
      </c>
      <c r="G247" t="str" vm="1040">
        <f t="shared" si="24"/>
        <v/>
      </c>
      <c r="H247" t="str" vm="3115">
        <f t="shared" si="24"/>
        <v/>
      </c>
      <c r="I247" vm="1041">
        <f t="shared" si="24"/>
        <v>141</v>
      </c>
      <c r="J247" vm="3110">
        <f t="shared" si="24"/>
        <v>13323</v>
      </c>
      <c r="K247" vm="3111">
        <f t="shared" si="24"/>
        <v>144</v>
      </c>
      <c r="L247" vm="3113">
        <f t="shared" si="24"/>
        <v>13473</v>
      </c>
    </row>
    <row r="248" spans="2:12" x14ac:dyDescent="0.3">
      <c r="B248" s="16" t="str" vm="175">
        <f>CUBEMEMBER("ThisWorkbookDataModel","[Table1].[goal].&amp;[6.5E3]")</f>
        <v>6500</v>
      </c>
      <c r="C248" vm="1034">
        <f t="shared" si="24"/>
        <v>2</v>
      </c>
      <c r="D248" vm="4393">
        <f t="shared" si="24"/>
        <v>145</v>
      </c>
      <c r="E248" vm="1035">
        <f t="shared" si="24"/>
        <v>289</v>
      </c>
      <c r="F248" vm="4396">
        <f t="shared" si="24"/>
        <v>14115</v>
      </c>
      <c r="G248" t="str" vm="1036">
        <f t="shared" si="24"/>
        <v/>
      </c>
      <c r="H248" t="str" vm="4397">
        <f t="shared" si="24"/>
        <v/>
      </c>
      <c r="I248" vm="1037">
        <f t="shared" si="24"/>
        <v>1068</v>
      </c>
      <c r="J248" vm="4398">
        <f t="shared" si="24"/>
        <v>69654.12</v>
      </c>
      <c r="K248" vm="4395">
        <f t="shared" si="24"/>
        <v>1359</v>
      </c>
      <c r="L248" vm="4394">
        <f t="shared" si="24"/>
        <v>83914.12</v>
      </c>
    </row>
    <row r="249" spans="2:12" x14ac:dyDescent="0.3">
      <c r="B249" s="16" t="str" vm="213">
        <f>CUBEMEMBER("ThisWorkbookDataModel","[Table1].[goal].&amp;[6.45E3]")</f>
        <v>6450</v>
      </c>
      <c r="C249" t="str" vm="1030">
        <f t="shared" si="24"/>
        <v/>
      </c>
      <c r="D249" t="str" vm="4614">
        <f t="shared" si="24"/>
        <v/>
      </c>
      <c r="E249" t="str" vm="1031">
        <f t="shared" si="24"/>
        <v/>
      </c>
      <c r="F249" t="str" vm="4610">
        <f t="shared" si="24"/>
        <v/>
      </c>
      <c r="G249" t="str" vm="1032">
        <f t="shared" si="24"/>
        <v/>
      </c>
      <c r="H249" t="str" vm="4611">
        <f t="shared" si="24"/>
        <v/>
      </c>
      <c r="I249" vm="1033">
        <f t="shared" si="24"/>
        <v>103</v>
      </c>
      <c r="J249" vm="4612">
        <f t="shared" si="24"/>
        <v>7053.61</v>
      </c>
      <c r="K249" vm="4613">
        <f t="shared" si="24"/>
        <v>103</v>
      </c>
      <c r="L249" vm="4615">
        <f t="shared" si="24"/>
        <v>7053.61</v>
      </c>
    </row>
    <row r="250" spans="2:12" x14ac:dyDescent="0.3">
      <c r="B250" s="16" t="str" vm="249">
        <f>CUBEMEMBER("ThisWorkbookDataModel","[Table1].[goal].&amp;[6.35E3]")</f>
        <v>6350</v>
      </c>
      <c r="C250" t="str" vm="1026">
        <f t="shared" si="24"/>
        <v/>
      </c>
      <c r="D250" t="str" vm="4811">
        <f t="shared" si="24"/>
        <v/>
      </c>
      <c r="E250" t="str" vm="1027">
        <f t="shared" si="24"/>
        <v/>
      </c>
      <c r="F250" t="str" vm="4813">
        <f t="shared" si="24"/>
        <v/>
      </c>
      <c r="G250" t="str" vm="1028">
        <f t="shared" si="24"/>
        <v/>
      </c>
      <c r="H250" t="str" vm="4808">
        <f t="shared" si="24"/>
        <v/>
      </c>
      <c r="I250" vm="1029">
        <f t="shared" si="24"/>
        <v>183</v>
      </c>
      <c r="J250" vm="4809">
        <f t="shared" si="24"/>
        <v>6506</v>
      </c>
      <c r="K250" vm="4810">
        <f t="shared" si="24"/>
        <v>183</v>
      </c>
      <c r="L250" vm="4812">
        <f t="shared" si="24"/>
        <v>6506</v>
      </c>
    </row>
    <row r="251" spans="2:12" x14ac:dyDescent="0.3">
      <c r="B251" s="16" t="str" vm="309">
        <f>CUBEMEMBER("ThisWorkbookDataModel","[Table1].[goal].&amp;[6.3E3]")</f>
        <v>6300</v>
      </c>
      <c r="C251" t="str" vm="1766">
        <f t="shared" si="24"/>
        <v/>
      </c>
      <c r="D251" t="str" vm="3260">
        <f t="shared" si="24"/>
        <v/>
      </c>
      <c r="E251" vm="1767">
        <f t="shared" si="24"/>
        <v>11</v>
      </c>
      <c r="F251" vm="3261">
        <f t="shared" si="24"/>
        <v>446</v>
      </c>
      <c r="G251" t="str" vm="1768">
        <f t="shared" si="24"/>
        <v/>
      </c>
      <c r="H251" t="str" vm="3262">
        <f t="shared" si="24"/>
        <v/>
      </c>
      <c r="I251" t="str" vm="1769">
        <f t="shared" si="24"/>
        <v/>
      </c>
      <c r="J251" t="str" vm="3263">
        <f t="shared" si="24"/>
        <v/>
      </c>
      <c r="K251" vm="3258">
        <f t="shared" si="24"/>
        <v>11</v>
      </c>
      <c r="L251" vm="3259">
        <f t="shared" si="24"/>
        <v>446</v>
      </c>
    </row>
    <row r="252" spans="2:12" x14ac:dyDescent="0.3">
      <c r="B252" s="16" t="str" vm="331">
        <f>CUBEMEMBER("ThisWorkbookDataModel","[Table1].[goal].&amp;[6.048E3]")</f>
        <v>6048</v>
      </c>
      <c r="C252" t="str" vm="1762">
        <f t="shared" si="24"/>
        <v/>
      </c>
      <c r="D252" t="str" vm="3919">
        <f t="shared" si="24"/>
        <v/>
      </c>
      <c r="E252" vm="1763">
        <f t="shared" si="24"/>
        <v>7</v>
      </c>
      <c r="F252" vm="3915">
        <f t="shared" si="24"/>
        <v>413</v>
      </c>
      <c r="G252" t="str" vm="1764">
        <f t="shared" si="24"/>
        <v/>
      </c>
      <c r="H252" t="str" vm="3916">
        <f t="shared" si="24"/>
        <v/>
      </c>
      <c r="I252" t="str" vm="1765">
        <f t="shared" si="24"/>
        <v/>
      </c>
      <c r="J252" t="str" vm="3917">
        <f t="shared" si="24"/>
        <v/>
      </c>
      <c r="K252" vm="3918">
        <f t="shared" si="24"/>
        <v>7</v>
      </c>
      <c r="L252" vm="3920">
        <f t="shared" si="24"/>
        <v>413</v>
      </c>
    </row>
    <row r="253" spans="2:12" x14ac:dyDescent="0.3">
      <c r="B253" s="16" t="str" vm="269">
        <f>CUBEMEMBER("ThisWorkbookDataModel","[Table1].[goal].&amp;[6.E3]")</f>
        <v>6000</v>
      </c>
      <c r="C253" vm="1022">
        <f t="shared" si="24"/>
        <v>63</v>
      </c>
      <c r="D253" vm="3434">
        <f t="shared" si="24"/>
        <v>2910</v>
      </c>
      <c r="E253" vm="1023">
        <f t="shared" si="24"/>
        <v>233</v>
      </c>
      <c r="F253" vm="3436">
        <f t="shared" si="24"/>
        <v>19567.55</v>
      </c>
      <c r="G253" vm="1024">
        <f t="shared" si="24"/>
        <v>0</v>
      </c>
      <c r="H253" vm="3437">
        <f t="shared" si="24"/>
        <v>0</v>
      </c>
      <c r="I253" vm="1025">
        <f t="shared" si="24"/>
        <v>5109</v>
      </c>
      <c r="J253" vm="3432">
        <f t="shared" si="24"/>
        <v>369842.25</v>
      </c>
      <c r="K253" vm="3433">
        <f t="shared" si="24"/>
        <v>5405</v>
      </c>
      <c r="L253" vm="3435">
        <f t="shared" si="24"/>
        <v>392319.8</v>
      </c>
    </row>
    <row r="254" spans="2:12" x14ac:dyDescent="0.3">
      <c r="B254" s="16" t="str" vm="354">
        <f>CUBEMEMBER("ThisWorkbookDataModel","[Table1].[goal].&amp;[5.999E3]")</f>
        <v>5999</v>
      </c>
      <c r="C254" t="str" vm="1758">
        <f t="shared" si="24"/>
        <v/>
      </c>
      <c r="D254" t="str" vm="4103">
        <f t="shared" si="24"/>
        <v/>
      </c>
      <c r="E254" vm="1759">
        <f t="shared" si="24"/>
        <v>0</v>
      </c>
      <c r="F254" vm="4105">
        <f t="shared" si="24"/>
        <v>0</v>
      </c>
      <c r="G254" t="str" vm="1760">
        <f t="shared" si="24"/>
        <v/>
      </c>
      <c r="H254" t="str" vm="4100">
        <f t="shared" si="24"/>
        <v/>
      </c>
      <c r="I254" t="str" vm="1761">
        <f t="shared" si="24"/>
        <v/>
      </c>
      <c r="J254" t="str" vm="4102">
        <f t="shared" si="24"/>
        <v/>
      </c>
      <c r="K254" vm="4101">
        <f t="shared" si="24"/>
        <v>0</v>
      </c>
      <c r="L254" vm="4104">
        <f t="shared" si="24"/>
        <v>0</v>
      </c>
    </row>
    <row r="255" spans="2:12" x14ac:dyDescent="0.3">
      <c r="B255" s="16" t="str" vm="18">
        <f>CUBEMEMBER("ThisWorkbookDataModel","[Table1].[goal].&amp;[5.875E3]")</f>
        <v>5875</v>
      </c>
      <c r="C255" t="str" vm="1018">
        <f t="shared" si="24"/>
        <v/>
      </c>
      <c r="D255" t="str" vm="2888">
        <f t="shared" si="24"/>
        <v/>
      </c>
      <c r="E255" t="str" vm="1019">
        <f t="shared" si="24"/>
        <v/>
      </c>
      <c r="F255" t="str" vm="2574">
        <f t="shared" si="24"/>
        <v/>
      </c>
      <c r="G255" t="str" vm="1020">
        <f t="shared" si="24"/>
        <v/>
      </c>
      <c r="H255" t="str" vm="2575">
        <f t="shared" si="24"/>
        <v/>
      </c>
      <c r="I255" vm="1021">
        <f t="shared" si="24"/>
        <v>26</v>
      </c>
      <c r="J255" vm="2576">
        <f t="shared" si="24"/>
        <v>5985</v>
      </c>
      <c r="K255" vm="2573">
        <f t="shared" si="24"/>
        <v>26</v>
      </c>
      <c r="L255" vm="4272">
        <f t="shared" si="24"/>
        <v>5985</v>
      </c>
    </row>
    <row r="256" spans="2:12" x14ac:dyDescent="0.3">
      <c r="B256" s="16" t="str" vm="57">
        <f>CUBEMEMBER("ThisWorkbookDataModel","[Table1].[goal].&amp;[5.862E3]")</f>
        <v>5862</v>
      </c>
      <c r="C256" t="str" vm="1014">
        <f t="shared" ref="C256:L265" si="25">CUBEVALUE("ThisWorkbookDataModel",$B256,C$5)</f>
        <v/>
      </c>
      <c r="D256" t="str" vm="3618">
        <f t="shared" si="25"/>
        <v/>
      </c>
      <c r="E256" t="str" vm="1015">
        <f t="shared" si="25"/>
        <v/>
      </c>
      <c r="F256" t="str" vm="3614">
        <f t="shared" si="25"/>
        <v/>
      </c>
      <c r="G256" t="str" vm="1016">
        <f t="shared" si="25"/>
        <v/>
      </c>
      <c r="H256" t="str" vm="3615">
        <f t="shared" si="25"/>
        <v/>
      </c>
      <c r="I256" vm="1017">
        <f t="shared" si="25"/>
        <v>104</v>
      </c>
      <c r="J256" vm="3616">
        <f t="shared" si="25"/>
        <v>6208.98</v>
      </c>
      <c r="K256" vm="3617">
        <f t="shared" si="25"/>
        <v>104</v>
      </c>
      <c r="L256" vm="3619">
        <f t="shared" si="25"/>
        <v>6208.98</v>
      </c>
    </row>
    <row r="257" spans="2:12" x14ac:dyDescent="0.3">
      <c r="B257" s="16" t="str" vm="434">
        <f>CUBEMEMBER("ThisWorkbookDataModel","[Table1].[goal].&amp;[5.845E3]")</f>
        <v>5845</v>
      </c>
      <c r="C257" t="str" vm="1754">
        <f t="shared" si="25"/>
        <v/>
      </c>
      <c r="D257" t="str" vm="2440">
        <f t="shared" si="25"/>
        <v/>
      </c>
      <c r="E257" vm="1755">
        <f t="shared" si="25"/>
        <v>31</v>
      </c>
      <c r="F257" vm="2442">
        <f t="shared" si="25"/>
        <v>2476</v>
      </c>
      <c r="G257" t="str" vm="1756">
        <f t="shared" si="25"/>
        <v/>
      </c>
      <c r="H257" t="str" vm="2443">
        <f t="shared" si="25"/>
        <v/>
      </c>
      <c r="I257" t="str" vm="1757">
        <f t="shared" si="25"/>
        <v/>
      </c>
      <c r="J257" t="str" vm="2438">
        <f t="shared" si="25"/>
        <v/>
      </c>
      <c r="K257" vm="2439">
        <f t="shared" si="25"/>
        <v>31</v>
      </c>
      <c r="L257" vm="2441">
        <f t="shared" si="25"/>
        <v>2476</v>
      </c>
    </row>
    <row r="258" spans="2:12" x14ac:dyDescent="0.3">
      <c r="B258" s="16" t="str" vm="96">
        <f>CUBEMEMBER("ThisWorkbookDataModel","[Table1].[goal].&amp;[5.8E3]")</f>
        <v>5800</v>
      </c>
      <c r="C258" vm="1010">
        <f t="shared" si="25"/>
        <v>9</v>
      </c>
      <c r="D258" vm="2827">
        <f t="shared" si="25"/>
        <v>876</v>
      </c>
      <c r="E258" t="str" vm="1011">
        <f t="shared" si="25"/>
        <v/>
      </c>
      <c r="F258" t="str" vm="2271">
        <f t="shared" si="25"/>
        <v/>
      </c>
      <c r="G258" t="str" vm="1012">
        <f t="shared" si="25"/>
        <v/>
      </c>
      <c r="H258" t="str" vm="3678">
        <f t="shared" si="25"/>
        <v/>
      </c>
      <c r="I258" vm="1013">
        <f t="shared" si="25"/>
        <v>108</v>
      </c>
      <c r="J258" vm="2825">
        <f t="shared" si="25"/>
        <v>12783</v>
      </c>
      <c r="K258" vm="2826">
        <f t="shared" si="25"/>
        <v>117</v>
      </c>
      <c r="L258" vm="2828">
        <f t="shared" si="25"/>
        <v>13659</v>
      </c>
    </row>
    <row r="259" spans="2:12" x14ac:dyDescent="0.3">
      <c r="B259" s="16" t="str" vm="377">
        <f>CUBEMEMBER("ThisWorkbookDataModel","[Table1].[goal].&amp;[5.6E3]")</f>
        <v>5600</v>
      </c>
      <c r="C259" t="str" vm="1750">
        <f t="shared" si="25"/>
        <v/>
      </c>
      <c r="D259" t="str" vm="4315">
        <f t="shared" si="25"/>
        <v/>
      </c>
      <c r="E259" vm="1751">
        <f t="shared" si="25"/>
        <v>12</v>
      </c>
      <c r="F259" vm="4318">
        <f t="shared" si="25"/>
        <v>460</v>
      </c>
      <c r="G259" t="str" vm="1752">
        <f t="shared" si="25"/>
        <v/>
      </c>
      <c r="H259" t="str" vm="4319">
        <f t="shared" si="25"/>
        <v/>
      </c>
      <c r="I259" t="str" vm="1753">
        <f t="shared" si="25"/>
        <v/>
      </c>
      <c r="J259" t="str" vm="4320">
        <f t="shared" si="25"/>
        <v/>
      </c>
      <c r="K259" vm="4316">
        <f t="shared" si="25"/>
        <v>12</v>
      </c>
      <c r="L259" vm="4317">
        <f t="shared" si="25"/>
        <v>460</v>
      </c>
    </row>
    <row r="260" spans="2:12" x14ac:dyDescent="0.3">
      <c r="B260" s="16" t="str" vm="136">
        <f>CUBEMEMBER("ThisWorkbookDataModel","[Table1].[goal].&amp;[5.55555E3]")</f>
        <v>5555.55</v>
      </c>
      <c r="C260" t="str" vm="1006">
        <f t="shared" si="25"/>
        <v/>
      </c>
      <c r="D260" t="str" vm="3117">
        <f t="shared" si="25"/>
        <v/>
      </c>
      <c r="E260" t="str" vm="1007">
        <f t="shared" si="25"/>
        <v/>
      </c>
      <c r="F260" t="str" vm="3119">
        <f t="shared" si="25"/>
        <v/>
      </c>
      <c r="G260" t="str" vm="1008">
        <f t="shared" si="25"/>
        <v/>
      </c>
      <c r="H260" t="str" vm="2288">
        <f t="shared" si="25"/>
        <v/>
      </c>
      <c r="I260" vm="1009">
        <f t="shared" si="25"/>
        <v>149</v>
      </c>
      <c r="J260" vm="4890">
        <f t="shared" si="25"/>
        <v>6041.55</v>
      </c>
      <c r="K260" vm="3116">
        <f t="shared" si="25"/>
        <v>149</v>
      </c>
      <c r="L260" vm="3118">
        <f t="shared" si="25"/>
        <v>6041.55</v>
      </c>
    </row>
    <row r="261" spans="2:12" x14ac:dyDescent="0.3">
      <c r="B261" s="16" t="str" vm="176">
        <f>CUBEMEMBER("ThisWorkbookDataModel","[Table1].[goal].&amp;[5.5E3]")</f>
        <v>5500</v>
      </c>
      <c r="C261" vm="1002">
        <f t="shared" si="25"/>
        <v>6</v>
      </c>
      <c r="D261" vm="3814">
        <f t="shared" si="25"/>
        <v>180</v>
      </c>
      <c r="E261" vm="1003">
        <f t="shared" si="25"/>
        <v>173</v>
      </c>
      <c r="F261" vm="3815">
        <f t="shared" si="25"/>
        <v>13777</v>
      </c>
      <c r="G261" t="str" vm="1004">
        <f t="shared" si="25"/>
        <v/>
      </c>
      <c r="H261" t="str" vm="3819">
        <f t="shared" si="25"/>
        <v/>
      </c>
      <c r="I261" vm="1005">
        <f t="shared" si="25"/>
        <v>1436</v>
      </c>
      <c r="J261" vm="3816">
        <f t="shared" si="25"/>
        <v>106620.92</v>
      </c>
      <c r="K261" vm="3818">
        <f t="shared" si="25"/>
        <v>1615</v>
      </c>
      <c r="L261" vm="3817">
        <f t="shared" si="25"/>
        <v>120577.92</v>
      </c>
    </row>
    <row r="262" spans="2:12" x14ac:dyDescent="0.3">
      <c r="B262" s="16" t="str" vm="214">
        <f>CUBEMEMBER("ThisWorkbookDataModel","[Table1].[goal].&amp;[5.494E3]")</f>
        <v>5494</v>
      </c>
      <c r="C262" t="str" vm="998">
        <f t="shared" si="25"/>
        <v/>
      </c>
      <c r="D262" t="str" vm="2306">
        <f t="shared" si="25"/>
        <v/>
      </c>
      <c r="E262" t="str" vm="999">
        <f t="shared" si="25"/>
        <v/>
      </c>
      <c r="F262" t="str" vm="2296">
        <f t="shared" si="25"/>
        <v/>
      </c>
      <c r="G262" t="str" vm="1000">
        <f t="shared" si="25"/>
        <v/>
      </c>
      <c r="H262" t="str" vm="3998">
        <f t="shared" si="25"/>
        <v/>
      </c>
      <c r="I262" vm="1001">
        <f t="shared" si="25"/>
        <v>514</v>
      </c>
      <c r="J262" vm="4000">
        <f t="shared" si="25"/>
        <v>22645</v>
      </c>
      <c r="K262" vm="4001">
        <f t="shared" si="25"/>
        <v>514</v>
      </c>
      <c r="L262" vm="3999">
        <f t="shared" si="25"/>
        <v>22645</v>
      </c>
    </row>
    <row r="263" spans="2:12" x14ac:dyDescent="0.3">
      <c r="B263" s="16" t="str" vm="250">
        <f>CUBEMEMBER("ThisWorkbookDataModel","[Table1].[goal].&amp;[5.4E3]")</f>
        <v>5400</v>
      </c>
      <c r="C263" t="str" vm="994">
        <f t="shared" si="25"/>
        <v/>
      </c>
      <c r="D263" t="str" vm="4188">
        <f t="shared" si="25"/>
        <v/>
      </c>
      <c r="E263" t="str" vm="995">
        <f t="shared" si="25"/>
        <v/>
      </c>
      <c r="F263" t="str" vm="4184">
        <f t="shared" si="25"/>
        <v/>
      </c>
      <c r="G263" t="str" vm="996">
        <f t="shared" si="25"/>
        <v/>
      </c>
      <c r="H263" t="str" vm="4185">
        <f t="shared" si="25"/>
        <v/>
      </c>
      <c r="I263" vm="997">
        <f t="shared" si="25"/>
        <v>154</v>
      </c>
      <c r="J263" vm="4186">
        <f t="shared" si="25"/>
        <v>12504.84</v>
      </c>
      <c r="K263" vm="4187">
        <f t="shared" si="25"/>
        <v>154</v>
      </c>
      <c r="L263" vm="4189">
        <f t="shared" si="25"/>
        <v>12504.84</v>
      </c>
    </row>
    <row r="264" spans="2:12" x14ac:dyDescent="0.3">
      <c r="B264" s="16" t="str" vm="116">
        <f>CUBEMEMBER("ThisWorkbookDataModel","[Table1].[goal].&amp;[5.25E3]")</f>
        <v>5250</v>
      </c>
      <c r="C264" t="str" vm="990">
        <f t="shared" si="25"/>
        <v/>
      </c>
      <c r="D264" t="str" vm="4399">
        <f t="shared" si="25"/>
        <v/>
      </c>
      <c r="E264" t="str" vm="991">
        <f t="shared" si="25"/>
        <v/>
      </c>
      <c r="F264" t="str" vm="4404">
        <f t="shared" si="25"/>
        <v/>
      </c>
      <c r="G264" t="str" vm="992">
        <f t="shared" si="25"/>
        <v/>
      </c>
      <c r="H264" t="str" vm="4400">
        <f t="shared" si="25"/>
        <v/>
      </c>
      <c r="I264" vm="993">
        <f t="shared" si="25"/>
        <v>144</v>
      </c>
      <c r="J264" vm="4401">
        <f t="shared" si="25"/>
        <v>10977</v>
      </c>
      <c r="K264" vm="4403">
        <f t="shared" si="25"/>
        <v>144</v>
      </c>
      <c r="L264" vm="4402">
        <f t="shared" si="25"/>
        <v>10977</v>
      </c>
    </row>
    <row r="265" spans="2:12" x14ac:dyDescent="0.3">
      <c r="B265" s="16" t="str" vm="451">
        <f>CUBEMEMBER("ThisWorkbookDataModel","[Table1].[goal].&amp;[5.2E3]")</f>
        <v>5200</v>
      </c>
      <c r="C265" t="str" vm="1746">
        <f t="shared" si="25"/>
        <v/>
      </c>
      <c r="D265" t="str" vm="2691">
        <f t="shared" si="25"/>
        <v/>
      </c>
      <c r="E265" vm="1747">
        <f t="shared" si="25"/>
        <v>0</v>
      </c>
      <c r="F265" vm="2687">
        <f t="shared" si="25"/>
        <v>0</v>
      </c>
      <c r="G265" t="str" vm="1748">
        <f t="shared" si="25"/>
        <v/>
      </c>
      <c r="H265" t="str" vm="2688">
        <f t="shared" si="25"/>
        <v/>
      </c>
      <c r="I265" t="str" vm="1749">
        <f t="shared" si="25"/>
        <v/>
      </c>
      <c r="J265" t="str" vm="2689">
        <f t="shared" si="25"/>
        <v/>
      </c>
      <c r="K265" vm="2690">
        <f t="shared" si="25"/>
        <v>0</v>
      </c>
      <c r="L265" vm="2692">
        <f t="shared" si="25"/>
        <v>0</v>
      </c>
    </row>
    <row r="266" spans="2:12" x14ac:dyDescent="0.3">
      <c r="B266" s="16" t="str" vm="288">
        <f>CUBEMEMBER("ThisWorkbookDataModel","[Table1].[goal].&amp;[5.105E3]")</f>
        <v>5105</v>
      </c>
      <c r="C266" t="str" vm="1742">
        <f t="shared" ref="C266:L275" si="26">CUBEVALUE("ThisWorkbookDataModel",$B266,C$5)</f>
        <v/>
      </c>
      <c r="D266" t="str" vm="2982">
        <f t="shared" si="26"/>
        <v/>
      </c>
      <c r="E266" t="str" vm="1743">
        <f t="shared" si="26"/>
        <v/>
      </c>
      <c r="F266" t="str" vm="2984">
        <f t="shared" si="26"/>
        <v/>
      </c>
      <c r="G266" vm="1744">
        <f t="shared" si="26"/>
        <v>4</v>
      </c>
      <c r="H266" vm="2979">
        <f t="shared" si="26"/>
        <v>216</v>
      </c>
      <c r="I266" t="str" vm="1745">
        <f t="shared" si="26"/>
        <v/>
      </c>
      <c r="J266" t="str" vm="2981">
        <f t="shared" si="26"/>
        <v/>
      </c>
      <c r="K266" vm="2980">
        <f t="shared" si="26"/>
        <v>4</v>
      </c>
      <c r="L266" vm="2983">
        <f t="shared" si="26"/>
        <v>216</v>
      </c>
    </row>
    <row r="267" spans="2:12" x14ac:dyDescent="0.3">
      <c r="B267" s="16" t="str" vm="389">
        <f>CUBEMEMBER("ThisWorkbookDataModel","[Table1].[goal].&amp;[5.05E3]")</f>
        <v>5050</v>
      </c>
      <c r="C267" t="str" vm="1738">
        <f t="shared" si="26"/>
        <v/>
      </c>
      <c r="D267" t="str" vm="4534">
        <f t="shared" si="26"/>
        <v/>
      </c>
      <c r="E267" vm="1739">
        <f t="shared" si="26"/>
        <v>2</v>
      </c>
      <c r="F267" vm="4536">
        <f t="shared" si="26"/>
        <v>10</v>
      </c>
      <c r="G267" t="str" vm="1740">
        <f t="shared" si="26"/>
        <v/>
      </c>
      <c r="H267" t="str" vm="4537">
        <f t="shared" si="26"/>
        <v/>
      </c>
      <c r="I267" t="str" vm="1741">
        <f t="shared" si="26"/>
        <v/>
      </c>
      <c r="J267" t="str" vm="4532">
        <f t="shared" si="26"/>
        <v/>
      </c>
      <c r="K267" vm="4533">
        <f t="shared" si="26"/>
        <v>2</v>
      </c>
      <c r="L267" vm="4535">
        <f t="shared" si="26"/>
        <v>10</v>
      </c>
    </row>
    <row r="268" spans="2:12" x14ac:dyDescent="0.3">
      <c r="B268" s="16" t="str" vm="19">
        <f>CUBEMEMBER("ThisWorkbookDataModel","[Table1].[goal].&amp;[5.E3]")</f>
        <v>5000</v>
      </c>
      <c r="C268" vm="986">
        <f t="shared" si="26"/>
        <v>868</v>
      </c>
      <c r="D268" vm="2887">
        <f t="shared" si="26"/>
        <v>1087105.05</v>
      </c>
      <c r="E268" vm="987">
        <f t="shared" si="26"/>
        <v>1103</v>
      </c>
      <c r="F268" vm="2246">
        <f t="shared" si="26"/>
        <v>66317</v>
      </c>
      <c r="G268" vm="988">
        <f t="shared" si="26"/>
        <v>16</v>
      </c>
      <c r="H268" vm="2579">
        <f t="shared" si="26"/>
        <v>2408</v>
      </c>
      <c r="I268" vm="989">
        <f t="shared" si="26"/>
        <v>16039</v>
      </c>
      <c r="J268" vm="2577">
        <f t="shared" si="26"/>
        <v>1202555.83</v>
      </c>
      <c r="K268" vm="2578">
        <f t="shared" si="26"/>
        <v>18026</v>
      </c>
      <c r="L268" vm="2332">
        <f t="shared" si="26"/>
        <v>2358385.88</v>
      </c>
    </row>
    <row r="269" spans="2:12" x14ac:dyDescent="0.3">
      <c r="B269" s="16" t="str" vm="58">
        <f>CUBEMEMBER("ThisWorkbookDataModel","[Table1].[goal].&amp;[4.999E3]")</f>
        <v>4999</v>
      </c>
      <c r="C269" t="str" vm="982">
        <f t="shared" si="26"/>
        <v/>
      </c>
      <c r="D269" t="str" vm="4616">
        <f t="shared" si="26"/>
        <v/>
      </c>
      <c r="E269" t="str" vm="983">
        <f t="shared" si="26"/>
        <v/>
      </c>
      <c r="F269" t="str" vm="4617">
        <f t="shared" si="26"/>
        <v/>
      </c>
      <c r="G269" t="str" vm="984">
        <f t="shared" si="26"/>
        <v/>
      </c>
      <c r="H269" t="str" vm="4618">
        <f t="shared" si="26"/>
        <v/>
      </c>
      <c r="I269" vm="985">
        <f t="shared" si="26"/>
        <v>81</v>
      </c>
      <c r="J269" vm="4620">
        <f t="shared" si="26"/>
        <v>5604</v>
      </c>
      <c r="K269" vm="4621">
        <f t="shared" si="26"/>
        <v>81</v>
      </c>
      <c r="L269" vm="4619">
        <f t="shared" si="26"/>
        <v>5604</v>
      </c>
    </row>
    <row r="270" spans="2:12" x14ac:dyDescent="0.3">
      <c r="B270" s="16" t="str" vm="310">
        <f>CUBEMEMBER("ThisWorkbookDataModel","[Table1].[goal].&amp;[4.95E3]")</f>
        <v>4950</v>
      </c>
      <c r="C270" t="str" vm="1734">
        <f t="shared" si="26"/>
        <v/>
      </c>
      <c r="D270" t="str" vm="3266">
        <f t="shared" si="26"/>
        <v/>
      </c>
      <c r="E270" vm="1735">
        <f t="shared" si="26"/>
        <v>0</v>
      </c>
      <c r="F270" vm="3267">
        <f t="shared" si="26"/>
        <v>0</v>
      </c>
      <c r="G270" t="str" vm="1736">
        <f t="shared" si="26"/>
        <v/>
      </c>
      <c r="H270" t="str" vm="3268">
        <f t="shared" si="26"/>
        <v/>
      </c>
      <c r="I270" t="str" vm="1737">
        <f t="shared" si="26"/>
        <v/>
      </c>
      <c r="J270" t="str" vm="3269">
        <f t="shared" si="26"/>
        <v/>
      </c>
      <c r="K270" vm="3264">
        <f t="shared" si="26"/>
        <v>0</v>
      </c>
      <c r="L270" vm="3265">
        <f t="shared" si="26"/>
        <v>0</v>
      </c>
    </row>
    <row r="271" spans="2:12" x14ac:dyDescent="0.3">
      <c r="B271" s="16" t="str" vm="97">
        <f>CUBEMEMBER("ThisWorkbookDataModel","[Table1].[goal].&amp;[4.9E3]")</f>
        <v>4900</v>
      </c>
      <c r="C271" t="str" vm="978">
        <f t="shared" si="26"/>
        <v/>
      </c>
      <c r="D271" t="str" vm="2832">
        <f t="shared" si="26"/>
        <v/>
      </c>
      <c r="E271" t="str" vm="979">
        <f t="shared" si="26"/>
        <v/>
      </c>
      <c r="F271" t="str" vm="2829">
        <f t="shared" si="26"/>
        <v/>
      </c>
      <c r="G271" t="str" vm="980">
        <f t="shared" si="26"/>
        <v/>
      </c>
      <c r="H271" t="str" vm="2830">
        <f t="shared" si="26"/>
        <v/>
      </c>
      <c r="I271" vm="981">
        <f t="shared" si="26"/>
        <v>445</v>
      </c>
      <c r="J271" vm="4892">
        <f t="shared" si="26"/>
        <v>52259.01</v>
      </c>
      <c r="K271" vm="2831">
        <f t="shared" si="26"/>
        <v>445</v>
      </c>
      <c r="L271" vm="2833">
        <f t="shared" si="26"/>
        <v>52259.01</v>
      </c>
    </row>
    <row r="272" spans="2:12" x14ac:dyDescent="0.3">
      <c r="B272" s="16" t="str" vm="137">
        <f>CUBEMEMBER("ThisWorkbookDataModel","[Table1].[goal].&amp;[4.8E3]")</f>
        <v>4800</v>
      </c>
      <c r="C272" t="str" vm="974">
        <f t="shared" si="26"/>
        <v/>
      </c>
      <c r="D272" t="str" vm="2272">
        <f t="shared" si="26"/>
        <v/>
      </c>
      <c r="E272" vm="975">
        <f t="shared" si="26"/>
        <v>24</v>
      </c>
      <c r="F272" vm="3123">
        <f t="shared" si="26"/>
        <v>1201</v>
      </c>
      <c r="G272" t="str" vm="976">
        <f t="shared" si="26"/>
        <v/>
      </c>
      <c r="H272" t="str" vm="3677">
        <f t="shared" si="26"/>
        <v/>
      </c>
      <c r="I272" vm="977">
        <f t="shared" si="26"/>
        <v>103</v>
      </c>
      <c r="J272" vm="3120">
        <f t="shared" si="26"/>
        <v>6029</v>
      </c>
      <c r="K272" vm="3122">
        <f t="shared" si="26"/>
        <v>127</v>
      </c>
      <c r="L272" vm="3121">
        <f t="shared" si="26"/>
        <v>7230</v>
      </c>
    </row>
    <row r="273" spans="2:12" x14ac:dyDescent="0.3">
      <c r="B273" s="16" t="str" vm="177">
        <f>CUBEMEMBER("ThisWorkbookDataModel","[Table1].[goal].&amp;[4.7E3]")</f>
        <v>4700</v>
      </c>
      <c r="C273" t="str" vm="970">
        <f t="shared" si="26"/>
        <v/>
      </c>
      <c r="D273" t="str" vm="4816">
        <f t="shared" si="26"/>
        <v/>
      </c>
      <c r="E273" t="str" vm="971">
        <f t="shared" si="26"/>
        <v/>
      </c>
      <c r="F273" t="str" vm="4817">
        <f t="shared" si="26"/>
        <v/>
      </c>
      <c r="G273" t="str" vm="972">
        <f t="shared" si="26"/>
        <v/>
      </c>
      <c r="H273" t="str" vm="4819">
        <f t="shared" si="26"/>
        <v/>
      </c>
      <c r="I273" vm="973">
        <f t="shared" si="26"/>
        <v>50</v>
      </c>
      <c r="J273" vm="4814">
        <f t="shared" si="26"/>
        <v>5259</v>
      </c>
      <c r="K273" vm="4818">
        <f t="shared" si="26"/>
        <v>50</v>
      </c>
      <c r="L273" vm="4815">
        <f t="shared" si="26"/>
        <v>5259</v>
      </c>
    </row>
    <row r="274" spans="2:12" x14ac:dyDescent="0.3">
      <c r="B274" s="16" t="str" vm="215">
        <f>CUBEMEMBER("ThisWorkbookDataModel","[Table1].[goal].&amp;[4.6E3]")</f>
        <v>4600</v>
      </c>
      <c r="C274" vm="966">
        <f t="shared" si="26"/>
        <v>1</v>
      </c>
      <c r="D274" vm="3438">
        <f t="shared" si="26"/>
        <v>28</v>
      </c>
      <c r="E274" t="str" vm="967">
        <f t="shared" si="26"/>
        <v/>
      </c>
      <c r="F274" t="str" vm="3439">
        <f t="shared" si="26"/>
        <v/>
      </c>
      <c r="G274" t="str" vm="968">
        <f t="shared" si="26"/>
        <v/>
      </c>
      <c r="H274" t="str" vm="3440">
        <f t="shared" si="26"/>
        <v/>
      </c>
      <c r="I274" vm="969">
        <f t="shared" si="26"/>
        <v>191</v>
      </c>
      <c r="J274" vm="3442">
        <f t="shared" si="26"/>
        <v>10487</v>
      </c>
      <c r="K274" vm="3443">
        <f t="shared" si="26"/>
        <v>192</v>
      </c>
      <c r="L274" vm="3441">
        <f t="shared" si="26"/>
        <v>10515</v>
      </c>
    </row>
    <row r="275" spans="2:12" x14ac:dyDescent="0.3">
      <c r="B275" s="16" t="str" vm="251">
        <f>CUBEMEMBER("ThisWorkbookDataModel","[Table1].[goal].&amp;[4.589E3]")</f>
        <v>4589</v>
      </c>
      <c r="C275" t="str" vm="962">
        <f t="shared" si="26"/>
        <v/>
      </c>
      <c r="D275" t="str" vm="3622">
        <f t="shared" si="26"/>
        <v/>
      </c>
      <c r="E275" t="str" vm="963">
        <f t="shared" si="26"/>
        <v/>
      </c>
      <c r="F275" t="str" vm="3620">
        <f t="shared" si="26"/>
        <v/>
      </c>
      <c r="G275" t="str" vm="964">
        <f t="shared" si="26"/>
        <v/>
      </c>
      <c r="H275" t="str" vm="2307">
        <f t="shared" si="26"/>
        <v/>
      </c>
      <c r="I275" vm="965">
        <f t="shared" si="26"/>
        <v>75</v>
      </c>
      <c r="J275" vm="4885">
        <f t="shared" si="26"/>
        <v>4856</v>
      </c>
      <c r="K275" vm="3621">
        <f t="shared" si="26"/>
        <v>75</v>
      </c>
      <c r="L275" vm="3623">
        <f t="shared" si="26"/>
        <v>4856</v>
      </c>
    </row>
    <row r="276" spans="2:12" x14ac:dyDescent="0.3">
      <c r="B276" s="16" t="str" vm="156">
        <f>CUBEMEMBER("ThisWorkbookDataModel","[Table1].[goal].&amp;[4.575E3]")</f>
        <v>4575</v>
      </c>
      <c r="C276" t="str" vm="958">
        <f t="shared" ref="C276:L285" si="27">CUBEVALUE("ThisWorkbookDataModel",$B276,C$5)</f>
        <v/>
      </c>
      <c r="D276" t="str" vm="3820">
        <f t="shared" si="27"/>
        <v/>
      </c>
      <c r="E276" t="str" vm="959">
        <f t="shared" si="27"/>
        <v/>
      </c>
      <c r="F276" t="str" vm="3825">
        <f t="shared" si="27"/>
        <v/>
      </c>
      <c r="G276" t="str" vm="960">
        <f t="shared" si="27"/>
        <v/>
      </c>
      <c r="H276" t="str" vm="3821">
        <f t="shared" si="27"/>
        <v/>
      </c>
      <c r="I276" vm="961">
        <f t="shared" si="27"/>
        <v>105</v>
      </c>
      <c r="J276" vm="3822">
        <f t="shared" si="27"/>
        <v>5322</v>
      </c>
      <c r="K276" vm="3824">
        <f t="shared" si="27"/>
        <v>105</v>
      </c>
      <c r="L276" vm="3823">
        <f t="shared" si="27"/>
        <v>5322</v>
      </c>
    </row>
    <row r="277" spans="2:12" x14ac:dyDescent="0.3">
      <c r="B277" s="16" t="str" vm="20">
        <f>CUBEMEMBER("ThisWorkbookDataModel","[Table1].[goal].&amp;[4.5E3]")</f>
        <v>4500</v>
      </c>
      <c r="C277" vm="954">
        <f t="shared" si="27"/>
        <v>9</v>
      </c>
      <c r="D277" vm="2580">
        <f t="shared" si="27"/>
        <v>338</v>
      </c>
      <c r="E277" vm="955">
        <f t="shared" si="27"/>
        <v>10</v>
      </c>
      <c r="F277" vm="2333">
        <f t="shared" si="27"/>
        <v>341</v>
      </c>
      <c r="G277" t="str" vm="956">
        <f t="shared" si="27"/>
        <v/>
      </c>
      <c r="H277" t="str" vm="2582">
        <f t="shared" si="27"/>
        <v/>
      </c>
      <c r="I277" vm="957">
        <f t="shared" si="27"/>
        <v>1666</v>
      </c>
      <c r="J277" vm="4886">
        <f t="shared" si="27"/>
        <v>103278.56</v>
      </c>
      <c r="K277" vm="2581">
        <f t="shared" si="27"/>
        <v>1685</v>
      </c>
      <c r="L277" vm="4256">
        <f t="shared" si="27"/>
        <v>103957.56</v>
      </c>
    </row>
    <row r="278" spans="2:12" x14ac:dyDescent="0.3">
      <c r="B278" s="16" t="str" vm="332">
        <f>CUBEMEMBER("ThisWorkbookDataModel","[Table1].[goal].&amp;[4.48E3]")</f>
        <v>4480</v>
      </c>
      <c r="C278" t="str" vm="1730">
        <f t="shared" si="27"/>
        <v/>
      </c>
      <c r="D278" t="str" vm="4734">
        <f t="shared" si="27"/>
        <v/>
      </c>
      <c r="E278" vm="1731">
        <f t="shared" si="27"/>
        <v>3</v>
      </c>
      <c r="F278" vm="4730">
        <f t="shared" si="27"/>
        <v>30</v>
      </c>
      <c r="G278" t="str" vm="1732">
        <f t="shared" si="27"/>
        <v/>
      </c>
      <c r="H278" t="str" vm="4731">
        <f t="shared" si="27"/>
        <v/>
      </c>
      <c r="I278" t="str" vm="1733">
        <f t="shared" si="27"/>
        <v/>
      </c>
      <c r="J278" t="str" vm="4732">
        <f t="shared" si="27"/>
        <v/>
      </c>
      <c r="K278" vm="4733">
        <f t="shared" si="27"/>
        <v>3</v>
      </c>
      <c r="L278" vm="4735">
        <f t="shared" si="27"/>
        <v>30</v>
      </c>
    </row>
    <row r="279" spans="2:12" x14ac:dyDescent="0.3">
      <c r="B279" s="16" t="str" vm="59">
        <f>CUBEMEMBER("ThisWorkbookDataModel","[Table1].[goal].&amp;[4.444E3]")</f>
        <v>4444</v>
      </c>
      <c r="C279" t="str" vm="950">
        <f t="shared" si="27"/>
        <v/>
      </c>
      <c r="D279" t="str" vm="4002">
        <f t="shared" si="27"/>
        <v/>
      </c>
      <c r="E279" t="str" vm="951">
        <f t="shared" si="27"/>
        <v/>
      </c>
      <c r="F279" t="str" vm="4003">
        <f t="shared" si="27"/>
        <v/>
      </c>
      <c r="G279" t="str" vm="952">
        <f t="shared" si="27"/>
        <v/>
      </c>
      <c r="H279" t="str" vm="4004">
        <f t="shared" si="27"/>
        <v/>
      </c>
      <c r="I279" vm="953">
        <f t="shared" si="27"/>
        <v>59</v>
      </c>
      <c r="J279" vm="4006">
        <f t="shared" si="27"/>
        <v>4559</v>
      </c>
      <c r="K279" vm="4007">
        <f t="shared" si="27"/>
        <v>59</v>
      </c>
      <c r="L279" vm="4005">
        <f t="shared" si="27"/>
        <v>4559</v>
      </c>
    </row>
    <row r="280" spans="2:12" x14ac:dyDescent="0.3">
      <c r="B280" s="16" t="str" vm="98">
        <f>CUBEMEMBER("ThisWorkbookDataModel","[Table1].[goal].&amp;[4.4E3]")</f>
        <v>4400</v>
      </c>
      <c r="C280" t="str" vm="946">
        <f t="shared" si="27"/>
        <v/>
      </c>
      <c r="D280" t="str" vm="2835">
        <f t="shared" si="27"/>
        <v/>
      </c>
      <c r="E280" vm="947">
        <f t="shared" si="27"/>
        <v>10</v>
      </c>
      <c r="F280" vm="2281">
        <f t="shared" si="27"/>
        <v>810</v>
      </c>
      <c r="G280" t="str" vm="948">
        <f t="shared" si="27"/>
        <v/>
      </c>
      <c r="H280" t="str" vm="3672">
        <f t="shared" si="27"/>
        <v/>
      </c>
      <c r="I280" vm="949">
        <f t="shared" si="27"/>
        <v>65</v>
      </c>
      <c r="J280" vm="4896">
        <f t="shared" si="27"/>
        <v>4826</v>
      </c>
      <c r="K280" vm="2834">
        <f t="shared" si="27"/>
        <v>75</v>
      </c>
      <c r="L280" vm="2836">
        <f t="shared" si="27"/>
        <v>5636</v>
      </c>
    </row>
    <row r="281" spans="2:12" x14ac:dyDescent="0.3">
      <c r="B281" s="16" t="str" vm="355">
        <f>CUBEMEMBER("ThisWorkbookDataModel","[Table1].[goal].&amp;[4.336E3]")</f>
        <v>4336</v>
      </c>
      <c r="C281" vm="1726">
        <f t="shared" si="27"/>
        <v>0</v>
      </c>
      <c r="D281" vm="3357">
        <f t="shared" si="27"/>
        <v>0</v>
      </c>
      <c r="E281" t="str" vm="1727">
        <f t="shared" si="27"/>
        <v/>
      </c>
      <c r="F281" t="str" vm="3359">
        <f t="shared" si="27"/>
        <v/>
      </c>
      <c r="G281" t="str" vm="1728">
        <f t="shared" si="27"/>
        <v/>
      </c>
      <c r="H281" t="str" vm="3354">
        <f t="shared" si="27"/>
        <v/>
      </c>
      <c r="I281" t="str" vm="1729">
        <f t="shared" si="27"/>
        <v/>
      </c>
      <c r="J281" t="str" vm="3356">
        <f t="shared" si="27"/>
        <v/>
      </c>
      <c r="K281" vm="3355">
        <f t="shared" si="27"/>
        <v>0</v>
      </c>
      <c r="L281" vm="3358">
        <f t="shared" si="27"/>
        <v>0</v>
      </c>
    </row>
    <row r="282" spans="2:12" x14ac:dyDescent="0.3">
      <c r="B282" s="16" t="str" vm="138">
        <f>CUBEMEMBER("ThisWorkbookDataModel","[Table1].[goal].&amp;[4.3E3]")</f>
        <v>4300</v>
      </c>
      <c r="C282" t="str" vm="942">
        <f t="shared" si="27"/>
        <v/>
      </c>
      <c r="D282" t="str" vm="3124">
        <f t="shared" si="27"/>
        <v/>
      </c>
      <c r="E282" vm="943">
        <f t="shared" si="27"/>
        <v>16</v>
      </c>
      <c r="F282" vm="3129">
        <f t="shared" si="27"/>
        <v>2115</v>
      </c>
      <c r="G282" t="str" vm="944">
        <f t="shared" si="27"/>
        <v/>
      </c>
      <c r="H282" t="str" vm="3125">
        <f t="shared" si="27"/>
        <v/>
      </c>
      <c r="I282" vm="945">
        <f t="shared" si="27"/>
        <v>135</v>
      </c>
      <c r="J282" vm="3126">
        <f t="shared" si="27"/>
        <v>9019.5499999999993</v>
      </c>
      <c r="K282" vm="3128">
        <f t="shared" si="27"/>
        <v>151</v>
      </c>
      <c r="L282" vm="3127">
        <f t="shared" si="27"/>
        <v>11134.55</v>
      </c>
    </row>
    <row r="283" spans="2:12" x14ac:dyDescent="0.3">
      <c r="B283" s="16" t="str" vm="399">
        <f>CUBEMEMBER("ThisWorkbookDataModel","[Table1].[goal].&amp;[4.29E3]")</f>
        <v>4290</v>
      </c>
      <c r="C283" t="str" vm="1722">
        <f t="shared" si="27"/>
        <v/>
      </c>
      <c r="D283" t="str" vm="2446">
        <f t="shared" si="27"/>
        <v/>
      </c>
      <c r="E283" vm="1723">
        <f t="shared" si="27"/>
        <v>1</v>
      </c>
      <c r="F283" vm="2448">
        <f t="shared" si="27"/>
        <v>5</v>
      </c>
      <c r="G283" t="str" vm="1724">
        <f t="shared" si="27"/>
        <v/>
      </c>
      <c r="H283" t="str" vm="2449">
        <f t="shared" si="27"/>
        <v/>
      </c>
      <c r="I283" t="str" vm="1725">
        <f t="shared" si="27"/>
        <v/>
      </c>
      <c r="J283" t="str" vm="2444">
        <f t="shared" si="27"/>
        <v/>
      </c>
      <c r="K283" vm="2445">
        <f t="shared" si="27"/>
        <v>1</v>
      </c>
      <c r="L283" vm="2447">
        <f t="shared" si="27"/>
        <v>5</v>
      </c>
    </row>
    <row r="284" spans="2:12" x14ac:dyDescent="0.3">
      <c r="B284" s="16" t="str" vm="178">
        <f>CUBEMEMBER("ThisWorkbookDataModel","[Table1].[goal].&amp;[4.2E3]")</f>
        <v>4200</v>
      </c>
      <c r="C284" vm="938">
        <f t="shared" si="27"/>
        <v>0</v>
      </c>
      <c r="D284" vm="4190">
        <f t="shared" si="27"/>
        <v>0</v>
      </c>
      <c r="E284" vm="939">
        <f t="shared" si="27"/>
        <v>25</v>
      </c>
      <c r="F284" vm="4191">
        <f t="shared" si="27"/>
        <v>895</v>
      </c>
      <c r="G284" t="str" vm="940">
        <f t="shared" si="27"/>
        <v/>
      </c>
      <c r="H284" t="str" vm="4195">
        <f t="shared" si="27"/>
        <v/>
      </c>
      <c r="I284" vm="941">
        <f t="shared" si="27"/>
        <v>193</v>
      </c>
      <c r="J284" vm="4192">
        <f t="shared" si="27"/>
        <v>14355.82</v>
      </c>
      <c r="K284" vm="4194">
        <f t="shared" si="27"/>
        <v>218</v>
      </c>
      <c r="L284" vm="4193">
        <f t="shared" si="27"/>
        <v>15250.82</v>
      </c>
    </row>
    <row r="285" spans="2:12" x14ac:dyDescent="0.3">
      <c r="B285" s="16" t="str" vm="378">
        <f>CUBEMEMBER("ThisWorkbookDataModel","[Table1].[goal].&amp;[4.19E3]")</f>
        <v>4190</v>
      </c>
      <c r="C285" t="str" vm="1718">
        <f t="shared" si="27"/>
        <v/>
      </c>
      <c r="D285" t="str" vm="3537">
        <f t="shared" si="27"/>
        <v/>
      </c>
      <c r="E285" vm="1719">
        <f t="shared" si="27"/>
        <v>6</v>
      </c>
      <c r="F285" vm="3540">
        <f t="shared" si="27"/>
        <v>270</v>
      </c>
      <c r="G285" t="str" vm="1720">
        <f t="shared" si="27"/>
        <v/>
      </c>
      <c r="H285" t="str" vm="3541">
        <f t="shared" si="27"/>
        <v/>
      </c>
      <c r="I285" t="str" vm="1721">
        <f t="shared" si="27"/>
        <v/>
      </c>
      <c r="J285" t="str" vm="3542">
        <f t="shared" si="27"/>
        <v/>
      </c>
      <c r="K285" vm="3538">
        <f t="shared" si="27"/>
        <v>6</v>
      </c>
      <c r="L285" vm="3539">
        <f t="shared" si="27"/>
        <v>270</v>
      </c>
    </row>
    <row r="286" spans="2:12" x14ac:dyDescent="0.3">
      <c r="B286" s="16" t="str" vm="409">
        <f>CUBEMEMBER("ThisWorkbookDataModel","[Table1].[goal].&amp;[4.1E3]")</f>
        <v>4100</v>
      </c>
      <c r="C286" t="str" vm="1714">
        <f t="shared" ref="C286:L295" si="28">CUBEVALUE("ThisWorkbookDataModel",$B286,C$5)</f>
        <v/>
      </c>
      <c r="D286" t="str" vm="2697">
        <f t="shared" si="28"/>
        <v/>
      </c>
      <c r="E286" vm="1715">
        <f t="shared" si="28"/>
        <v>2</v>
      </c>
      <c r="F286" vm="2693">
        <f t="shared" si="28"/>
        <v>11</v>
      </c>
      <c r="G286" vm="1716">
        <f t="shared" si="28"/>
        <v>12</v>
      </c>
      <c r="H286" vm="2694">
        <f t="shared" si="28"/>
        <v>645</v>
      </c>
      <c r="I286" t="str" vm="1717">
        <f t="shared" si="28"/>
        <v/>
      </c>
      <c r="J286" t="str" vm="2695">
        <f t="shared" si="28"/>
        <v/>
      </c>
      <c r="K286" vm="2696">
        <f t="shared" si="28"/>
        <v>14</v>
      </c>
      <c r="L286" vm="2698">
        <f t="shared" si="28"/>
        <v>656</v>
      </c>
    </row>
    <row r="287" spans="2:12" x14ac:dyDescent="0.3">
      <c r="B287" s="16" t="str" vm="289">
        <f>CUBEMEMBER("ThisWorkbookDataModel","[Table1].[goal].&amp;[4.059E3]")</f>
        <v>4059</v>
      </c>
      <c r="C287" t="str" vm="1710">
        <f t="shared" si="28"/>
        <v/>
      </c>
      <c r="D287" t="str" vm="2988">
        <f t="shared" si="28"/>
        <v/>
      </c>
      <c r="E287" vm="1711">
        <f t="shared" si="28"/>
        <v>6</v>
      </c>
      <c r="F287" vm="2990">
        <f t="shared" si="28"/>
        <v>470</v>
      </c>
      <c r="G287" t="str" vm="1712">
        <f t="shared" si="28"/>
        <v/>
      </c>
      <c r="H287" t="str" vm="2985">
        <f t="shared" si="28"/>
        <v/>
      </c>
      <c r="I287" t="str" vm="1713">
        <f t="shared" si="28"/>
        <v/>
      </c>
      <c r="J287" t="str" vm="2987">
        <f t="shared" si="28"/>
        <v/>
      </c>
      <c r="K287" vm="2986">
        <f t="shared" si="28"/>
        <v>6</v>
      </c>
      <c r="L287" vm="2989">
        <f t="shared" si="28"/>
        <v>470</v>
      </c>
    </row>
    <row r="288" spans="2:12" x14ac:dyDescent="0.3">
      <c r="B288" s="16" t="str" vm="216">
        <f>CUBEMEMBER("ThisWorkbookDataModel","[Table1].[goal].&amp;[4.E3]")</f>
        <v>4000</v>
      </c>
      <c r="C288" vm="934">
        <f t="shared" si="28"/>
        <v>9</v>
      </c>
      <c r="D288" vm="4405">
        <f t="shared" si="28"/>
        <v>334</v>
      </c>
      <c r="E288" vm="935">
        <f t="shared" si="28"/>
        <v>180</v>
      </c>
      <c r="F288" vm="4406">
        <f t="shared" si="28"/>
        <v>7487.83</v>
      </c>
      <c r="G288" vm="936">
        <f t="shared" si="28"/>
        <v>7</v>
      </c>
      <c r="H288" vm="4407">
        <f t="shared" si="28"/>
        <v>1772</v>
      </c>
      <c r="I288" vm="937">
        <f t="shared" si="28"/>
        <v>7999</v>
      </c>
      <c r="J288" vm="4409">
        <f t="shared" si="28"/>
        <v>498654.58</v>
      </c>
      <c r="K288" vm="4410">
        <f t="shared" si="28"/>
        <v>8195</v>
      </c>
      <c r="L288" vm="4408">
        <f t="shared" si="28"/>
        <v>508248.41</v>
      </c>
    </row>
    <row r="289" spans="2:12" x14ac:dyDescent="0.3">
      <c r="B289" s="16" t="str" vm="252">
        <f>CUBEMEMBER("ThisWorkbookDataModel","[Table1].[goal].&amp;[3.999E3]")</f>
        <v>3999</v>
      </c>
      <c r="C289" t="str" vm="930">
        <f t="shared" si="28"/>
        <v/>
      </c>
      <c r="D289" t="str" vm="4626">
        <f t="shared" si="28"/>
        <v/>
      </c>
      <c r="E289" t="str" vm="931">
        <f t="shared" si="28"/>
        <v/>
      </c>
      <c r="F289" t="str" vm="4622">
        <f t="shared" si="28"/>
        <v/>
      </c>
      <c r="G289" t="str" vm="932">
        <f t="shared" si="28"/>
        <v/>
      </c>
      <c r="H289" t="str" vm="4623">
        <f t="shared" si="28"/>
        <v/>
      </c>
      <c r="I289" vm="933">
        <f t="shared" si="28"/>
        <v>47</v>
      </c>
      <c r="J289" vm="4624">
        <f t="shared" si="28"/>
        <v>4390</v>
      </c>
      <c r="K289" vm="4625">
        <f t="shared" si="28"/>
        <v>47</v>
      </c>
      <c r="L289" vm="4627">
        <f t="shared" si="28"/>
        <v>4390</v>
      </c>
    </row>
    <row r="290" spans="2:12" x14ac:dyDescent="0.3">
      <c r="B290" s="16" t="str" vm="117">
        <f>CUBEMEMBER("ThisWorkbookDataModel","[Table1].[goal].&amp;[3.95E3]")</f>
        <v>3950</v>
      </c>
      <c r="C290" t="str" vm="926">
        <f t="shared" si="28"/>
        <v/>
      </c>
      <c r="D290" t="str" vm="4821">
        <f t="shared" si="28"/>
        <v/>
      </c>
      <c r="E290" t="str" vm="927">
        <f t="shared" si="28"/>
        <v/>
      </c>
      <c r="F290" t="str" vm="4825">
        <f t="shared" si="28"/>
        <v/>
      </c>
      <c r="G290" t="str" vm="928">
        <f t="shared" si="28"/>
        <v/>
      </c>
      <c r="H290" t="str" vm="4822">
        <f t="shared" si="28"/>
        <v/>
      </c>
      <c r="I290" vm="929">
        <f t="shared" si="28"/>
        <v>271</v>
      </c>
      <c r="J290" vm="4823">
        <f t="shared" si="28"/>
        <v>11323</v>
      </c>
      <c r="K290" vm="4824">
        <f t="shared" si="28"/>
        <v>271</v>
      </c>
      <c r="L290" vm="4820">
        <f t="shared" si="28"/>
        <v>11323</v>
      </c>
    </row>
    <row r="291" spans="2:12" x14ac:dyDescent="0.3">
      <c r="B291" s="16" t="str" vm="21">
        <f>CUBEMEMBER("ThisWorkbookDataModel","[Table1].[goal].&amp;[3.91E3]")</f>
        <v>3910</v>
      </c>
      <c r="C291" t="str" vm="922">
        <f t="shared" si="28"/>
        <v/>
      </c>
      <c r="D291" t="str" vm="2347">
        <f t="shared" si="28"/>
        <v/>
      </c>
      <c r="E291" t="str" vm="923">
        <f t="shared" si="28"/>
        <v/>
      </c>
      <c r="F291" t="str" vm="2273">
        <f t="shared" si="28"/>
        <v/>
      </c>
      <c r="G291" t="str" vm="924">
        <f t="shared" si="28"/>
        <v/>
      </c>
      <c r="H291" t="str" vm="2584">
        <f t="shared" si="28"/>
        <v/>
      </c>
      <c r="I291" vm="925">
        <f t="shared" si="28"/>
        <v>73</v>
      </c>
      <c r="J291" vm="4907">
        <f t="shared" si="28"/>
        <v>3938</v>
      </c>
      <c r="K291" vm="2583">
        <f t="shared" si="28"/>
        <v>73</v>
      </c>
      <c r="L291" vm="4269">
        <f t="shared" si="28"/>
        <v>3938</v>
      </c>
    </row>
    <row r="292" spans="2:12" x14ac:dyDescent="0.3">
      <c r="B292" s="16" t="str" vm="421">
        <f>CUBEMEMBER("ThisWorkbookDataModel","[Table1].[goal].&amp;[3.9E3]")</f>
        <v>3900</v>
      </c>
      <c r="C292" vm="1706">
        <f t="shared" si="28"/>
        <v>46</v>
      </c>
      <c r="D292" vm="3738">
        <f t="shared" si="28"/>
        <v>2059</v>
      </c>
      <c r="E292" vm="1707">
        <f t="shared" si="28"/>
        <v>10</v>
      </c>
      <c r="F292" vm="3740">
        <f t="shared" si="28"/>
        <v>196</v>
      </c>
      <c r="G292" t="str" vm="1708">
        <f t="shared" si="28"/>
        <v/>
      </c>
      <c r="H292" t="str" vm="3741">
        <f t="shared" si="28"/>
        <v/>
      </c>
      <c r="I292" t="str" vm="1709">
        <f t="shared" si="28"/>
        <v/>
      </c>
      <c r="J292" t="str" vm="3736">
        <f t="shared" si="28"/>
        <v/>
      </c>
      <c r="K292" vm="3737">
        <f t="shared" si="28"/>
        <v>56</v>
      </c>
      <c r="L292" vm="3739">
        <f t="shared" si="28"/>
        <v>2255</v>
      </c>
    </row>
    <row r="293" spans="2:12" x14ac:dyDescent="0.3">
      <c r="B293" s="16" t="str" vm="60">
        <f>CUBEMEMBER("ThisWorkbookDataModel","[Table1].[goal].&amp;[3.871E3]")</f>
        <v>3871</v>
      </c>
      <c r="C293" t="str" vm="918">
        <f t="shared" si="28"/>
        <v/>
      </c>
      <c r="D293" t="str" vm="3444">
        <f t="shared" si="28"/>
        <v/>
      </c>
      <c r="E293" t="str" vm="919">
        <f t="shared" si="28"/>
        <v/>
      </c>
      <c r="F293" t="str" vm="3445">
        <f t="shared" si="28"/>
        <v/>
      </c>
      <c r="G293" t="str" vm="920">
        <f t="shared" si="28"/>
        <v/>
      </c>
      <c r="H293" t="str" vm="3446">
        <f t="shared" si="28"/>
        <v/>
      </c>
      <c r="I293" vm="921">
        <f t="shared" si="28"/>
        <v>46</v>
      </c>
      <c r="J293" vm="3447">
        <f t="shared" si="28"/>
        <v>5366</v>
      </c>
      <c r="K293" vm="3448">
        <f t="shared" si="28"/>
        <v>46</v>
      </c>
      <c r="L293" vm="2334">
        <f t="shared" si="28"/>
        <v>5366</v>
      </c>
    </row>
    <row r="294" spans="2:12" x14ac:dyDescent="0.3">
      <c r="B294" s="16" t="str" vm="311">
        <f>CUBEMEMBER("ThisWorkbookDataModel","[Table1].[goal].&amp;[3.87E3]")</f>
        <v>3870</v>
      </c>
      <c r="C294" t="str" vm="1702">
        <f t="shared" si="28"/>
        <v/>
      </c>
      <c r="D294" t="str" vm="3272">
        <f t="shared" si="28"/>
        <v/>
      </c>
      <c r="E294" vm="1703">
        <f t="shared" si="28"/>
        <v>22</v>
      </c>
      <c r="F294" vm="3273">
        <f t="shared" si="28"/>
        <v>1416</v>
      </c>
      <c r="G294" t="str" vm="1704">
        <f t="shared" si="28"/>
        <v/>
      </c>
      <c r="H294" t="str" vm="3274">
        <f t="shared" si="28"/>
        <v/>
      </c>
      <c r="I294" t="str" vm="1705">
        <f t="shared" si="28"/>
        <v/>
      </c>
      <c r="J294" t="str" vm="3275">
        <f t="shared" si="28"/>
        <v/>
      </c>
      <c r="K294" vm="3270">
        <f t="shared" si="28"/>
        <v>22</v>
      </c>
      <c r="L294" vm="3271">
        <f t="shared" si="28"/>
        <v>1416</v>
      </c>
    </row>
    <row r="295" spans="2:12" x14ac:dyDescent="0.3">
      <c r="B295" s="16" t="str" vm="99">
        <f>CUBEMEMBER("ThisWorkbookDataModel","[Table1].[goal].&amp;[3.8E3]")</f>
        <v>3800</v>
      </c>
      <c r="C295" t="str" vm="914">
        <f t="shared" si="28"/>
        <v/>
      </c>
      <c r="D295" t="str" vm="2838">
        <f t="shared" si="28"/>
        <v/>
      </c>
      <c r="E295" t="str" vm="915">
        <f t="shared" si="28"/>
        <v/>
      </c>
      <c r="F295" t="str" vm="2274">
        <f t="shared" si="28"/>
        <v/>
      </c>
      <c r="G295" t="str" vm="916">
        <f t="shared" si="28"/>
        <v/>
      </c>
      <c r="H295" t="str" vm="3676">
        <f t="shared" si="28"/>
        <v/>
      </c>
      <c r="I295" vm="917">
        <f t="shared" si="28"/>
        <v>116</v>
      </c>
      <c r="J295" vm="4910">
        <f t="shared" si="28"/>
        <v>7822.55</v>
      </c>
      <c r="K295" vm="2837">
        <f t="shared" si="28"/>
        <v>116</v>
      </c>
      <c r="L295" vm="2839">
        <f t="shared" si="28"/>
        <v>7822.55</v>
      </c>
    </row>
    <row r="296" spans="2:12" x14ac:dyDescent="0.3">
      <c r="B296" s="16" t="str" vm="333">
        <f>CUBEMEMBER("ThisWorkbookDataModel","[Table1].[goal].&amp;[3.78E3]")</f>
        <v>3780</v>
      </c>
      <c r="C296" t="str" vm="1698">
        <f t="shared" ref="C296:L305" si="29">CUBEVALUE("ThisWorkbookDataModel",$B296,C$5)</f>
        <v/>
      </c>
      <c r="D296" t="str" vm="3925">
        <f t="shared" si="29"/>
        <v/>
      </c>
      <c r="E296" vm="1699">
        <f t="shared" si="29"/>
        <v>8</v>
      </c>
      <c r="F296" vm="3921">
        <f t="shared" si="29"/>
        <v>113</v>
      </c>
      <c r="G296" t="str" vm="1700">
        <f t="shared" si="29"/>
        <v/>
      </c>
      <c r="H296" t="str" vm="3922">
        <f t="shared" si="29"/>
        <v/>
      </c>
      <c r="I296" t="str" vm="1701">
        <f t="shared" si="29"/>
        <v/>
      </c>
      <c r="J296" t="str" vm="3923">
        <f t="shared" si="29"/>
        <v/>
      </c>
      <c r="K296" vm="3924">
        <f t="shared" si="29"/>
        <v>8</v>
      </c>
      <c r="L296" vm="3926">
        <f t="shared" si="29"/>
        <v>113</v>
      </c>
    </row>
    <row r="297" spans="2:12" x14ac:dyDescent="0.3">
      <c r="B297" s="16" t="str" vm="356">
        <f>CUBEMEMBER("ThisWorkbookDataModel","[Table1].[goal].&amp;[3.759E3]")</f>
        <v>3759</v>
      </c>
      <c r="C297" t="str" vm="1694">
        <f t="shared" si="29"/>
        <v/>
      </c>
      <c r="D297" t="str" vm="4109">
        <f t="shared" si="29"/>
        <v/>
      </c>
      <c r="E297" vm="1695">
        <f t="shared" si="29"/>
        <v>2</v>
      </c>
      <c r="F297" vm="4111">
        <f t="shared" si="29"/>
        <v>32</v>
      </c>
      <c r="G297" t="str" vm="1696">
        <f t="shared" si="29"/>
        <v/>
      </c>
      <c r="H297" t="str" vm="4106">
        <f t="shared" si="29"/>
        <v/>
      </c>
      <c r="I297" t="str" vm="1697">
        <f t="shared" si="29"/>
        <v/>
      </c>
      <c r="J297" t="str" vm="4108">
        <f t="shared" si="29"/>
        <v/>
      </c>
      <c r="K297" vm="4107">
        <f t="shared" si="29"/>
        <v>2</v>
      </c>
      <c r="L297" vm="4110">
        <f t="shared" si="29"/>
        <v>32</v>
      </c>
    </row>
    <row r="298" spans="2:12" x14ac:dyDescent="0.3">
      <c r="B298" s="16" t="str" vm="139">
        <f>CUBEMEMBER("ThisWorkbookDataModel","[Table1].[goal].&amp;[3.75E3]")</f>
        <v>3750</v>
      </c>
      <c r="C298" t="str" vm="910">
        <f t="shared" si="29"/>
        <v/>
      </c>
      <c r="D298" t="str" vm="3130">
        <f t="shared" si="29"/>
        <v/>
      </c>
      <c r="E298" vm="911">
        <f t="shared" si="29"/>
        <v>9</v>
      </c>
      <c r="F298" vm="3133">
        <f t="shared" si="29"/>
        <v>276</v>
      </c>
      <c r="G298" t="str" vm="912">
        <f t="shared" si="29"/>
        <v/>
      </c>
      <c r="H298" t="str" vm="3131">
        <f t="shared" si="29"/>
        <v/>
      </c>
      <c r="I298" vm="913">
        <f t="shared" si="29"/>
        <v>212</v>
      </c>
      <c r="J298" vm="4891">
        <f t="shared" si="29"/>
        <v>12100.93</v>
      </c>
      <c r="K298" vm="3132">
        <f t="shared" si="29"/>
        <v>221</v>
      </c>
      <c r="L298" vm="4254">
        <f t="shared" si="29"/>
        <v>12376.93</v>
      </c>
    </row>
    <row r="299" spans="2:12" x14ac:dyDescent="0.3">
      <c r="B299" s="16" t="str" vm="179">
        <f>CUBEMEMBER("ThisWorkbookDataModel","[Table1].[goal].&amp;[3.7E3]")</f>
        <v>3700</v>
      </c>
      <c r="C299" t="str" vm="906">
        <f t="shared" si="29"/>
        <v/>
      </c>
      <c r="D299" t="str" vm="3624">
        <f t="shared" si="29"/>
        <v/>
      </c>
      <c r="E299" t="str" vm="907">
        <f t="shared" si="29"/>
        <v/>
      </c>
      <c r="F299" t="str" vm="3625">
        <f t="shared" si="29"/>
        <v/>
      </c>
      <c r="G299" t="str" vm="908">
        <f t="shared" si="29"/>
        <v/>
      </c>
      <c r="H299" t="str" vm="3629">
        <f t="shared" si="29"/>
        <v/>
      </c>
      <c r="I299" vm="909">
        <f t="shared" si="29"/>
        <v>168</v>
      </c>
      <c r="J299" vm="3626">
        <f t="shared" si="29"/>
        <v>9342</v>
      </c>
      <c r="K299" vm="3628">
        <f t="shared" si="29"/>
        <v>168</v>
      </c>
      <c r="L299" vm="3627">
        <f t="shared" si="29"/>
        <v>9342</v>
      </c>
    </row>
    <row r="300" spans="2:12" x14ac:dyDescent="0.3">
      <c r="B300" s="16" t="str" vm="217">
        <f>CUBEMEMBER("ThisWorkbookDataModel","[Table1].[goal].&amp;[3.675E3]")</f>
        <v>3675</v>
      </c>
      <c r="C300" t="str" vm="902">
        <f t="shared" si="29"/>
        <v/>
      </c>
      <c r="D300" t="str" vm="3827">
        <f t="shared" si="29"/>
        <v/>
      </c>
      <c r="E300" t="str" vm="903">
        <f t="shared" si="29"/>
        <v/>
      </c>
      <c r="F300" t="str" vm="3828">
        <f t="shared" si="29"/>
        <v/>
      </c>
      <c r="G300" t="str" vm="904">
        <f t="shared" si="29"/>
        <v/>
      </c>
      <c r="H300" t="str" vm="2289">
        <f t="shared" si="29"/>
        <v/>
      </c>
      <c r="I300" vm="905">
        <f t="shared" si="29"/>
        <v>56</v>
      </c>
      <c r="J300" vm="3829">
        <f t="shared" si="29"/>
        <v>3775.5</v>
      </c>
      <c r="K300" vm="3830">
        <f t="shared" si="29"/>
        <v>56</v>
      </c>
      <c r="L300" vm="3826">
        <f t="shared" si="29"/>
        <v>3775.5</v>
      </c>
    </row>
    <row r="301" spans="2:12" x14ac:dyDescent="0.3">
      <c r="B301" s="16" t="str" vm="253">
        <f>CUBEMEMBER("ThisWorkbookDataModel","[Table1].[goal].&amp;[3.6E3]")</f>
        <v>3600</v>
      </c>
      <c r="C301" t="str" vm="898">
        <f t="shared" si="29"/>
        <v/>
      </c>
      <c r="D301" t="str" vm="4012">
        <f t="shared" si="29"/>
        <v/>
      </c>
      <c r="E301" vm="899">
        <f t="shared" si="29"/>
        <v>2</v>
      </c>
      <c r="F301" vm="4008">
        <f t="shared" si="29"/>
        <v>26</v>
      </c>
      <c r="G301" t="str" vm="900">
        <f t="shared" si="29"/>
        <v/>
      </c>
      <c r="H301" t="str" vm="4009">
        <f t="shared" si="29"/>
        <v/>
      </c>
      <c r="I301" vm="901">
        <f t="shared" si="29"/>
        <v>108</v>
      </c>
      <c r="J301" vm="4010">
        <f t="shared" si="29"/>
        <v>11345</v>
      </c>
      <c r="K301" vm="4011">
        <f t="shared" si="29"/>
        <v>110</v>
      </c>
      <c r="L301" vm="4013">
        <f t="shared" si="29"/>
        <v>11371</v>
      </c>
    </row>
    <row r="302" spans="2:12" x14ac:dyDescent="0.3">
      <c r="B302" s="16" t="str" vm="431">
        <f>CUBEMEMBER("ThisWorkbookDataModel","[Table1].[goal].&amp;[3.55E3]")</f>
        <v>3550</v>
      </c>
      <c r="C302" t="str" vm="1690">
        <f t="shared" si="29"/>
        <v/>
      </c>
      <c r="D302" t="str" vm="2452">
        <f t="shared" si="29"/>
        <v/>
      </c>
      <c r="E302" vm="1691">
        <f t="shared" si="29"/>
        <v>4</v>
      </c>
      <c r="F302" vm="2454">
        <f t="shared" si="29"/>
        <v>116</v>
      </c>
      <c r="G302" t="str" vm="1692">
        <f t="shared" si="29"/>
        <v/>
      </c>
      <c r="H302" t="str" vm="2455">
        <f t="shared" si="29"/>
        <v/>
      </c>
      <c r="I302" t="str" vm="1693">
        <f t="shared" si="29"/>
        <v/>
      </c>
      <c r="J302" t="str" vm="2450">
        <f t="shared" si="29"/>
        <v/>
      </c>
      <c r="K302" vm="2451">
        <f t="shared" si="29"/>
        <v>4</v>
      </c>
      <c r="L302" vm="2453">
        <f t="shared" si="29"/>
        <v>116</v>
      </c>
    </row>
    <row r="303" spans="2:12" x14ac:dyDescent="0.3">
      <c r="B303" s="16" t="str" vm="196">
        <f>CUBEMEMBER("ThisWorkbookDataModel","[Table1].[goal].&amp;[3.5E3]")</f>
        <v>3500</v>
      </c>
      <c r="C303" vm="894">
        <f t="shared" si="29"/>
        <v>0</v>
      </c>
      <c r="D303" vm="4198">
        <f t="shared" si="29"/>
        <v>0</v>
      </c>
      <c r="E303" vm="895">
        <f t="shared" si="29"/>
        <v>207</v>
      </c>
      <c r="F303" vm="4200">
        <f t="shared" si="29"/>
        <v>11549</v>
      </c>
      <c r="G303" vm="896">
        <f t="shared" si="29"/>
        <v>10</v>
      </c>
      <c r="H303" vm="2308">
        <f t="shared" si="29"/>
        <v>760</v>
      </c>
      <c r="I303" vm="897">
        <f t="shared" si="29"/>
        <v>3991</v>
      </c>
      <c r="J303" vm="4196">
        <f t="shared" si="29"/>
        <v>239206.58</v>
      </c>
      <c r="K303" vm="4199">
        <f t="shared" si="29"/>
        <v>4208</v>
      </c>
      <c r="L303" vm="4197">
        <f t="shared" si="29"/>
        <v>251515.58</v>
      </c>
    </row>
    <row r="304" spans="2:12" x14ac:dyDescent="0.3">
      <c r="B304" s="16" t="str" vm="379">
        <f>CUBEMEMBER("ThisWorkbookDataModel","[Table1].[goal].&amp;[3.495E3]")</f>
        <v>3495</v>
      </c>
      <c r="C304" t="str" vm="1686">
        <f t="shared" si="29"/>
        <v/>
      </c>
      <c r="D304" t="str" vm="4321">
        <f t="shared" si="29"/>
        <v/>
      </c>
      <c r="E304" vm="1687">
        <f t="shared" si="29"/>
        <v>1</v>
      </c>
      <c r="F304" vm="4324">
        <f t="shared" si="29"/>
        <v>34.950000000000003</v>
      </c>
      <c r="G304" t="str" vm="1688">
        <f t="shared" si="29"/>
        <v/>
      </c>
      <c r="H304" t="str" vm="4325">
        <f t="shared" si="29"/>
        <v/>
      </c>
      <c r="I304" t="str" vm="1689">
        <f t="shared" si="29"/>
        <v/>
      </c>
      <c r="J304" t="str" vm="4326">
        <f t="shared" si="29"/>
        <v/>
      </c>
      <c r="K304" vm="4322">
        <f t="shared" si="29"/>
        <v>1</v>
      </c>
      <c r="L304" vm="4323">
        <f t="shared" si="29"/>
        <v>34.950000000000003</v>
      </c>
    </row>
    <row r="305" spans="2:12" x14ac:dyDescent="0.3">
      <c r="B305" s="16" t="str" vm="441">
        <f>CUBEMEMBER("ThisWorkbookDataModel","[Table1].[goal].&amp;[3.423E3]")</f>
        <v>3423</v>
      </c>
      <c r="C305" t="str" vm="1682">
        <f t="shared" si="29"/>
        <v/>
      </c>
      <c r="D305" t="str" vm="2703">
        <f t="shared" si="29"/>
        <v/>
      </c>
      <c r="E305" vm="1683">
        <f t="shared" si="29"/>
        <v>4</v>
      </c>
      <c r="F305" vm="2699">
        <f t="shared" si="29"/>
        <v>722</v>
      </c>
      <c r="G305" t="str" vm="1684">
        <f t="shared" si="29"/>
        <v/>
      </c>
      <c r="H305" t="str" vm="2700">
        <f t="shared" si="29"/>
        <v/>
      </c>
      <c r="I305" t="str" vm="1685">
        <f t="shared" si="29"/>
        <v/>
      </c>
      <c r="J305" t="str" vm="2701">
        <f t="shared" si="29"/>
        <v/>
      </c>
      <c r="K305" vm="2702">
        <f t="shared" si="29"/>
        <v>4</v>
      </c>
      <c r="L305" vm="2704">
        <f t="shared" si="29"/>
        <v>722</v>
      </c>
    </row>
    <row r="306" spans="2:12" x14ac:dyDescent="0.3">
      <c r="B306" s="16" t="str" vm="22">
        <f>CUBEMEMBER("ThisWorkbookDataModel","[Table1].[goal].&amp;[3.405E3]")</f>
        <v>3405</v>
      </c>
      <c r="C306" t="str" vm="890">
        <f t="shared" ref="C306:L315" si="30">CUBEVALUE("ThisWorkbookDataModel",$B306,C$5)</f>
        <v/>
      </c>
      <c r="D306" t="str" vm="2251">
        <f t="shared" si="30"/>
        <v/>
      </c>
      <c r="E306" t="str" vm="891">
        <f t="shared" si="30"/>
        <v/>
      </c>
      <c r="F306" t="str" vm="2248">
        <f t="shared" si="30"/>
        <v/>
      </c>
      <c r="G306" t="str" vm="892">
        <f t="shared" si="30"/>
        <v/>
      </c>
      <c r="H306" t="str" vm="2586">
        <f t="shared" si="30"/>
        <v/>
      </c>
      <c r="I306" vm="893">
        <f t="shared" si="30"/>
        <v>29</v>
      </c>
      <c r="J306" vm="4912">
        <f t="shared" si="30"/>
        <v>3670</v>
      </c>
      <c r="K306" vm="2585">
        <f t="shared" si="30"/>
        <v>29</v>
      </c>
      <c r="L306" vm="4271">
        <f t="shared" si="30"/>
        <v>3670</v>
      </c>
    </row>
    <row r="307" spans="2:12" x14ac:dyDescent="0.3">
      <c r="B307" s="16" t="str" vm="61">
        <f>CUBEMEMBER("ThisWorkbookDataModel","[Table1].[goal].&amp;[3.4E3]")</f>
        <v>3400</v>
      </c>
      <c r="C307" t="str" vm="886">
        <f t="shared" si="30"/>
        <v/>
      </c>
      <c r="D307" t="str" vm="4413">
        <f t="shared" si="30"/>
        <v/>
      </c>
      <c r="E307" t="str" vm="887">
        <f t="shared" si="30"/>
        <v/>
      </c>
      <c r="F307" t="str" vm="2335">
        <f t="shared" si="30"/>
        <v/>
      </c>
      <c r="G307" vm="888">
        <f t="shared" si="30"/>
        <v>46</v>
      </c>
      <c r="H307" vm="4411">
        <f t="shared" si="30"/>
        <v>1570</v>
      </c>
      <c r="I307" vm="889">
        <f t="shared" si="30"/>
        <v>306</v>
      </c>
      <c r="J307" vm="4414">
        <f t="shared" si="30"/>
        <v>25962.560000000001</v>
      </c>
      <c r="K307" vm="4415">
        <f t="shared" si="30"/>
        <v>352</v>
      </c>
      <c r="L307" vm="4412">
        <f t="shared" si="30"/>
        <v>27532.560000000001</v>
      </c>
    </row>
    <row r="308" spans="2:12" x14ac:dyDescent="0.3">
      <c r="B308" s="16" t="str" vm="100">
        <f>CUBEMEMBER("ThisWorkbookDataModel","[Table1].[goal].&amp;[3.35E3]")</f>
        <v>3350</v>
      </c>
      <c r="C308" t="str" vm="882">
        <f t="shared" si="30"/>
        <v/>
      </c>
      <c r="D308" t="str" vm="2843">
        <f t="shared" si="30"/>
        <v/>
      </c>
      <c r="E308" t="str" vm="883">
        <f t="shared" si="30"/>
        <v/>
      </c>
      <c r="F308" t="str" vm="2249">
        <f t="shared" si="30"/>
        <v/>
      </c>
      <c r="G308" t="str" vm="884">
        <f t="shared" si="30"/>
        <v/>
      </c>
      <c r="H308" t="str" vm="2840">
        <f t="shared" si="30"/>
        <v/>
      </c>
      <c r="I308" vm="885">
        <f t="shared" si="30"/>
        <v>242</v>
      </c>
      <c r="J308" vm="2841">
        <f t="shared" si="30"/>
        <v>12088</v>
      </c>
      <c r="K308" vm="2842">
        <f t="shared" si="30"/>
        <v>242</v>
      </c>
      <c r="L308" vm="2844">
        <f t="shared" si="30"/>
        <v>12088</v>
      </c>
    </row>
    <row r="309" spans="2:12" x14ac:dyDescent="0.3">
      <c r="B309" s="16" t="str" vm="290">
        <f>CUBEMEMBER("ThisWorkbookDataModel","[Table1].[goal].&amp;[3.333E3]")</f>
        <v>3333</v>
      </c>
      <c r="C309" vm="1678">
        <f t="shared" si="30"/>
        <v>2</v>
      </c>
      <c r="D309" vm="2994">
        <f t="shared" si="30"/>
        <v>28</v>
      </c>
      <c r="E309" t="str" vm="1679">
        <f t="shared" si="30"/>
        <v/>
      </c>
      <c r="F309" t="str" vm="2996">
        <f t="shared" si="30"/>
        <v/>
      </c>
      <c r="G309" t="str" vm="1680">
        <f t="shared" si="30"/>
        <v/>
      </c>
      <c r="H309" t="str" vm="2991">
        <f t="shared" si="30"/>
        <v/>
      </c>
      <c r="I309" t="str" vm="1681">
        <f t="shared" si="30"/>
        <v/>
      </c>
      <c r="J309" t="str" vm="2993">
        <f t="shared" si="30"/>
        <v/>
      </c>
      <c r="K309" vm="2992">
        <f t="shared" si="30"/>
        <v>2</v>
      </c>
      <c r="L309" vm="2995">
        <f t="shared" si="30"/>
        <v>28</v>
      </c>
    </row>
    <row r="310" spans="2:12" x14ac:dyDescent="0.3">
      <c r="B310" s="16" t="str" vm="140">
        <f>CUBEMEMBER("ThisWorkbookDataModel","[Table1].[goal].&amp;[3.3E3]")</f>
        <v>3300</v>
      </c>
      <c r="C310" t="str" vm="878">
        <f t="shared" si="30"/>
        <v/>
      </c>
      <c r="D310" t="str" vm="2282">
        <f t="shared" si="30"/>
        <v/>
      </c>
      <c r="E310" vm="879">
        <f t="shared" si="30"/>
        <v>6</v>
      </c>
      <c r="F310" vm="3135">
        <f t="shared" si="30"/>
        <v>231.5</v>
      </c>
      <c r="G310" t="str" vm="880">
        <f t="shared" si="30"/>
        <v/>
      </c>
      <c r="H310" t="str" vm="3671">
        <f t="shared" si="30"/>
        <v/>
      </c>
      <c r="I310" vm="881">
        <f t="shared" si="30"/>
        <v>440</v>
      </c>
      <c r="J310" vm="4895">
        <f t="shared" si="30"/>
        <v>26220.5</v>
      </c>
      <c r="K310" vm="3134">
        <f t="shared" si="30"/>
        <v>446</v>
      </c>
      <c r="L310" vm="4267">
        <f t="shared" si="30"/>
        <v>26452</v>
      </c>
    </row>
    <row r="311" spans="2:12" x14ac:dyDescent="0.3">
      <c r="B311" s="16" t="str" vm="444">
        <f>CUBEMEMBER("ThisWorkbookDataModel","[Table1].[goal].&amp;[3.274E3]")</f>
        <v>3274</v>
      </c>
      <c r="C311" t="str" vm="1674">
        <f t="shared" si="30"/>
        <v/>
      </c>
      <c r="D311" t="str" vm="4540">
        <f t="shared" si="30"/>
        <v/>
      </c>
      <c r="E311" vm="1675">
        <f t="shared" si="30"/>
        <v>0</v>
      </c>
      <c r="F311" vm="4542">
        <f t="shared" si="30"/>
        <v>0</v>
      </c>
      <c r="G311" t="str" vm="1676">
        <f t="shared" si="30"/>
        <v/>
      </c>
      <c r="H311" t="str" vm="4543">
        <f t="shared" si="30"/>
        <v/>
      </c>
      <c r="I311" t="str" vm="1677">
        <f t="shared" si="30"/>
        <v/>
      </c>
      <c r="J311" t="str" vm="4538">
        <f t="shared" si="30"/>
        <v/>
      </c>
      <c r="K311" vm="4539">
        <f t="shared" si="30"/>
        <v>0</v>
      </c>
      <c r="L311" vm="4541">
        <f t="shared" si="30"/>
        <v>0</v>
      </c>
    </row>
    <row r="312" spans="2:12" x14ac:dyDescent="0.3">
      <c r="B312" s="16" t="str" vm="312">
        <f>CUBEMEMBER("ThisWorkbookDataModel","[Table1].[goal].&amp;[3.265E3]")</f>
        <v>3265</v>
      </c>
      <c r="C312" t="str" vm="1670">
        <f t="shared" si="30"/>
        <v/>
      </c>
      <c r="D312" t="str" vm="3278">
        <f t="shared" si="30"/>
        <v/>
      </c>
      <c r="E312" vm="1671">
        <f t="shared" si="30"/>
        <v>41</v>
      </c>
      <c r="F312" vm="3279">
        <f t="shared" si="30"/>
        <v>1395</v>
      </c>
      <c r="G312" t="str" vm="1672">
        <f t="shared" si="30"/>
        <v/>
      </c>
      <c r="H312" t="str" vm="3280">
        <f t="shared" si="30"/>
        <v/>
      </c>
      <c r="I312" t="str" vm="1673">
        <f t="shared" si="30"/>
        <v/>
      </c>
      <c r="J312" t="str" vm="3281">
        <f t="shared" si="30"/>
        <v/>
      </c>
      <c r="K312" vm="3277">
        <f t="shared" si="30"/>
        <v>41</v>
      </c>
      <c r="L312" vm="3276">
        <f t="shared" si="30"/>
        <v>1395</v>
      </c>
    </row>
    <row r="313" spans="2:12" x14ac:dyDescent="0.3">
      <c r="B313" s="16" t="str" vm="334">
        <f>CUBEMEMBER("ThisWorkbookDataModel","[Table1].[goal].&amp;[3.255E3]")</f>
        <v>3255</v>
      </c>
      <c r="C313" t="str" vm="1666">
        <f t="shared" si="30"/>
        <v/>
      </c>
      <c r="D313" t="str" vm="4740">
        <f t="shared" si="30"/>
        <v/>
      </c>
      <c r="E313" vm="1667">
        <f t="shared" si="30"/>
        <v>5</v>
      </c>
      <c r="F313" vm="4736">
        <f t="shared" si="30"/>
        <v>397</v>
      </c>
      <c r="G313" t="str" vm="1668">
        <f t="shared" si="30"/>
        <v/>
      </c>
      <c r="H313" t="str" vm="4737">
        <f t="shared" si="30"/>
        <v/>
      </c>
      <c r="I313" t="str" vm="1669">
        <f t="shared" si="30"/>
        <v/>
      </c>
      <c r="J313" t="str" vm="4738">
        <f t="shared" si="30"/>
        <v/>
      </c>
      <c r="K313" vm="4739">
        <f t="shared" si="30"/>
        <v>5</v>
      </c>
      <c r="L313" vm="4741">
        <f t="shared" si="30"/>
        <v>397</v>
      </c>
    </row>
    <row r="314" spans="2:12" x14ac:dyDescent="0.3">
      <c r="B314" s="16" t="str" vm="180">
        <f>CUBEMEMBER("ThisWorkbookDataModel","[Table1].[goal].&amp;[3.25E3]")</f>
        <v>3250</v>
      </c>
      <c r="C314" t="str" vm="874">
        <f t="shared" si="30"/>
        <v/>
      </c>
      <c r="D314" t="str" vm="4628">
        <f t="shared" si="30"/>
        <v/>
      </c>
      <c r="E314" vm="875">
        <f t="shared" si="30"/>
        <v>20</v>
      </c>
      <c r="F314" vm="4629">
        <f t="shared" si="30"/>
        <v>1445</v>
      </c>
      <c r="G314" t="str" vm="876">
        <f t="shared" si="30"/>
        <v/>
      </c>
      <c r="H314" t="str" vm="4633">
        <f t="shared" si="30"/>
        <v/>
      </c>
      <c r="I314" vm="877">
        <f t="shared" si="30"/>
        <v>37</v>
      </c>
      <c r="J314" vm="4630">
        <f t="shared" si="30"/>
        <v>3398.1</v>
      </c>
      <c r="K314" vm="4632">
        <f t="shared" si="30"/>
        <v>57</v>
      </c>
      <c r="L314" vm="4631">
        <f t="shared" si="30"/>
        <v>4843.1000000000004</v>
      </c>
    </row>
    <row r="315" spans="2:12" x14ac:dyDescent="0.3">
      <c r="B315" s="16" t="str" vm="218">
        <f>CUBEMEMBER("ThisWorkbookDataModel","[Table1].[goal].&amp;[3.2E3]")</f>
        <v>3200</v>
      </c>
      <c r="C315" t="str" vm="870">
        <f t="shared" si="30"/>
        <v/>
      </c>
      <c r="D315" t="str" vm="4826">
        <f t="shared" si="30"/>
        <v/>
      </c>
      <c r="E315" vm="871">
        <f t="shared" si="30"/>
        <v>0</v>
      </c>
      <c r="F315" vm="4827">
        <f t="shared" si="30"/>
        <v>0</v>
      </c>
      <c r="G315" t="str" vm="872">
        <f t="shared" si="30"/>
        <v/>
      </c>
      <c r="H315" t="str" vm="4828">
        <f t="shared" si="30"/>
        <v/>
      </c>
      <c r="I315" vm="873">
        <f t="shared" si="30"/>
        <v>377</v>
      </c>
      <c r="J315" vm="4830">
        <f t="shared" si="30"/>
        <v>19915.72</v>
      </c>
      <c r="K315" vm="4831">
        <f t="shared" si="30"/>
        <v>377</v>
      </c>
      <c r="L315" vm="4829">
        <f t="shared" si="30"/>
        <v>19915.72</v>
      </c>
    </row>
    <row r="316" spans="2:12" x14ac:dyDescent="0.3">
      <c r="B316" s="16" t="str" vm="357">
        <f>CUBEMEMBER("ThisWorkbookDataModel","[Table1].[goal].&amp;[3.152E3]")</f>
        <v>3152</v>
      </c>
      <c r="C316" t="str" vm="1662">
        <f t="shared" ref="C316:L325" si="31">CUBEVALUE("ThisWorkbookDataModel",$B316,C$5)</f>
        <v/>
      </c>
      <c r="D316" t="str" vm="3363">
        <f t="shared" si="31"/>
        <v/>
      </c>
      <c r="E316" vm="1663">
        <f t="shared" si="31"/>
        <v>45</v>
      </c>
      <c r="F316" vm="3365">
        <f t="shared" si="31"/>
        <v>1286</v>
      </c>
      <c r="G316" t="str" vm="1664">
        <f t="shared" si="31"/>
        <v/>
      </c>
      <c r="H316" t="str" vm="3360">
        <f t="shared" si="31"/>
        <v/>
      </c>
      <c r="I316" t="str" vm="1665">
        <f t="shared" si="31"/>
        <v/>
      </c>
      <c r="J316" t="str" vm="3362">
        <f t="shared" si="31"/>
        <v/>
      </c>
      <c r="K316" vm="3361">
        <f t="shared" si="31"/>
        <v>45</v>
      </c>
      <c r="L316" vm="3364">
        <f t="shared" si="31"/>
        <v>1286</v>
      </c>
    </row>
    <row r="317" spans="2:12" x14ac:dyDescent="0.3">
      <c r="B317" s="16" t="str" vm="254">
        <f>CUBEMEMBER("ThisWorkbookDataModel","[Table1].[goal].&amp;[3.1E3]")</f>
        <v>3100</v>
      </c>
      <c r="C317" t="str" vm="866">
        <f t="shared" si="31"/>
        <v/>
      </c>
      <c r="D317" t="str" vm="3453">
        <f t="shared" si="31"/>
        <v/>
      </c>
      <c r="E317" t="str" vm="867">
        <f t="shared" si="31"/>
        <v/>
      </c>
      <c r="F317" t="str" vm="3449">
        <f t="shared" si="31"/>
        <v/>
      </c>
      <c r="G317" t="str" vm="868">
        <f t="shared" si="31"/>
        <v/>
      </c>
      <c r="H317" t="str" vm="3450">
        <f t="shared" si="31"/>
        <v/>
      </c>
      <c r="I317" vm="869">
        <f t="shared" si="31"/>
        <v>112</v>
      </c>
      <c r="J317" vm="3451">
        <f t="shared" si="31"/>
        <v>6653</v>
      </c>
      <c r="K317" vm="3452">
        <f t="shared" si="31"/>
        <v>112</v>
      </c>
      <c r="L317" vm="3454">
        <f t="shared" si="31"/>
        <v>6653</v>
      </c>
    </row>
    <row r="318" spans="2:12" x14ac:dyDescent="0.3">
      <c r="B318" s="16" t="str" vm="78">
        <f>CUBEMEMBER("ThisWorkbookDataModel","[Table1].[goal].&amp;[3.E3]")</f>
        <v>3000</v>
      </c>
      <c r="C318" vm="862">
        <f t="shared" si="31"/>
        <v>16</v>
      </c>
      <c r="D318" vm="2297">
        <f t="shared" si="31"/>
        <v>947.33</v>
      </c>
      <c r="E318" vm="863">
        <f t="shared" si="31"/>
        <v>400</v>
      </c>
      <c r="F318" vm="3634">
        <f t="shared" si="31"/>
        <v>16397.900000000001</v>
      </c>
      <c r="G318" vm="864">
        <f t="shared" si="31"/>
        <v>8</v>
      </c>
      <c r="H318" vm="3630">
        <f t="shared" si="31"/>
        <v>280</v>
      </c>
      <c r="I318" vm="865">
        <f t="shared" si="31"/>
        <v>7638</v>
      </c>
      <c r="J318" vm="3631">
        <f t="shared" si="31"/>
        <v>460881.78</v>
      </c>
      <c r="K318" vm="3633">
        <f t="shared" si="31"/>
        <v>8062</v>
      </c>
      <c r="L318" vm="3632">
        <f t="shared" si="31"/>
        <v>478507.01</v>
      </c>
    </row>
    <row r="319" spans="2:12" x14ac:dyDescent="0.3">
      <c r="B319" s="16" t="str" vm="452">
        <f>CUBEMEMBER("ThisWorkbookDataModel","[Table1].[goal].&amp;[2.995E3]")</f>
        <v>2995</v>
      </c>
      <c r="C319" vm="1658">
        <f t="shared" si="31"/>
        <v>2</v>
      </c>
      <c r="D319" vm="2458">
        <f t="shared" si="31"/>
        <v>8</v>
      </c>
      <c r="E319" t="str" vm="1659">
        <f t="shared" si="31"/>
        <v/>
      </c>
      <c r="F319" t="str" vm="2460">
        <f t="shared" si="31"/>
        <v/>
      </c>
      <c r="G319" t="str" vm="1660">
        <f t="shared" si="31"/>
        <v/>
      </c>
      <c r="H319" t="str" vm="2461">
        <f t="shared" si="31"/>
        <v/>
      </c>
      <c r="I319" t="str" vm="1661">
        <f t="shared" si="31"/>
        <v/>
      </c>
      <c r="J319" t="str" vm="2456">
        <f t="shared" si="31"/>
        <v/>
      </c>
      <c r="K319" vm="2457">
        <f t="shared" si="31"/>
        <v>2</v>
      </c>
      <c r="L319" vm="2459">
        <f t="shared" si="31"/>
        <v>8</v>
      </c>
    </row>
    <row r="320" spans="2:12" x14ac:dyDescent="0.3">
      <c r="B320" s="16" t="str" vm="23">
        <f>CUBEMEMBER("ThisWorkbookDataModel","[Table1].[goal].&amp;[2.987E3]")</f>
        <v>2987</v>
      </c>
      <c r="C320" t="str" vm="858">
        <f t="shared" si="31"/>
        <v/>
      </c>
      <c r="D320" t="str" vm="2886">
        <f t="shared" si="31"/>
        <v/>
      </c>
      <c r="E320" t="str" vm="859">
        <f t="shared" si="31"/>
        <v/>
      </c>
      <c r="F320" t="str" vm="2247">
        <f t="shared" si="31"/>
        <v/>
      </c>
      <c r="G320" t="str" vm="860">
        <f t="shared" si="31"/>
        <v/>
      </c>
      <c r="H320" t="str" vm="2589">
        <f t="shared" si="31"/>
        <v/>
      </c>
      <c r="I320" vm="861">
        <f t="shared" si="31"/>
        <v>97</v>
      </c>
      <c r="J320" vm="2587">
        <f t="shared" si="31"/>
        <v>3318</v>
      </c>
      <c r="K320" vm="2588">
        <f t="shared" si="31"/>
        <v>97</v>
      </c>
      <c r="L320" vm="2309">
        <f t="shared" si="31"/>
        <v>3318</v>
      </c>
    </row>
    <row r="321" spans="2:12" x14ac:dyDescent="0.3">
      <c r="B321" s="16" t="str" vm="62">
        <f>CUBEMEMBER("ThisWorkbookDataModel","[Table1].[goal].&amp;[2.9E3]")</f>
        <v>2900</v>
      </c>
      <c r="C321" t="str" vm="854">
        <f t="shared" si="31"/>
        <v/>
      </c>
      <c r="D321" t="str" vm="3831">
        <f t="shared" si="31"/>
        <v/>
      </c>
      <c r="E321" vm="855">
        <f t="shared" si="31"/>
        <v>19</v>
      </c>
      <c r="F321" vm="3832">
        <f t="shared" si="31"/>
        <v>895</v>
      </c>
      <c r="G321" t="str" vm="856">
        <f t="shared" si="31"/>
        <v/>
      </c>
      <c r="H321" t="str" vm="3833">
        <f t="shared" si="31"/>
        <v/>
      </c>
      <c r="I321" vm="857">
        <f t="shared" si="31"/>
        <v>66</v>
      </c>
      <c r="J321" vm="3835">
        <f t="shared" si="31"/>
        <v>2954</v>
      </c>
      <c r="K321" vm="3836">
        <f t="shared" si="31"/>
        <v>85</v>
      </c>
      <c r="L321" vm="3834">
        <f t="shared" si="31"/>
        <v>3849</v>
      </c>
    </row>
    <row r="322" spans="2:12" x14ac:dyDescent="0.3">
      <c r="B322" s="16" t="str" vm="380">
        <f>CUBEMEMBER("ThisWorkbookDataModel","[Table1].[goal].&amp;[2.888E3]")</f>
        <v>2888</v>
      </c>
      <c r="C322" t="str" vm="1654">
        <f t="shared" si="31"/>
        <v/>
      </c>
      <c r="D322" t="str" vm="3543">
        <f t="shared" si="31"/>
        <v/>
      </c>
      <c r="E322" vm="1655">
        <f t="shared" si="31"/>
        <v>0</v>
      </c>
      <c r="F322" vm="3546">
        <f t="shared" si="31"/>
        <v>0</v>
      </c>
      <c r="G322" t="str" vm="1656">
        <f t="shared" si="31"/>
        <v/>
      </c>
      <c r="H322" t="str" vm="3547">
        <f t="shared" si="31"/>
        <v/>
      </c>
      <c r="I322" t="str" vm="1657">
        <f t="shared" si="31"/>
        <v/>
      </c>
      <c r="J322" t="str" vm="3548">
        <f t="shared" si="31"/>
        <v/>
      </c>
      <c r="K322" vm="3544">
        <f t="shared" si="31"/>
        <v>0</v>
      </c>
      <c r="L322" vm="3545">
        <f t="shared" si="31"/>
        <v>0</v>
      </c>
    </row>
    <row r="323" spans="2:12" x14ac:dyDescent="0.3">
      <c r="B323" s="16" t="str" vm="390">
        <f>CUBEMEMBER("ThisWorkbookDataModel","[Table1].[goal].&amp;[2.885E3]")</f>
        <v>2885</v>
      </c>
      <c r="C323" t="str" vm="1650">
        <f t="shared" si="31"/>
        <v/>
      </c>
      <c r="D323" t="str" vm="2709">
        <f t="shared" si="31"/>
        <v/>
      </c>
      <c r="E323" vm="1651">
        <f t="shared" si="31"/>
        <v>10</v>
      </c>
      <c r="F323" vm="2705">
        <f t="shared" si="31"/>
        <v>2485</v>
      </c>
      <c r="G323" t="str" vm="1652">
        <f t="shared" si="31"/>
        <v/>
      </c>
      <c r="H323" t="str" vm="2706">
        <f t="shared" si="31"/>
        <v/>
      </c>
      <c r="I323" t="str" vm="1653">
        <f t="shared" si="31"/>
        <v/>
      </c>
      <c r="J323" t="str" vm="2707">
        <f t="shared" si="31"/>
        <v/>
      </c>
      <c r="K323" vm="2708">
        <f t="shared" si="31"/>
        <v>10</v>
      </c>
      <c r="L323" vm="2710">
        <f t="shared" si="31"/>
        <v>2485</v>
      </c>
    </row>
    <row r="324" spans="2:12" x14ac:dyDescent="0.3">
      <c r="B324" s="16" t="str" vm="291">
        <f>CUBEMEMBER("ThisWorkbookDataModel","[Table1].[goal].&amp;[2.88E3]")</f>
        <v>2880</v>
      </c>
      <c r="C324" t="str" vm="1646">
        <f t="shared" si="31"/>
        <v/>
      </c>
      <c r="D324" t="str" vm="3000">
        <f t="shared" si="31"/>
        <v/>
      </c>
      <c r="E324" vm="1647">
        <f t="shared" si="31"/>
        <v>1</v>
      </c>
      <c r="F324" vm="3002">
        <f t="shared" si="31"/>
        <v>1</v>
      </c>
      <c r="G324" t="str" vm="1648">
        <f t="shared" si="31"/>
        <v/>
      </c>
      <c r="H324" t="str" vm="2997">
        <f t="shared" si="31"/>
        <v/>
      </c>
      <c r="I324" t="str" vm="1649">
        <f t="shared" si="31"/>
        <v/>
      </c>
      <c r="J324" t="str" vm="2999">
        <f t="shared" si="31"/>
        <v/>
      </c>
      <c r="K324" vm="2998">
        <f t="shared" si="31"/>
        <v>1</v>
      </c>
      <c r="L324" vm="3001">
        <f t="shared" si="31"/>
        <v>1</v>
      </c>
    </row>
    <row r="325" spans="2:12" x14ac:dyDescent="0.3">
      <c r="B325" s="16" t="str" vm="101">
        <f>CUBEMEMBER("ThisWorkbookDataModel","[Table1].[goal].&amp;[2.827E3]")</f>
        <v>2827</v>
      </c>
      <c r="C325" t="str" vm="850">
        <f t="shared" si="31"/>
        <v/>
      </c>
      <c r="D325" t="str" vm="2848">
        <f t="shared" si="31"/>
        <v/>
      </c>
      <c r="E325" t="str" vm="851">
        <f t="shared" si="31"/>
        <v/>
      </c>
      <c r="F325" t="str" vm="2845">
        <f t="shared" si="31"/>
        <v/>
      </c>
      <c r="G325" t="str" vm="852">
        <f t="shared" si="31"/>
        <v/>
      </c>
      <c r="H325" t="str" vm="2846">
        <f t="shared" si="31"/>
        <v/>
      </c>
      <c r="I325" vm="853">
        <f t="shared" si="31"/>
        <v>35</v>
      </c>
      <c r="J325" vm="4875">
        <f t="shared" si="31"/>
        <v>2925</v>
      </c>
      <c r="K325" vm="2847">
        <f t="shared" si="31"/>
        <v>35</v>
      </c>
      <c r="L325" vm="2849">
        <f t="shared" si="31"/>
        <v>2925</v>
      </c>
    </row>
    <row r="326" spans="2:12" x14ac:dyDescent="0.3">
      <c r="B326" s="16" t="str" vm="400">
        <f>CUBEMEMBER("ThisWorkbookDataModel","[Table1].[goal].&amp;[2.825E3]")</f>
        <v>2825</v>
      </c>
      <c r="C326" t="str" vm="1642">
        <f t="shared" ref="C326:L335" si="32">CUBEVALUE("ThisWorkbookDataModel",$B326,C$5)</f>
        <v/>
      </c>
      <c r="D326" t="str" vm="3744">
        <f t="shared" si="32"/>
        <v/>
      </c>
      <c r="E326" vm="1643">
        <f t="shared" si="32"/>
        <v>6</v>
      </c>
      <c r="F326" vm="3746">
        <f t="shared" si="32"/>
        <v>211</v>
      </c>
      <c r="G326" t="str" vm="1644">
        <f t="shared" si="32"/>
        <v/>
      </c>
      <c r="H326" t="str" vm="3747">
        <f t="shared" si="32"/>
        <v/>
      </c>
      <c r="I326" t="str" vm="1645">
        <f t="shared" si="32"/>
        <v/>
      </c>
      <c r="J326" t="str" vm="3742">
        <f t="shared" si="32"/>
        <v/>
      </c>
      <c r="K326" vm="3743">
        <f t="shared" si="32"/>
        <v>6</v>
      </c>
      <c r="L326" vm="3745">
        <f t="shared" si="32"/>
        <v>211</v>
      </c>
    </row>
    <row r="327" spans="2:12" x14ac:dyDescent="0.3">
      <c r="B327" s="16" t="str" vm="141">
        <f>CUBEMEMBER("ThisWorkbookDataModel","[Table1].[goal].&amp;[2.82E3]")</f>
        <v>2820</v>
      </c>
      <c r="C327" t="str" vm="846">
        <f t="shared" si="32"/>
        <v/>
      </c>
      <c r="D327" t="str" vm="2275">
        <f t="shared" si="32"/>
        <v/>
      </c>
      <c r="E327" t="str" vm="847">
        <f t="shared" si="32"/>
        <v/>
      </c>
      <c r="F327" t="str" vm="3139">
        <f t="shared" si="32"/>
        <v/>
      </c>
      <c r="G327" t="str" vm="848">
        <f t="shared" si="32"/>
        <v/>
      </c>
      <c r="H327" t="str" vm="3675">
        <f t="shared" si="32"/>
        <v/>
      </c>
      <c r="I327" vm="849">
        <f t="shared" si="32"/>
        <v>55</v>
      </c>
      <c r="J327" vm="3136">
        <f t="shared" si="32"/>
        <v>3036</v>
      </c>
      <c r="K327" vm="3138">
        <f t="shared" si="32"/>
        <v>55</v>
      </c>
      <c r="L327" vm="3137">
        <f t="shared" si="32"/>
        <v>3036</v>
      </c>
    </row>
    <row r="328" spans="2:12" x14ac:dyDescent="0.3">
      <c r="B328" s="16" t="str" vm="181">
        <f>CUBEMEMBER("ThisWorkbookDataModel","[Table1].[goal].&amp;[2.8E3]")</f>
        <v>2800</v>
      </c>
      <c r="C328" t="str" vm="842">
        <f t="shared" si="32"/>
        <v/>
      </c>
      <c r="D328" t="str" vm="4016">
        <f t="shared" si="32"/>
        <v/>
      </c>
      <c r="E328" vm="843">
        <f t="shared" si="32"/>
        <v>25</v>
      </c>
      <c r="F328" vm="4017">
        <f t="shared" si="32"/>
        <v>1136</v>
      </c>
      <c r="G328" t="str" vm="844">
        <f t="shared" si="32"/>
        <v/>
      </c>
      <c r="H328" t="str" vm="4019">
        <f t="shared" si="32"/>
        <v/>
      </c>
      <c r="I328" vm="845">
        <f t="shared" si="32"/>
        <v>1086</v>
      </c>
      <c r="J328" vm="4014">
        <f t="shared" si="32"/>
        <v>37735.85</v>
      </c>
      <c r="K328" vm="4018">
        <f t="shared" si="32"/>
        <v>1111</v>
      </c>
      <c r="L328" vm="4015">
        <f t="shared" si="32"/>
        <v>38871.85</v>
      </c>
    </row>
    <row r="329" spans="2:12" x14ac:dyDescent="0.3">
      <c r="B329" s="16" t="str" vm="219">
        <f>CUBEMEMBER("ThisWorkbookDataModel","[Table1].[goal].&amp;[2.75E3]")</f>
        <v>2750</v>
      </c>
      <c r="C329" vm="838">
        <f t="shared" si="32"/>
        <v>1</v>
      </c>
      <c r="D329" vm="4201">
        <f t="shared" si="32"/>
        <v>25</v>
      </c>
      <c r="E329" vm="839">
        <f t="shared" si="32"/>
        <v>23</v>
      </c>
      <c r="F329" vm="4202">
        <f t="shared" si="32"/>
        <v>775</v>
      </c>
      <c r="G329" vm="840">
        <f t="shared" si="32"/>
        <v>3</v>
      </c>
      <c r="H329" vm="4203">
        <f t="shared" si="32"/>
        <v>45</v>
      </c>
      <c r="I329" vm="841">
        <f t="shared" si="32"/>
        <v>100</v>
      </c>
      <c r="J329" vm="4205">
        <f t="shared" si="32"/>
        <v>8506.43</v>
      </c>
      <c r="K329" vm="4206">
        <f t="shared" si="32"/>
        <v>127</v>
      </c>
      <c r="L329" vm="4204">
        <f t="shared" si="32"/>
        <v>9351.43</v>
      </c>
    </row>
    <row r="330" spans="2:12" x14ac:dyDescent="0.3">
      <c r="B330" s="16" t="str" vm="313">
        <f>CUBEMEMBER("ThisWorkbookDataModel","[Table1].[goal].&amp;[2.725E3]")</f>
        <v>2725</v>
      </c>
      <c r="C330" t="str" vm="1638">
        <f t="shared" si="32"/>
        <v/>
      </c>
      <c r="D330" t="str" vm="3284">
        <f t="shared" si="32"/>
        <v/>
      </c>
      <c r="E330" vm="1639">
        <f t="shared" si="32"/>
        <v>6</v>
      </c>
      <c r="F330" vm="3285">
        <f t="shared" si="32"/>
        <v>180</v>
      </c>
      <c r="G330" t="str" vm="1640">
        <f t="shared" si="32"/>
        <v/>
      </c>
      <c r="H330" t="str" vm="3286">
        <f t="shared" si="32"/>
        <v/>
      </c>
      <c r="I330" t="str" vm="1641">
        <f t="shared" si="32"/>
        <v/>
      </c>
      <c r="J330" t="str" vm="3287">
        <f t="shared" si="32"/>
        <v/>
      </c>
      <c r="K330" vm="3283">
        <f t="shared" si="32"/>
        <v>6</v>
      </c>
      <c r="L330" vm="3282">
        <f t="shared" si="32"/>
        <v>180</v>
      </c>
    </row>
    <row r="331" spans="2:12" x14ac:dyDescent="0.3">
      <c r="B331" s="16" t="str" vm="255">
        <f>CUBEMEMBER("ThisWorkbookDataModel","[Table1].[goal].&amp;[2.7E3]")</f>
        <v>2700</v>
      </c>
      <c r="C331" t="str" vm="834">
        <f t="shared" si="32"/>
        <v/>
      </c>
      <c r="D331" t="str" vm="4420">
        <f t="shared" si="32"/>
        <v/>
      </c>
      <c r="E331" vm="835">
        <f t="shared" si="32"/>
        <v>12</v>
      </c>
      <c r="F331" vm="4418">
        <f t="shared" si="32"/>
        <v>909</v>
      </c>
      <c r="G331" vm="836">
        <f t="shared" si="32"/>
        <v>4</v>
      </c>
      <c r="H331" vm="4416">
        <f t="shared" si="32"/>
        <v>85</v>
      </c>
      <c r="I331" vm="837">
        <f t="shared" si="32"/>
        <v>131</v>
      </c>
      <c r="J331" vm="4417">
        <f t="shared" si="32"/>
        <v>10296</v>
      </c>
      <c r="K331" vm="4419">
        <f t="shared" si="32"/>
        <v>147</v>
      </c>
      <c r="L331" vm="4421">
        <f t="shared" si="32"/>
        <v>11290</v>
      </c>
    </row>
    <row r="332" spans="2:12" x14ac:dyDescent="0.3">
      <c r="B332" s="16" t="str" vm="270">
        <f>CUBEMEMBER("ThisWorkbookDataModel","[Table1].[goal].&amp;[2.658E3]")</f>
        <v>2658</v>
      </c>
      <c r="C332" t="str" vm="830">
        <f t="shared" si="32"/>
        <v/>
      </c>
      <c r="D332" t="str" vm="4634">
        <f t="shared" si="32"/>
        <v/>
      </c>
      <c r="E332" t="str" vm="831">
        <f t="shared" si="32"/>
        <v/>
      </c>
      <c r="F332" t="str" vm="4639">
        <f t="shared" si="32"/>
        <v/>
      </c>
      <c r="G332" t="str" vm="832">
        <f t="shared" si="32"/>
        <v/>
      </c>
      <c r="H332" t="str" vm="4635">
        <f t="shared" si="32"/>
        <v/>
      </c>
      <c r="I332" vm="833">
        <f t="shared" si="32"/>
        <v>9</v>
      </c>
      <c r="J332" vm="4636">
        <f t="shared" si="32"/>
        <v>2693</v>
      </c>
      <c r="K332" vm="4638">
        <f t="shared" si="32"/>
        <v>9</v>
      </c>
      <c r="L332" vm="4637">
        <f t="shared" si="32"/>
        <v>2693</v>
      </c>
    </row>
    <row r="333" spans="2:12" x14ac:dyDescent="0.3">
      <c r="B333" s="16" t="str" vm="24">
        <f>CUBEMEMBER("ThisWorkbookDataModel","[Table1].[goal].&amp;[2.6E3]")</f>
        <v>2600</v>
      </c>
      <c r="C333" t="str" vm="826">
        <f t="shared" si="32"/>
        <v/>
      </c>
      <c r="D333" t="str" vm="2590">
        <f t="shared" si="32"/>
        <v/>
      </c>
      <c r="E333" t="str" vm="827">
        <f t="shared" si="32"/>
        <v/>
      </c>
      <c r="F333" t="str" vm="2310">
        <f t="shared" si="32"/>
        <v/>
      </c>
      <c r="G333" t="str" vm="828">
        <f t="shared" si="32"/>
        <v/>
      </c>
      <c r="H333" t="str" vm="2592">
        <f t="shared" si="32"/>
        <v/>
      </c>
      <c r="I333" vm="829">
        <f t="shared" si="32"/>
        <v>307</v>
      </c>
      <c r="J333" vm="4884">
        <f t="shared" si="32"/>
        <v>13854.15</v>
      </c>
      <c r="K333" vm="2591">
        <f t="shared" si="32"/>
        <v>307</v>
      </c>
      <c r="L333" vm="4255">
        <f t="shared" si="32"/>
        <v>13854.15</v>
      </c>
    </row>
    <row r="334" spans="2:12" x14ac:dyDescent="0.3">
      <c r="B334" s="16" t="str" vm="63">
        <f>CUBEMEMBER("ThisWorkbookDataModel","[Table1].[goal].&amp;[2.56E3]")</f>
        <v>2560</v>
      </c>
      <c r="C334" t="str" vm="822">
        <f t="shared" si="32"/>
        <v/>
      </c>
      <c r="D334" t="str" vm="4832">
        <f t="shared" si="32"/>
        <v/>
      </c>
      <c r="E334" t="str" vm="823">
        <f t="shared" si="32"/>
        <v/>
      </c>
      <c r="F334" t="str" vm="4833">
        <f t="shared" si="32"/>
        <v/>
      </c>
      <c r="G334" t="str" vm="824">
        <f t="shared" si="32"/>
        <v/>
      </c>
      <c r="H334" t="str" vm="4834">
        <f t="shared" si="32"/>
        <v/>
      </c>
      <c r="I334" vm="825">
        <f t="shared" si="32"/>
        <v>410</v>
      </c>
      <c r="J334" vm="4836">
        <f t="shared" si="32"/>
        <v>4308</v>
      </c>
      <c r="K334" vm="4837">
        <f t="shared" si="32"/>
        <v>410</v>
      </c>
      <c r="L334" vm="4835">
        <f t="shared" si="32"/>
        <v>4308</v>
      </c>
    </row>
    <row r="335" spans="2:12" x14ac:dyDescent="0.3">
      <c r="B335" s="16" t="str" vm="102">
        <f>CUBEMEMBER("ThisWorkbookDataModel","[Table1].[goal].&amp;[2.55E3]")</f>
        <v>2550</v>
      </c>
      <c r="C335" t="str" vm="818">
        <f t="shared" si="32"/>
        <v/>
      </c>
      <c r="D335" t="str" vm="2851">
        <f t="shared" si="32"/>
        <v/>
      </c>
      <c r="E335" t="str" vm="819">
        <f t="shared" si="32"/>
        <v/>
      </c>
      <c r="F335" t="str" vm="2336">
        <f t="shared" si="32"/>
        <v/>
      </c>
      <c r="G335" t="str" vm="820">
        <f t="shared" si="32"/>
        <v/>
      </c>
      <c r="H335" t="str" vm="2317">
        <f t="shared" si="32"/>
        <v/>
      </c>
      <c r="I335" vm="821">
        <f t="shared" si="32"/>
        <v>34</v>
      </c>
      <c r="J335" vm="4894">
        <f t="shared" si="32"/>
        <v>2630</v>
      </c>
      <c r="K335" vm="2850">
        <f t="shared" si="32"/>
        <v>34</v>
      </c>
      <c r="L335" vm="2852">
        <f t="shared" si="32"/>
        <v>2630</v>
      </c>
    </row>
    <row r="336" spans="2:12" x14ac:dyDescent="0.3">
      <c r="B336" s="16" t="str" vm="142">
        <f>CUBEMEMBER("ThisWorkbookDataModel","[Table1].[goal].&amp;[2.5E3]")</f>
        <v>2500</v>
      </c>
      <c r="C336" vm="814">
        <f t="shared" ref="C336:L345" si="33">CUBEVALUE("ThisWorkbookDataModel",$B336,C$5)</f>
        <v>6</v>
      </c>
      <c r="D336" vm="3140">
        <f t="shared" si="33"/>
        <v>161</v>
      </c>
      <c r="E336" vm="815">
        <f t="shared" si="33"/>
        <v>302</v>
      </c>
      <c r="F336" vm="3145">
        <f t="shared" si="33"/>
        <v>13661.01</v>
      </c>
      <c r="G336" vm="816">
        <f t="shared" si="33"/>
        <v>11</v>
      </c>
      <c r="H336" vm="3141">
        <f t="shared" si="33"/>
        <v>635</v>
      </c>
      <c r="I336" vm="817">
        <f t="shared" si="33"/>
        <v>9001</v>
      </c>
      <c r="J336" vm="3142">
        <f t="shared" si="33"/>
        <v>425466.01</v>
      </c>
      <c r="K336" vm="3144">
        <f t="shared" si="33"/>
        <v>9320</v>
      </c>
      <c r="L336" vm="3143">
        <f t="shared" si="33"/>
        <v>439923.02</v>
      </c>
    </row>
    <row r="337" spans="2:12" x14ac:dyDescent="0.3">
      <c r="B337" s="16" t="str" vm="182">
        <f>CUBEMEMBER("ThisWorkbookDataModel","[Table1].[goal].&amp;[2.468E3]")</f>
        <v>2468</v>
      </c>
      <c r="C337" t="str" vm="810">
        <f t="shared" si="33"/>
        <v/>
      </c>
      <c r="D337" t="str" vm="2283">
        <f t="shared" si="33"/>
        <v/>
      </c>
      <c r="E337" t="str" vm="811">
        <f t="shared" si="33"/>
        <v/>
      </c>
      <c r="F337" t="str" vm="3455">
        <f t="shared" si="33"/>
        <v/>
      </c>
      <c r="G337" t="str" vm="812">
        <f t="shared" si="33"/>
        <v/>
      </c>
      <c r="H337" t="str" vm="3459">
        <f t="shared" si="33"/>
        <v/>
      </c>
      <c r="I337" vm="813">
        <f t="shared" si="33"/>
        <v>1019</v>
      </c>
      <c r="J337" vm="3456">
        <f t="shared" si="33"/>
        <v>7326.88</v>
      </c>
      <c r="K337" vm="3458">
        <f t="shared" si="33"/>
        <v>1019</v>
      </c>
      <c r="L337" vm="3457">
        <f t="shared" si="33"/>
        <v>7326.88</v>
      </c>
    </row>
    <row r="338" spans="2:12" x14ac:dyDescent="0.3">
      <c r="B338" s="16" t="str" vm="220">
        <f>CUBEMEMBER("ThisWorkbookDataModel","[Table1].[goal].&amp;[2.45E3]")</f>
        <v>2450</v>
      </c>
      <c r="C338" t="str" vm="806">
        <f t="shared" si="33"/>
        <v/>
      </c>
      <c r="D338" t="str" vm="3635">
        <f t="shared" si="33"/>
        <v/>
      </c>
      <c r="E338" t="str" vm="807">
        <f t="shared" si="33"/>
        <v/>
      </c>
      <c r="F338" t="str" vm="3636">
        <f t="shared" si="33"/>
        <v/>
      </c>
      <c r="G338" t="str" vm="808">
        <f t="shared" si="33"/>
        <v/>
      </c>
      <c r="H338" t="str" vm="3637">
        <f t="shared" si="33"/>
        <v/>
      </c>
      <c r="I338" vm="809">
        <f t="shared" si="33"/>
        <v>48</v>
      </c>
      <c r="J338" vm="3639">
        <f t="shared" si="33"/>
        <v>2596</v>
      </c>
      <c r="K338" vm="3640">
        <f t="shared" si="33"/>
        <v>48</v>
      </c>
      <c r="L338" vm="3638">
        <f t="shared" si="33"/>
        <v>2596</v>
      </c>
    </row>
    <row r="339" spans="2:12" x14ac:dyDescent="0.3">
      <c r="B339" s="16" t="str" vm="335">
        <f>CUBEMEMBER("ThisWorkbookDataModel","[Table1].[goal].&amp;[2.413E3]")</f>
        <v>2413</v>
      </c>
      <c r="C339" t="str" vm="1634">
        <f t="shared" si="33"/>
        <v/>
      </c>
      <c r="D339" t="str" vm="3931">
        <f t="shared" si="33"/>
        <v/>
      </c>
      <c r="E339" vm="1635">
        <f t="shared" si="33"/>
        <v>14</v>
      </c>
      <c r="F339" vm="3927">
        <f t="shared" si="33"/>
        <v>650</v>
      </c>
      <c r="G339" t="str" vm="1636">
        <f t="shared" si="33"/>
        <v/>
      </c>
      <c r="H339" t="str" vm="3928">
        <f t="shared" si="33"/>
        <v/>
      </c>
      <c r="I339" t="str" vm="1637">
        <f t="shared" si="33"/>
        <v/>
      </c>
      <c r="J339" t="str" vm="3929">
        <f t="shared" si="33"/>
        <v/>
      </c>
      <c r="K339" vm="3930">
        <f t="shared" si="33"/>
        <v>14</v>
      </c>
      <c r="L339" vm="3932">
        <f t="shared" si="33"/>
        <v>650</v>
      </c>
    </row>
    <row r="340" spans="2:12" x14ac:dyDescent="0.3">
      <c r="B340" s="16" t="str" vm="256">
        <f>CUBEMEMBER("ThisWorkbookDataModel","[Table1].[goal].&amp;[2.4E3]")</f>
        <v>2400</v>
      </c>
      <c r="C340" t="str" vm="802">
        <f t="shared" si="33"/>
        <v/>
      </c>
      <c r="D340" t="str" vm="3841">
        <f t="shared" si="33"/>
        <v/>
      </c>
      <c r="E340" vm="803">
        <f t="shared" si="33"/>
        <v>0</v>
      </c>
      <c r="F340" vm="3837">
        <f t="shared" si="33"/>
        <v>0</v>
      </c>
      <c r="G340" vm="804">
        <f t="shared" si="33"/>
        <v>14</v>
      </c>
      <c r="H340" vm="3838">
        <f t="shared" si="33"/>
        <v>2400</v>
      </c>
      <c r="I340" vm="805">
        <f t="shared" si="33"/>
        <v>106</v>
      </c>
      <c r="J340" vm="3839">
        <f t="shared" si="33"/>
        <v>7453</v>
      </c>
      <c r="K340" vm="3840">
        <f t="shared" si="33"/>
        <v>120</v>
      </c>
      <c r="L340" vm="3842">
        <f t="shared" si="33"/>
        <v>9853</v>
      </c>
    </row>
    <row r="341" spans="2:12" x14ac:dyDescent="0.3">
      <c r="B341" s="16" t="str" vm="39">
        <f>CUBEMEMBER("ThisWorkbookDataModel","[Table1].[goal].&amp;[2.35E3]")</f>
        <v>2350</v>
      </c>
      <c r="C341" t="str" vm="798">
        <f t="shared" si="33"/>
        <v/>
      </c>
      <c r="D341" t="str" vm="4021">
        <f t="shared" si="33"/>
        <v/>
      </c>
      <c r="E341" t="str" vm="799">
        <f t="shared" si="33"/>
        <v/>
      </c>
      <c r="F341" t="str" vm="4025">
        <f t="shared" si="33"/>
        <v/>
      </c>
      <c r="G341" t="str" vm="800">
        <f t="shared" si="33"/>
        <v/>
      </c>
      <c r="H341" t="str" vm="4022">
        <f t="shared" si="33"/>
        <v/>
      </c>
      <c r="I341" vm="801">
        <f t="shared" si="33"/>
        <v>73</v>
      </c>
      <c r="J341" vm="4023">
        <f t="shared" si="33"/>
        <v>4135</v>
      </c>
      <c r="K341" vm="4024">
        <f t="shared" si="33"/>
        <v>73</v>
      </c>
      <c r="L341" vm="4020">
        <f t="shared" si="33"/>
        <v>4135</v>
      </c>
    </row>
    <row r="342" spans="2:12" x14ac:dyDescent="0.3">
      <c r="B342" s="16" t="str" vm="25">
        <f>CUBEMEMBER("ThisWorkbookDataModel","[Table1].[goal].&amp;[2.3E3]")</f>
        <v>2300</v>
      </c>
      <c r="C342" t="str" vm="794">
        <f t="shared" si="33"/>
        <v/>
      </c>
      <c r="D342" t="str" vm="2298">
        <f t="shared" si="33"/>
        <v/>
      </c>
      <c r="E342" t="str" vm="795">
        <f t="shared" si="33"/>
        <v/>
      </c>
      <c r="F342" t="str" vm="2276">
        <f t="shared" si="33"/>
        <v/>
      </c>
      <c r="G342" t="str" vm="796">
        <f t="shared" si="33"/>
        <v/>
      </c>
      <c r="H342" t="str" vm="2594">
        <f t="shared" si="33"/>
        <v/>
      </c>
      <c r="I342" vm="797">
        <f t="shared" si="33"/>
        <v>274</v>
      </c>
      <c r="J342" vm="4906">
        <f t="shared" si="33"/>
        <v>13151</v>
      </c>
      <c r="K342" vm="2593">
        <f t="shared" si="33"/>
        <v>274</v>
      </c>
      <c r="L342" vm="4268">
        <f t="shared" si="33"/>
        <v>13151</v>
      </c>
    </row>
    <row r="343" spans="2:12" x14ac:dyDescent="0.3">
      <c r="B343" s="16" t="str" vm="64">
        <f>CUBEMEMBER("ThisWorkbookDataModel","[Table1].[goal].&amp;[2.25E3]")</f>
        <v>2250</v>
      </c>
      <c r="C343" t="str" vm="790">
        <f t="shared" si="33"/>
        <v/>
      </c>
      <c r="D343" t="str" vm="4207">
        <f t="shared" si="33"/>
        <v/>
      </c>
      <c r="E343" vm="791">
        <f t="shared" si="33"/>
        <v>1</v>
      </c>
      <c r="F343" vm="4208">
        <f t="shared" si="33"/>
        <v>10</v>
      </c>
      <c r="G343" t="str" vm="792">
        <f t="shared" si="33"/>
        <v/>
      </c>
      <c r="H343" t="str" vm="4209">
        <f t="shared" si="33"/>
        <v/>
      </c>
      <c r="I343" vm="793">
        <f t="shared" si="33"/>
        <v>50</v>
      </c>
      <c r="J343" vm="4210">
        <f t="shared" si="33"/>
        <v>2876</v>
      </c>
      <c r="K343" vm="4211">
        <f t="shared" si="33"/>
        <v>51</v>
      </c>
      <c r="L343" vm="2311">
        <f t="shared" si="33"/>
        <v>2886</v>
      </c>
    </row>
    <row r="344" spans="2:12" x14ac:dyDescent="0.3">
      <c r="B344" s="16" t="str" vm="358">
        <f>CUBEMEMBER("ThisWorkbookDataModel","[Table1].[goal].&amp;[2.224E3]")</f>
        <v>2224</v>
      </c>
      <c r="C344" t="str" vm="1630">
        <f t="shared" si="33"/>
        <v/>
      </c>
      <c r="D344" t="str" vm="4112">
        <f t="shared" si="33"/>
        <v/>
      </c>
      <c r="E344" vm="1631">
        <f t="shared" si="33"/>
        <v>12</v>
      </c>
      <c r="F344" vm="4117">
        <f t="shared" si="33"/>
        <v>350</v>
      </c>
      <c r="G344" t="str" vm="1632">
        <f t="shared" si="33"/>
        <v/>
      </c>
      <c r="H344" t="str" vm="4113">
        <f t="shared" si="33"/>
        <v/>
      </c>
      <c r="I344" t="str" vm="1633">
        <f t="shared" si="33"/>
        <v/>
      </c>
      <c r="J344" t="str" vm="4116">
        <f t="shared" si="33"/>
        <v/>
      </c>
      <c r="K344" vm="4114">
        <f t="shared" si="33"/>
        <v>12</v>
      </c>
      <c r="L344" vm="4115">
        <f t="shared" si="33"/>
        <v>350</v>
      </c>
    </row>
    <row r="345" spans="2:12" x14ac:dyDescent="0.3">
      <c r="B345" s="16" t="str" vm="103">
        <f>CUBEMEMBER("ThisWorkbookDataModel","[Table1].[goal].&amp;[2.22E3]")</f>
        <v>2220</v>
      </c>
      <c r="C345" t="str" vm="786">
        <f t="shared" si="33"/>
        <v/>
      </c>
      <c r="D345" t="str" vm="2854">
        <f t="shared" si="33"/>
        <v/>
      </c>
      <c r="E345" t="str" vm="787">
        <f t="shared" si="33"/>
        <v/>
      </c>
      <c r="F345" t="str" vm="2318">
        <f t="shared" si="33"/>
        <v/>
      </c>
      <c r="G345" t="str" vm="788">
        <f t="shared" si="33"/>
        <v/>
      </c>
      <c r="H345" t="str" vm="3674">
        <f t="shared" si="33"/>
        <v/>
      </c>
      <c r="I345" vm="789">
        <f t="shared" si="33"/>
        <v>74</v>
      </c>
      <c r="J345" vm="4909">
        <f t="shared" si="33"/>
        <v>3976</v>
      </c>
      <c r="K345" vm="2853">
        <f t="shared" si="33"/>
        <v>74</v>
      </c>
      <c r="L345" vm="2855">
        <f t="shared" si="33"/>
        <v>3976</v>
      </c>
    </row>
    <row r="346" spans="2:12" x14ac:dyDescent="0.3">
      <c r="B346" s="16" t="str" vm="143">
        <f>CUBEMEMBER("ThisWorkbookDataModel","[Table1].[goal].&amp;[2.2E3]")</f>
        <v>2200</v>
      </c>
      <c r="C346" t="str" vm="782">
        <f t="shared" ref="C346:L355" si="34">CUBEVALUE("ThisWorkbookDataModel",$B346,C$5)</f>
        <v/>
      </c>
      <c r="D346" t="str" vm="3146">
        <f t="shared" si="34"/>
        <v/>
      </c>
      <c r="E346" vm="783">
        <f t="shared" si="34"/>
        <v>23</v>
      </c>
      <c r="F346" vm="3150">
        <f t="shared" si="34"/>
        <v>895</v>
      </c>
      <c r="G346" t="str" vm="784">
        <f t="shared" si="34"/>
        <v/>
      </c>
      <c r="H346" t="str" vm="3147">
        <f t="shared" si="34"/>
        <v/>
      </c>
      <c r="I346" vm="785">
        <f t="shared" si="34"/>
        <v>633</v>
      </c>
      <c r="J346" vm="3148">
        <f t="shared" si="34"/>
        <v>21991.01</v>
      </c>
      <c r="K346" vm="3149">
        <f t="shared" si="34"/>
        <v>656</v>
      </c>
      <c r="L346" vm="2337">
        <f t="shared" si="34"/>
        <v>22886.01</v>
      </c>
    </row>
    <row r="347" spans="2:12" x14ac:dyDescent="0.3">
      <c r="B347" s="16" t="str" vm="183">
        <f>CUBEMEMBER("ThisWorkbookDataModel","[Table1].[goal].&amp;[2.1E3]")</f>
        <v>2100</v>
      </c>
      <c r="C347" t="str" vm="778">
        <f t="shared" si="34"/>
        <v/>
      </c>
      <c r="D347" t="str" vm="4425">
        <f t="shared" si="34"/>
        <v/>
      </c>
      <c r="E347" vm="779">
        <f t="shared" si="34"/>
        <v>40</v>
      </c>
      <c r="F347" vm="4422">
        <f t="shared" si="34"/>
        <v>1707</v>
      </c>
      <c r="G347" t="str" vm="780">
        <f t="shared" si="34"/>
        <v/>
      </c>
      <c r="H347" t="str" vm="4427">
        <f t="shared" si="34"/>
        <v/>
      </c>
      <c r="I347" vm="781">
        <f t="shared" si="34"/>
        <v>144</v>
      </c>
      <c r="J347" vm="4423">
        <f t="shared" si="34"/>
        <v>9254.99</v>
      </c>
      <c r="K347" vm="4426">
        <f t="shared" si="34"/>
        <v>184</v>
      </c>
      <c r="L347" vm="4424">
        <f t="shared" si="34"/>
        <v>10961.99</v>
      </c>
    </row>
    <row r="348" spans="2:12" x14ac:dyDescent="0.3">
      <c r="B348" s="16" t="str" vm="221">
        <f>CUBEMEMBER("ThisWorkbookDataModel","[Table1].[goal].&amp;[2.001E3]")</f>
        <v>2001</v>
      </c>
      <c r="C348" t="str" vm="774">
        <f t="shared" si="34"/>
        <v/>
      </c>
      <c r="D348" t="str" vm="4640">
        <f t="shared" si="34"/>
        <v/>
      </c>
      <c r="E348" t="str" vm="775">
        <f t="shared" si="34"/>
        <v/>
      </c>
      <c r="F348" t="str" vm="4641">
        <f t="shared" si="34"/>
        <v/>
      </c>
      <c r="G348" t="str" vm="776">
        <f t="shared" si="34"/>
        <v/>
      </c>
      <c r="H348" t="str" vm="4642">
        <f t="shared" si="34"/>
        <v/>
      </c>
      <c r="I348" vm="777">
        <f t="shared" si="34"/>
        <v>72</v>
      </c>
      <c r="J348" vm="4644">
        <f t="shared" si="34"/>
        <v>3397</v>
      </c>
      <c r="K348" vm="4645">
        <f t="shared" si="34"/>
        <v>72</v>
      </c>
      <c r="L348" vm="4643">
        <f t="shared" si="34"/>
        <v>3397</v>
      </c>
    </row>
    <row r="349" spans="2:12" x14ac:dyDescent="0.3">
      <c r="B349" s="16" t="str" vm="257">
        <f>CUBEMEMBER("ThisWorkbookDataModel","[Table1].[goal].&amp;[2.E3]")</f>
        <v>2000</v>
      </c>
      <c r="C349" vm="770">
        <f t="shared" si="34"/>
        <v>7</v>
      </c>
      <c r="D349" vm="4842">
        <f t="shared" si="34"/>
        <v>100</v>
      </c>
      <c r="E349" vm="771">
        <f t="shared" si="34"/>
        <v>297</v>
      </c>
      <c r="F349" vm="4839">
        <f t="shared" si="34"/>
        <v>13612</v>
      </c>
      <c r="G349" t="str" vm="772">
        <f t="shared" si="34"/>
        <v/>
      </c>
      <c r="H349" t="str" vm="4840">
        <f t="shared" si="34"/>
        <v/>
      </c>
      <c r="I349" vm="773">
        <f t="shared" si="34"/>
        <v>7132</v>
      </c>
      <c r="J349" vm="4838">
        <f t="shared" si="34"/>
        <v>378331.29</v>
      </c>
      <c r="K349" vm="4841">
        <f t="shared" si="34"/>
        <v>7436</v>
      </c>
      <c r="L349" vm="4843">
        <f t="shared" si="34"/>
        <v>392043.29</v>
      </c>
    </row>
    <row r="350" spans="2:12" x14ac:dyDescent="0.3">
      <c r="B350" s="16" t="str" vm="410">
        <f>CUBEMEMBER("ThisWorkbookDataModel","[Table1].[goal].&amp;[1.999E3]")</f>
        <v>1999</v>
      </c>
      <c r="C350" t="str" vm="1626">
        <f t="shared" si="34"/>
        <v/>
      </c>
      <c r="D350" t="str" vm="2465">
        <f t="shared" si="34"/>
        <v/>
      </c>
      <c r="E350" vm="1627">
        <f t="shared" si="34"/>
        <v>0</v>
      </c>
      <c r="F350" vm="2463">
        <f t="shared" si="34"/>
        <v>0</v>
      </c>
      <c r="G350" t="str" vm="1628">
        <f t="shared" si="34"/>
        <v/>
      </c>
      <c r="H350" t="str" vm="2467">
        <f t="shared" si="34"/>
        <v/>
      </c>
      <c r="I350" t="str" vm="1629">
        <f t="shared" si="34"/>
        <v/>
      </c>
      <c r="J350" t="str" vm="2464">
        <f t="shared" si="34"/>
        <v/>
      </c>
      <c r="K350" vm="2462">
        <f t="shared" si="34"/>
        <v>0</v>
      </c>
      <c r="L350" vm="2466">
        <f t="shared" si="34"/>
        <v>0</v>
      </c>
    </row>
    <row r="351" spans="2:12" x14ac:dyDescent="0.3">
      <c r="B351" s="16" t="str" vm="157">
        <f>CUBEMEMBER("ThisWorkbookDataModel","[Table1].[goal].&amp;[1.96447E3]")</f>
        <v>1964.47</v>
      </c>
      <c r="C351" t="str" vm="766">
        <f t="shared" si="34"/>
        <v/>
      </c>
      <c r="D351" t="str" vm="2312">
        <f t="shared" si="34"/>
        <v/>
      </c>
      <c r="E351" t="str" vm="767">
        <f t="shared" si="34"/>
        <v/>
      </c>
      <c r="F351" t="str" vm="3463">
        <f t="shared" si="34"/>
        <v/>
      </c>
      <c r="G351" t="str" vm="768">
        <f t="shared" si="34"/>
        <v/>
      </c>
      <c r="H351" t="str" vm="2299">
        <f t="shared" si="34"/>
        <v/>
      </c>
      <c r="I351" vm="769">
        <f t="shared" si="34"/>
        <v>75</v>
      </c>
      <c r="J351" vm="3460">
        <f t="shared" si="34"/>
        <v>2095.2600000000002</v>
      </c>
      <c r="K351" vm="3461">
        <f t="shared" si="34"/>
        <v>75</v>
      </c>
      <c r="L351" vm="3462">
        <f t="shared" si="34"/>
        <v>2095.2600000000002</v>
      </c>
    </row>
    <row r="352" spans="2:12" x14ac:dyDescent="0.3">
      <c r="B352" s="16" t="str" vm="26">
        <f>CUBEMEMBER("ThisWorkbookDataModel","[Table1].[goal].&amp;[1.96E3]")</f>
        <v>1960</v>
      </c>
      <c r="C352" t="str" vm="762">
        <f t="shared" si="34"/>
        <v/>
      </c>
      <c r="D352" t="str" vm="2277">
        <f t="shared" si="34"/>
        <v/>
      </c>
      <c r="E352" t="str" vm="763">
        <f t="shared" si="34"/>
        <v/>
      </c>
      <c r="F352" t="str" vm="2250">
        <f t="shared" si="34"/>
        <v/>
      </c>
      <c r="G352" t="str" vm="764">
        <f t="shared" si="34"/>
        <v/>
      </c>
      <c r="H352" t="str" vm="2596">
        <f t="shared" si="34"/>
        <v/>
      </c>
      <c r="I352" vm="765">
        <f t="shared" si="34"/>
        <v>21</v>
      </c>
      <c r="J352" vm="4911">
        <f t="shared" si="34"/>
        <v>3005</v>
      </c>
      <c r="K352" vm="2595">
        <f t="shared" si="34"/>
        <v>21</v>
      </c>
      <c r="L352" vm="4270">
        <f t="shared" si="34"/>
        <v>3005</v>
      </c>
    </row>
    <row r="353" spans="2:12" x14ac:dyDescent="0.3">
      <c r="B353" s="16" t="str" vm="381">
        <f>CUBEMEMBER("ThisWorkbookDataModel","[Table1].[goal].&amp;[1.93E3]")</f>
        <v>1930</v>
      </c>
      <c r="C353" t="str" vm="1622">
        <f t="shared" si="34"/>
        <v/>
      </c>
      <c r="D353" t="str" vm="4330">
        <f t="shared" si="34"/>
        <v/>
      </c>
      <c r="E353" vm="1623">
        <f t="shared" si="34"/>
        <v>3</v>
      </c>
      <c r="F353" vm="4331">
        <f t="shared" si="34"/>
        <v>75</v>
      </c>
      <c r="G353" t="str" vm="1624">
        <f t="shared" si="34"/>
        <v/>
      </c>
      <c r="H353" t="str" vm="4328">
        <f t="shared" si="34"/>
        <v/>
      </c>
      <c r="I353" t="str" vm="1625">
        <f t="shared" si="34"/>
        <v/>
      </c>
      <c r="J353" t="str" vm="4332">
        <f t="shared" si="34"/>
        <v/>
      </c>
      <c r="K353" vm="4327">
        <f t="shared" si="34"/>
        <v>3</v>
      </c>
      <c r="L353" vm="4329">
        <f t="shared" si="34"/>
        <v>75</v>
      </c>
    </row>
    <row r="354" spans="2:12" x14ac:dyDescent="0.3">
      <c r="B354" s="16" t="str" vm="65">
        <f>CUBEMEMBER("ThisWorkbookDataModel","[Table1].[goal].&amp;[1.9E3]")</f>
        <v>1900</v>
      </c>
      <c r="C354" t="str" vm="758">
        <f t="shared" si="34"/>
        <v/>
      </c>
      <c r="D354" t="str" vm="3641">
        <f t="shared" si="34"/>
        <v/>
      </c>
      <c r="E354" vm="759">
        <f t="shared" si="34"/>
        <v>29</v>
      </c>
      <c r="F354" vm="3642">
        <f t="shared" si="34"/>
        <v>905</v>
      </c>
      <c r="G354" t="str" vm="760">
        <f t="shared" si="34"/>
        <v/>
      </c>
      <c r="H354" t="str" vm="2338">
        <f t="shared" si="34"/>
        <v/>
      </c>
      <c r="I354" vm="761">
        <f t="shared" si="34"/>
        <v>96</v>
      </c>
      <c r="J354" vm="3643">
        <f t="shared" si="34"/>
        <v>4917</v>
      </c>
      <c r="K354" vm="3644">
        <f t="shared" si="34"/>
        <v>125</v>
      </c>
      <c r="L354" vm="2319">
        <f t="shared" si="34"/>
        <v>5822</v>
      </c>
    </row>
    <row r="355" spans="2:12" x14ac:dyDescent="0.3">
      <c r="B355" s="16" t="str" vm="422">
        <f>CUBEMEMBER("ThisWorkbookDataModel","[Table1].[goal].&amp;[1.897E3]")</f>
        <v>1897</v>
      </c>
      <c r="C355" vm="1618">
        <f t="shared" si="34"/>
        <v>4</v>
      </c>
      <c r="D355" vm="2715">
        <f t="shared" si="34"/>
        <v>205</v>
      </c>
      <c r="E355" t="str" vm="1619">
        <f t="shared" si="34"/>
        <v/>
      </c>
      <c r="F355" t="str" vm="2711">
        <f t="shared" si="34"/>
        <v/>
      </c>
      <c r="G355" t="str" vm="1620">
        <f t="shared" si="34"/>
        <v/>
      </c>
      <c r="H355" t="str" vm="2713">
        <f t="shared" si="34"/>
        <v/>
      </c>
      <c r="I355" t="str" vm="1621">
        <f t="shared" si="34"/>
        <v/>
      </c>
      <c r="J355" t="str" vm="2712">
        <f t="shared" si="34"/>
        <v/>
      </c>
      <c r="K355" vm="2714">
        <f t="shared" si="34"/>
        <v>4</v>
      </c>
      <c r="L355" vm="2716">
        <f t="shared" si="34"/>
        <v>205</v>
      </c>
    </row>
    <row r="356" spans="2:12" x14ac:dyDescent="0.3">
      <c r="B356" s="16" t="str" vm="292">
        <f>CUBEMEMBER("ThisWorkbookDataModel","[Table1].[goal].&amp;[1.85E3]")</f>
        <v>1850</v>
      </c>
      <c r="C356" t="str" vm="1614">
        <f t="shared" ref="C356:L365" si="35">CUBEVALUE("ThisWorkbookDataModel",$B356,C$5)</f>
        <v/>
      </c>
      <c r="D356" t="str" vm="3003">
        <f t="shared" si="35"/>
        <v/>
      </c>
      <c r="E356" vm="1615">
        <f t="shared" si="35"/>
        <v>7</v>
      </c>
      <c r="F356" vm="3008">
        <f t="shared" si="35"/>
        <v>145</v>
      </c>
      <c r="G356" t="str" vm="1616">
        <f t="shared" si="35"/>
        <v/>
      </c>
      <c r="H356" t="str" vm="3004">
        <f t="shared" si="35"/>
        <v/>
      </c>
      <c r="I356" t="str" vm="1617">
        <f t="shared" si="35"/>
        <v/>
      </c>
      <c r="J356" t="str" vm="3007">
        <f t="shared" si="35"/>
        <v/>
      </c>
      <c r="K356" vm="3005">
        <f t="shared" si="35"/>
        <v>7</v>
      </c>
      <c r="L356" vm="3006">
        <f t="shared" si="35"/>
        <v>145</v>
      </c>
    </row>
    <row r="357" spans="2:12" x14ac:dyDescent="0.3">
      <c r="B357" s="16" t="str" vm="104">
        <f>CUBEMEMBER("ThisWorkbookDataModel","[Table1].[goal].&amp;[1.8E3]")</f>
        <v>1800</v>
      </c>
      <c r="C357" t="str" vm="754">
        <f t="shared" si="35"/>
        <v/>
      </c>
      <c r="D357" t="str" vm="2857">
        <f t="shared" si="35"/>
        <v/>
      </c>
      <c r="E357" vm="755">
        <f t="shared" si="35"/>
        <v>14</v>
      </c>
      <c r="F357" vm="2278">
        <f t="shared" si="35"/>
        <v>657</v>
      </c>
      <c r="G357" t="str" vm="756">
        <f t="shared" si="35"/>
        <v/>
      </c>
      <c r="H357" t="str" vm="3673">
        <f t="shared" si="35"/>
        <v/>
      </c>
      <c r="I357" vm="757">
        <f t="shared" si="35"/>
        <v>565</v>
      </c>
      <c r="J357" vm="4908">
        <f t="shared" si="35"/>
        <v>29927</v>
      </c>
      <c r="K357" vm="2856">
        <f t="shared" si="35"/>
        <v>579</v>
      </c>
      <c r="L357" vm="2858">
        <f t="shared" si="35"/>
        <v>30584</v>
      </c>
    </row>
    <row r="358" spans="2:12" x14ac:dyDescent="0.3">
      <c r="B358" s="16" t="str" vm="144">
        <f>CUBEMEMBER("ThisWorkbookDataModel","[Table1].[goal].&amp;[1.75E3]")</f>
        <v>1750</v>
      </c>
      <c r="C358" vm="750">
        <f t="shared" si="35"/>
        <v>1</v>
      </c>
      <c r="D358" vm="3151">
        <f t="shared" si="35"/>
        <v>15</v>
      </c>
      <c r="E358" vm="751">
        <f t="shared" si="35"/>
        <v>12</v>
      </c>
      <c r="F358" vm="3155">
        <f t="shared" si="35"/>
        <v>510</v>
      </c>
      <c r="G358" t="str" vm="752">
        <f t="shared" si="35"/>
        <v/>
      </c>
      <c r="H358" t="str" vm="3152">
        <f t="shared" si="35"/>
        <v/>
      </c>
      <c r="I358" vm="753">
        <f t="shared" si="35"/>
        <v>136</v>
      </c>
      <c r="J358" vm="3153">
        <f t="shared" si="35"/>
        <v>7808</v>
      </c>
      <c r="K358" vm="3154">
        <f t="shared" si="35"/>
        <v>149</v>
      </c>
      <c r="L358" vm="4251">
        <f t="shared" si="35"/>
        <v>8333</v>
      </c>
    </row>
    <row r="359" spans="2:12" x14ac:dyDescent="0.3">
      <c r="B359" s="16" t="str" vm="184">
        <f>CUBEMEMBER("ThisWorkbookDataModel","[Table1].[goal].&amp;[1.7E3]")</f>
        <v>1700</v>
      </c>
      <c r="C359" t="str" vm="746">
        <f t="shared" si="35"/>
        <v/>
      </c>
      <c r="D359" t="str" vm="3845">
        <f t="shared" si="35"/>
        <v/>
      </c>
      <c r="E359" vm="747">
        <f t="shared" si="35"/>
        <v>10</v>
      </c>
      <c r="F359" vm="2290">
        <f t="shared" si="35"/>
        <v>410</v>
      </c>
      <c r="G359" t="str" vm="748">
        <f t="shared" si="35"/>
        <v/>
      </c>
      <c r="H359" t="str" vm="3847">
        <f t="shared" si="35"/>
        <v/>
      </c>
      <c r="I359" vm="749">
        <f t="shared" si="35"/>
        <v>160</v>
      </c>
      <c r="J359" vm="3843">
        <f t="shared" si="35"/>
        <v>7350.01</v>
      </c>
      <c r="K359" vm="3846">
        <f t="shared" si="35"/>
        <v>170</v>
      </c>
      <c r="L359" vm="3844">
        <f t="shared" si="35"/>
        <v>7760.01</v>
      </c>
    </row>
    <row r="360" spans="2:12" x14ac:dyDescent="0.3">
      <c r="B360" s="16" t="str" vm="432">
        <f>CUBEMEMBER("ThisWorkbookDataModel","[Table1].[goal].&amp;[1.68E3]")</f>
        <v>1680</v>
      </c>
      <c r="C360" vm="1610">
        <f t="shared" si="35"/>
        <v>0</v>
      </c>
      <c r="D360" vm="4547">
        <f t="shared" si="35"/>
        <v>0</v>
      </c>
      <c r="E360" t="str" vm="1611">
        <f t="shared" si="35"/>
        <v/>
      </c>
      <c r="F360" t="str" vm="4544">
        <f t="shared" si="35"/>
        <v/>
      </c>
      <c r="G360" t="str" vm="1612">
        <f t="shared" si="35"/>
        <v/>
      </c>
      <c r="H360" t="str" vm="4549">
        <f t="shared" si="35"/>
        <v/>
      </c>
      <c r="I360" t="str" vm="1613">
        <f t="shared" si="35"/>
        <v/>
      </c>
      <c r="J360" t="str" vm="4545">
        <f t="shared" si="35"/>
        <v/>
      </c>
      <c r="K360" vm="4546">
        <f t="shared" si="35"/>
        <v>0</v>
      </c>
      <c r="L360" vm="4548">
        <f t="shared" si="35"/>
        <v>0</v>
      </c>
    </row>
    <row r="361" spans="2:12" x14ac:dyDescent="0.3">
      <c r="B361" s="16" t="str" vm="222">
        <f>CUBEMEMBER("ThisWorkbookDataModel","[Table1].[goal].&amp;[1.65E3]")</f>
        <v>1650</v>
      </c>
      <c r="C361" t="str" vm="742">
        <f t="shared" si="35"/>
        <v/>
      </c>
      <c r="D361" t="str" vm="4028">
        <f t="shared" si="35"/>
        <v/>
      </c>
      <c r="E361" vm="743">
        <f t="shared" si="35"/>
        <v>3</v>
      </c>
      <c r="F361" vm="2300">
        <f t="shared" si="35"/>
        <v>69</v>
      </c>
      <c r="G361" t="str" vm="744">
        <f t="shared" si="35"/>
        <v/>
      </c>
      <c r="H361" t="str" vm="4026">
        <f t="shared" si="35"/>
        <v/>
      </c>
      <c r="I361" vm="745">
        <f t="shared" si="35"/>
        <v>109</v>
      </c>
      <c r="J361" vm="4029">
        <f t="shared" si="35"/>
        <v>5019</v>
      </c>
      <c r="K361" vm="4030">
        <f t="shared" si="35"/>
        <v>112</v>
      </c>
      <c r="L361" vm="4027">
        <f t="shared" si="35"/>
        <v>5088</v>
      </c>
    </row>
    <row r="362" spans="2:12" x14ac:dyDescent="0.3">
      <c r="B362" s="16" t="str" vm="258">
        <f>CUBEMEMBER("ThisWorkbookDataModel","[Table1].[goal].&amp;[1.6E3]")</f>
        <v>1600</v>
      </c>
      <c r="C362" t="str" vm="738">
        <f t="shared" si="35"/>
        <v/>
      </c>
      <c r="D362" t="str" vm="4214">
        <f t="shared" si="35"/>
        <v/>
      </c>
      <c r="E362" vm="739">
        <f t="shared" si="35"/>
        <v>16</v>
      </c>
      <c r="F362" vm="4216">
        <f t="shared" si="35"/>
        <v>425</v>
      </c>
      <c r="G362" t="str" vm="740">
        <f t="shared" si="35"/>
        <v/>
      </c>
      <c r="H362" t="str" vm="2320">
        <f t="shared" si="35"/>
        <v/>
      </c>
      <c r="I362" vm="741">
        <f t="shared" si="35"/>
        <v>230</v>
      </c>
      <c r="J362" vm="4212">
        <f t="shared" si="35"/>
        <v>8010.1</v>
      </c>
      <c r="K362" vm="4213">
        <f t="shared" si="35"/>
        <v>246</v>
      </c>
      <c r="L362" vm="4215">
        <f t="shared" si="35"/>
        <v>8435.1</v>
      </c>
    </row>
    <row r="363" spans="2:12" x14ac:dyDescent="0.3">
      <c r="B363" s="16" t="str" vm="118">
        <f>CUBEMEMBER("ThisWorkbookDataModel","[Table1].[goal].&amp;[1.57079E3]")</f>
        <v>1570.79</v>
      </c>
      <c r="C363" t="str" vm="734">
        <f t="shared" si="35"/>
        <v/>
      </c>
      <c r="D363" t="str" vm="4430">
        <f t="shared" si="35"/>
        <v/>
      </c>
      <c r="E363" t="str" vm="735">
        <f t="shared" si="35"/>
        <v/>
      </c>
      <c r="F363" t="str" vm="4432">
        <f t="shared" si="35"/>
        <v/>
      </c>
      <c r="G363" t="str" vm="736">
        <f t="shared" si="35"/>
        <v/>
      </c>
      <c r="H363" t="str" vm="4433">
        <f t="shared" si="35"/>
        <v/>
      </c>
      <c r="I363" vm="737">
        <f t="shared" si="35"/>
        <v>41</v>
      </c>
      <c r="J363" vm="4428">
        <f t="shared" si="35"/>
        <v>1839</v>
      </c>
      <c r="K363" vm="4429">
        <f t="shared" si="35"/>
        <v>41</v>
      </c>
      <c r="L363" vm="4431">
        <f t="shared" si="35"/>
        <v>1839</v>
      </c>
    </row>
    <row r="364" spans="2:12" x14ac:dyDescent="0.3">
      <c r="B364" s="16" t="str" vm="27">
        <f>CUBEMEMBER("ThisWorkbookDataModel","[Table1].[goal].&amp;[1.57E3]")</f>
        <v>1570</v>
      </c>
      <c r="C364" t="str" vm="730">
        <f t="shared" si="35"/>
        <v/>
      </c>
      <c r="D364" t="str" vm="2301">
        <f t="shared" si="35"/>
        <v/>
      </c>
      <c r="E364" t="str" vm="731">
        <f t="shared" si="35"/>
        <v/>
      </c>
      <c r="F364" t="str" vm="2252">
        <f t="shared" si="35"/>
        <v/>
      </c>
      <c r="G364" t="str" vm="732">
        <f t="shared" si="35"/>
        <v/>
      </c>
      <c r="H364" t="str" vm="3687">
        <f t="shared" si="35"/>
        <v/>
      </c>
      <c r="I364" vm="733">
        <f t="shared" si="35"/>
        <v>37</v>
      </c>
      <c r="J364" vm="4921">
        <f t="shared" si="35"/>
        <v>1614</v>
      </c>
      <c r="K364" vm="4468">
        <f t="shared" si="35"/>
        <v>37</v>
      </c>
      <c r="L364" vm="4250">
        <f t="shared" si="35"/>
        <v>1614</v>
      </c>
    </row>
    <row r="365" spans="2:12" x14ac:dyDescent="0.3">
      <c r="B365" s="16" t="str" vm="66">
        <f>CUBEMEMBER("ThisWorkbookDataModel","[Table1].[goal].&amp;[1.551E3]")</f>
        <v>1551</v>
      </c>
      <c r="C365" t="str" vm="726">
        <f t="shared" si="35"/>
        <v/>
      </c>
      <c r="D365" t="str" vm="4650">
        <f t="shared" si="35"/>
        <v/>
      </c>
      <c r="E365" t="str" vm="727">
        <f t="shared" si="35"/>
        <v/>
      </c>
      <c r="F365" t="str" vm="4646">
        <f t="shared" si="35"/>
        <v/>
      </c>
      <c r="G365" t="str" vm="728">
        <f t="shared" si="35"/>
        <v/>
      </c>
      <c r="H365" t="str" vm="4647">
        <f t="shared" si="35"/>
        <v/>
      </c>
      <c r="I365" vm="729">
        <f t="shared" si="35"/>
        <v>49</v>
      </c>
      <c r="J365" vm="4648">
        <f t="shared" si="35"/>
        <v>1686</v>
      </c>
      <c r="K365" vm="4649">
        <f t="shared" si="35"/>
        <v>49</v>
      </c>
      <c r="L365" vm="4651">
        <f t="shared" si="35"/>
        <v>1686</v>
      </c>
    </row>
    <row r="366" spans="2:12" x14ac:dyDescent="0.3">
      <c r="B366" s="16" t="str" vm="105">
        <f>CUBEMEMBER("ThisWorkbookDataModel","[Table1].[goal].&amp;[1.55E3]")</f>
        <v>1550</v>
      </c>
      <c r="C366" t="str" vm="722">
        <f t="shared" ref="C366:L375" si="36">CUBEVALUE("ThisWorkbookDataModel",$B366,C$5)</f>
        <v/>
      </c>
      <c r="D366" t="str" vm="2859">
        <f t="shared" si="36"/>
        <v/>
      </c>
      <c r="E366" t="str" vm="723">
        <f t="shared" si="36"/>
        <v/>
      </c>
      <c r="F366" t="str" vm="2861">
        <f t="shared" si="36"/>
        <v/>
      </c>
      <c r="G366" t="str" vm="724">
        <f t="shared" si="36"/>
        <v/>
      </c>
      <c r="H366" t="str" vm="3670">
        <f t="shared" si="36"/>
        <v/>
      </c>
      <c r="I366" vm="725">
        <f t="shared" si="36"/>
        <v>30</v>
      </c>
      <c r="J366" vm="4905">
        <f t="shared" si="36"/>
        <v>3186</v>
      </c>
      <c r="K366" vm="4489">
        <f t="shared" si="36"/>
        <v>30</v>
      </c>
      <c r="L366" vm="2860">
        <f t="shared" si="36"/>
        <v>3186</v>
      </c>
    </row>
    <row r="367" spans="2:12" x14ac:dyDescent="0.3">
      <c r="B367" s="16" t="str" vm="145">
        <f>CUBEMEMBER("ThisWorkbookDataModel","[Table1].[goal].&amp;[1.5E3]")</f>
        <v>1500</v>
      </c>
      <c r="C367" vm="718">
        <f t="shared" si="36"/>
        <v>8</v>
      </c>
      <c r="D367" vm="2253">
        <f t="shared" si="36"/>
        <v>105</v>
      </c>
      <c r="E367" vm="719">
        <f t="shared" si="36"/>
        <v>128</v>
      </c>
      <c r="F367" vm="3156">
        <f t="shared" si="36"/>
        <v>4749</v>
      </c>
      <c r="G367" vm="720">
        <f t="shared" si="36"/>
        <v>1</v>
      </c>
      <c r="H367" vm="3157">
        <f t="shared" si="36"/>
        <v>50</v>
      </c>
      <c r="I367" vm="721">
        <f t="shared" si="36"/>
        <v>4128</v>
      </c>
      <c r="J367" vm="4889">
        <f t="shared" si="36"/>
        <v>192289.9</v>
      </c>
      <c r="K367" vm="4480">
        <f t="shared" si="36"/>
        <v>4265</v>
      </c>
      <c r="L367" vm="4266">
        <f t="shared" si="36"/>
        <v>197193.9</v>
      </c>
    </row>
    <row r="368" spans="2:12" x14ac:dyDescent="0.3">
      <c r="B368" s="16" t="str" vm="185">
        <f>CUBEMEMBER("ThisWorkbookDataModel","[Table1].[goal].&amp;[1.45E3]")</f>
        <v>1450</v>
      </c>
      <c r="C368" t="str" vm="714">
        <f t="shared" si="36"/>
        <v/>
      </c>
      <c r="D368" t="str" vm="4844">
        <f t="shared" si="36"/>
        <v/>
      </c>
      <c r="E368" t="str" vm="715">
        <f t="shared" si="36"/>
        <v/>
      </c>
      <c r="F368" t="str" vm="4847">
        <f t="shared" si="36"/>
        <v/>
      </c>
      <c r="G368" t="str" vm="716">
        <f t="shared" si="36"/>
        <v/>
      </c>
      <c r="H368" t="str" vm="4848">
        <f t="shared" si="36"/>
        <v/>
      </c>
      <c r="I368" vm="717">
        <f t="shared" si="36"/>
        <v>47</v>
      </c>
      <c r="J368" vm="4849">
        <f t="shared" si="36"/>
        <v>1500</v>
      </c>
      <c r="K368" vm="4845">
        <f t="shared" si="36"/>
        <v>47</v>
      </c>
      <c r="L368" vm="4846">
        <f t="shared" si="36"/>
        <v>1500</v>
      </c>
    </row>
    <row r="369" spans="2:12" x14ac:dyDescent="0.3">
      <c r="B369" s="16" t="str" vm="223">
        <f>CUBEMEMBER("ThisWorkbookDataModel","[Table1].[goal].&amp;[1.4E3]")</f>
        <v>1400</v>
      </c>
      <c r="C369" t="str" vm="710">
        <f t="shared" si="36"/>
        <v/>
      </c>
      <c r="D369" t="str" vm="3468">
        <f t="shared" si="36"/>
        <v/>
      </c>
      <c r="E369" vm="711">
        <f t="shared" si="36"/>
        <v>3</v>
      </c>
      <c r="F369" vm="3464">
        <f t="shared" si="36"/>
        <v>45</v>
      </c>
      <c r="G369" t="str" vm="712">
        <f t="shared" si="36"/>
        <v/>
      </c>
      <c r="H369" t="str" vm="3465">
        <f t="shared" si="36"/>
        <v/>
      </c>
      <c r="I369" vm="713">
        <f t="shared" si="36"/>
        <v>44</v>
      </c>
      <c r="J369" vm="3466">
        <f t="shared" si="36"/>
        <v>2980.06</v>
      </c>
      <c r="K369" vm="3467">
        <f t="shared" si="36"/>
        <v>47</v>
      </c>
      <c r="L369" vm="3469">
        <f t="shared" si="36"/>
        <v>3025.06</v>
      </c>
    </row>
    <row r="370" spans="2:12" x14ac:dyDescent="0.3">
      <c r="B370" s="16" t="str" vm="259">
        <f>CUBEMEMBER("ThisWorkbookDataModel","[Table1].[goal].&amp;[1.395E3]")</f>
        <v>1395</v>
      </c>
      <c r="C370" t="str" vm="706">
        <f t="shared" si="36"/>
        <v/>
      </c>
      <c r="D370" t="str" vm="3647">
        <f t="shared" si="36"/>
        <v/>
      </c>
      <c r="E370" t="str" vm="707">
        <f t="shared" si="36"/>
        <v/>
      </c>
      <c r="F370" t="str" vm="3649">
        <f t="shared" si="36"/>
        <v/>
      </c>
      <c r="G370" t="str" vm="708">
        <f t="shared" si="36"/>
        <v/>
      </c>
      <c r="H370" t="str" vm="2285">
        <f t="shared" si="36"/>
        <v/>
      </c>
      <c r="I370" vm="709">
        <f t="shared" si="36"/>
        <v>34</v>
      </c>
      <c r="J370" vm="3645">
        <f t="shared" si="36"/>
        <v>1395</v>
      </c>
      <c r="K370" vm="3646">
        <f t="shared" si="36"/>
        <v>34</v>
      </c>
      <c r="L370" vm="3648">
        <f t="shared" si="36"/>
        <v>1395</v>
      </c>
    </row>
    <row r="371" spans="2:12" x14ac:dyDescent="0.3">
      <c r="B371" s="16" t="str" vm="158">
        <f>CUBEMEMBER("ThisWorkbookDataModel","[Table1].[goal].&amp;[1.385E3]")</f>
        <v>1385</v>
      </c>
      <c r="C371" t="str" vm="702">
        <f t="shared" si="36"/>
        <v/>
      </c>
      <c r="D371" t="str" vm="3849">
        <f t="shared" si="36"/>
        <v/>
      </c>
      <c r="E371" t="str" vm="703">
        <f t="shared" si="36"/>
        <v/>
      </c>
      <c r="F371" t="str" vm="3851">
        <f t="shared" si="36"/>
        <v/>
      </c>
      <c r="G371" t="str" vm="704">
        <f t="shared" si="36"/>
        <v/>
      </c>
      <c r="H371" t="str" vm="3852">
        <f t="shared" si="36"/>
        <v/>
      </c>
      <c r="I371" vm="705">
        <f t="shared" si="36"/>
        <v>193</v>
      </c>
      <c r="J371" vm="4883">
        <f t="shared" si="36"/>
        <v>7011</v>
      </c>
      <c r="K371" vm="3848">
        <f t="shared" si="36"/>
        <v>193</v>
      </c>
      <c r="L371" vm="3850">
        <f t="shared" si="36"/>
        <v>7011</v>
      </c>
    </row>
    <row r="372" spans="2:12" x14ac:dyDescent="0.3">
      <c r="B372" s="16" t="str" vm="28">
        <f>CUBEMEMBER("ThisWorkbookDataModel","[Table1].[goal].&amp;[1.35E3]")</f>
        <v>1350</v>
      </c>
      <c r="C372" t="str" vm="698">
        <f t="shared" si="36"/>
        <v/>
      </c>
      <c r="D372" t="str" vm="2279">
        <f t="shared" si="36"/>
        <v/>
      </c>
      <c r="E372" t="str" vm="699">
        <f t="shared" si="36"/>
        <v/>
      </c>
      <c r="F372" t="str" vm="2254">
        <f t="shared" si="36"/>
        <v/>
      </c>
      <c r="G372" t="str" vm="700">
        <f t="shared" si="36"/>
        <v/>
      </c>
      <c r="H372" t="str" vm="3686">
        <f t="shared" si="36"/>
        <v/>
      </c>
      <c r="I372" vm="701">
        <f t="shared" si="36"/>
        <v>20</v>
      </c>
      <c r="J372" vm="4920">
        <f t="shared" si="36"/>
        <v>1605</v>
      </c>
      <c r="K372" vm="2339">
        <f t="shared" si="36"/>
        <v>20</v>
      </c>
      <c r="L372" vm="2321">
        <f t="shared" si="36"/>
        <v>1605</v>
      </c>
    </row>
    <row r="373" spans="2:12" x14ac:dyDescent="0.3">
      <c r="B373" s="16" t="str" vm="67">
        <f>CUBEMEMBER("ThisWorkbookDataModel","[Table1].[goal].&amp;[1.328E3]")</f>
        <v>1328</v>
      </c>
      <c r="C373" t="str" vm="694">
        <f t="shared" si="36"/>
        <v/>
      </c>
      <c r="D373" t="str" vm="4035">
        <f t="shared" si="36"/>
        <v/>
      </c>
      <c r="E373" t="str" vm="695">
        <f t="shared" si="36"/>
        <v/>
      </c>
      <c r="F373" t="str" vm="4031">
        <f t="shared" si="36"/>
        <v/>
      </c>
      <c r="G373" t="str" vm="696">
        <f t="shared" si="36"/>
        <v/>
      </c>
      <c r="H373" t="str" vm="4032">
        <f t="shared" si="36"/>
        <v/>
      </c>
      <c r="I373" vm="697">
        <f t="shared" si="36"/>
        <v>27</v>
      </c>
      <c r="J373" vm="4033">
        <f t="shared" si="36"/>
        <v>1366</v>
      </c>
      <c r="K373" vm="4034">
        <f t="shared" si="36"/>
        <v>27</v>
      </c>
      <c r="L373" vm="4036">
        <f t="shared" si="36"/>
        <v>1366</v>
      </c>
    </row>
    <row r="374" spans="2:12" x14ac:dyDescent="0.3">
      <c r="B374" s="16" t="str" vm="106">
        <f>CUBEMEMBER("ThisWorkbookDataModel","[Table1].[goal].&amp;[1.3E3]")</f>
        <v>1300</v>
      </c>
      <c r="C374" t="str" vm="690">
        <f t="shared" si="36"/>
        <v/>
      </c>
      <c r="D374" t="str" vm="2862">
        <f t="shared" si="36"/>
        <v/>
      </c>
      <c r="E374" vm="691">
        <f t="shared" si="36"/>
        <v>10</v>
      </c>
      <c r="F374" vm="2864">
        <f t="shared" si="36"/>
        <v>620</v>
      </c>
      <c r="G374" t="str" vm="692">
        <f t="shared" si="36"/>
        <v/>
      </c>
      <c r="H374" t="str" vm="2302">
        <f t="shared" si="36"/>
        <v/>
      </c>
      <c r="I374" vm="693">
        <f t="shared" si="36"/>
        <v>238</v>
      </c>
      <c r="J374" vm="4904">
        <f t="shared" si="36"/>
        <v>10755</v>
      </c>
      <c r="K374" vm="4488">
        <f t="shared" si="36"/>
        <v>248</v>
      </c>
      <c r="L374" vm="2863">
        <f t="shared" si="36"/>
        <v>11375</v>
      </c>
    </row>
    <row r="375" spans="2:12" x14ac:dyDescent="0.3">
      <c r="B375" s="16" t="str" vm="146">
        <f>CUBEMEMBER("ThisWorkbookDataModel","[Table1].[goal].&amp;[1.25E3]")</f>
        <v>1250</v>
      </c>
      <c r="C375" t="str" vm="686">
        <f t="shared" si="36"/>
        <v/>
      </c>
      <c r="D375" t="str" vm="2255">
        <f t="shared" si="36"/>
        <v/>
      </c>
      <c r="E375" vm="687">
        <f t="shared" si="36"/>
        <v>36</v>
      </c>
      <c r="F375" vm="3158">
        <f t="shared" si="36"/>
        <v>2023</v>
      </c>
      <c r="G375" vm="688">
        <f t="shared" si="36"/>
        <v>1</v>
      </c>
      <c r="H375" vm="3159">
        <f t="shared" si="36"/>
        <v>10</v>
      </c>
      <c r="I375" vm="689">
        <f t="shared" si="36"/>
        <v>138</v>
      </c>
      <c r="J375" vm="4878">
        <f t="shared" si="36"/>
        <v>8495</v>
      </c>
      <c r="K375" vm="4479">
        <f t="shared" si="36"/>
        <v>175</v>
      </c>
      <c r="L375" vm="4265">
        <f t="shared" si="36"/>
        <v>10528</v>
      </c>
    </row>
    <row r="376" spans="2:12" x14ac:dyDescent="0.3">
      <c r="B376" s="16" t="str" vm="186">
        <f>CUBEMEMBER("ThisWorkbookDataModel","[Table1].[goal].&amp;[1.2E3]")</f>
        <v>1200</v>
      </c>
      <c r="C376" vm="682">
        <f t="shared" ref="C376:L385" si="37">CUBEVALUE("ThisWorkbookDataModel",$B376,C$5)</f>
        <v>11</v>
      </c>
      <c r="D376" vm="4217">
        <f t="shared" si="37"/>
        <v>715</v>
      </c>
      <c r="E376" vm="683">
        <f t="shared" si="37"/>
        <v>56</v>
      </c>
      <c r="F376" vm="4220">
        <f t="shared" si="37"/>
        <v>1473</v>
      </c>
      <c r="G376" t="str" vm="684">
        <f t="shared" si="37"/>
        <v/>
      </c>
      <c r="H376" t="str" vm="4221">
        <f t="shared" si="37"/>
        <v/>
      </c>
      <c r="I376" vm="685">
        <f t="shared" si="37"/>
        <v>1036</v>
      </c>
      <c r="J376" vm="4222">
        <f t="shared" si="37"/>
        <v>47957.85</v>
      </c>
      <c r="K376" vm="4218">
        <f t="shared" si="37"/>
        <v>1103</v>
      </c>
      <c r="L376" vm="4219">
        <f t="shared" si="37"/>
        <v>50145.85</v>
      </c>
    </row>
    <row r="377" spans="2:12" x14ac:dyDescent="0.3">
      <c r="B377" s="16" t="str" vm="224">
        <f>CUBEMEMBER("ThisWorkbookDataModel","[Table1].[goal].&amp;[1.15E3]")</f>
        <v>1150</v>
      </c>
      <c r="C377" t="str" vm="678">
        <f t="shared" si="37"/>
        <v/>
      </c>
      <c r="D377" t="str" vm="4438">
        <f t="shared" si="37"/>
        <v/>
      </c>
      <c r="E377" vm="679">
        <f t="shared" si="37"/>
        <v>0</v>
      </c>
      <c r="F377" vm="4434">
        <f t="shared" si="37"/>
        <v>0</v>
      </c>
      <c r="G377" t="str" vm="680">
        <f t="shared" si="37"/>
        <v/>
      </c>
      <c r="H377" t="str" vm="4435">
        <f t="shared" si="37"/>
        <v/>
      </c>
      <c r="I377" vm="681">
        <f t="shared" si="37"/>
        <v>30</v>
      </c>
      <c r="J377" vm="4436">
        <f t="shared" si="37"/>
        <v>1330</v>
      </c>
      <c r="K377" vm="4437">
        <f t="shared" si="37"/>
        <v>30</v>
      </c>
      <c r="L377" vm="4439">
        <f t="shared" si="37"/>
        <v>1330</v>
      </c>
    </row>
    <row r="378" spans="2:12" x14ac:dyDescent="0.3">
      <c r="B378" s="16" t="str" vm="314">
        <f>CUBEMEMBER("ThisWorkbookDataModel","[Table1].[goal].&amp;[1.11E3]")</f>
        <v>1110</v>
      </c>
      <c r="C378" t="str" vm="1606">
        <f t="shared" si="37"/>
        <v/>
      </c>
      <c r="D378" t="str" vm="3290">
        <f t="shared" si="37"/>
        <v/>
      </c>
      <c r="E378" vm="1607">
        <f t="shared" si="37"/>
        <v>0</v>
      </c>
      <c r="F378" vm="3292">
        <f t="shared" si="37"/>
        <v>0</v>
      </c>
      <c r="G378" t="str" vm="1608">
        <f t="shared" si="37"/>
        <v/>
      </c>
      <c r="H378" t="str" vm="3291">
        <f t="shared" si="37"/>
        <v/>
      </c>
      <c r="I378" t="str" vm="1609">
        <f t="shared" si="37"/>
        <v/>
      </c>
      <c r="J378" t="str" vm="3293">
        <f t="shared" si="37"/>
        <v/>
      </c>
      <c r="K378" vm="3288">
        <f t="shared" si="37"/>
        <v>0</v>
      </c>
      <c r="L378" vm="3289">
        <f t="shared" si="37"/>
        <v>0</v>
      </c>
    </row>
    <row r="379" spans="2:12" x14ac:dyDescent="0.3">
      <c r="B379" s="16" t="str" vm="260">
        <f>CUBEMEMBER("ThisWorkbookDataModel","[Table1].[goal].&amp;[1.1E3]")</f>
        <v>1100</v>
      </c>
      <c r="C379" vm="674">
        <f t="shared" si="37"/>
        <v>0</v>
      </c>
      <c r="D379" vm="4655">
        <f t="shared" si="37"/>
        <v>0</v>
      </c>
      <c r="E379" vm="675">
        <f t="shared" si="37"/>
        <v>5</v>
      </c>
      <c r="F379" vm="4657">
        <f t="shared" si="37"/>
        <v>115</v>
      </c>
      <c r="G379" t="str" vm="676">
        <f t="shared" si="37"/>
        <v/>
      </c>
      <c r="H379" t="str" vm="4652">
        <f t="shared" si="37"/>
        <v/>
      </c>
      <c r="I379" vm="677">
        <f t="shared" si="37"/>
        <v>374</v>
      </c>
      <c r="J379" vm="4653">
        <f t="shared" si="37"/>
        <v>12677.01</v>
      </c>
      <c r="K379" vm="4654">
        <f t="shared" si="37"/>
        <v>379</v>
      </c>
      <c r="L379" vm="4656">
        <f t="shared" si="37"/>
        <v>12792.01</v>
      </c>
    </row>
    <row r="380" spans="2:12" x14ac:dyDescent="0.3">
      <c r="B380" s="16" t="str" vm="197">
        <f>CUBEMEMBER("ThisWorkbookDataModel","[Table1].[goal].&amp;[1.07E3]")</f>
        <v>1070</v>
      </c>
      <c r="C380" t="str" vm="670">
        <f t="shared" si="37"/>
        <v/>
      </c>
      <c r="D380" t="str" vm="4852">
        <f t="shared" si="37"/>
        <v/>
      </c>
      <c r="E380" t="str" vm="671">
        <f t="shared" si="37"/>
        <v/>
      </c>
      <c r="F380" t="str" vm="4854">
        <f t="shared" si="37"/>
        <v/>
      </c>
      <c r="G380" t="str" vm="672">
        <f t="shared" si="37"/>
        <v/>
      </c>
      <c r="H380" t="str" vm="4855">
        <f t="shared" si="37"/>
        <v/>
      </c>
      <c r="I380" vm="673">
        <f t="shared" si="37"/>
        <v>42</v>
      </c>
      <c r="J380" vm="4850">
        <f t="shared" si="37"/>
        <v>1466</v>
      </c>
      <c r="K380" vm="4851">
        <f t="shared" si="37"/>
        <v>42</v>
      </c>
      <c r="L380" vm="4853">
        <f t="shared" si="37"/>
        <v>1466</v>
      </c>
    </row>
    <row r="381" spans="2:12" x14ac:dyDescent="0.3">
      <c r="B381" s="16" t="str" vm="29">
        <f>CUBEMEMBER("ThisWorkbookDataModel","[Table1].[goal].&amp;[1.05E3]")</f>
        <v>1050</v>
      </c>
      <c r="C381" t="str" vm="666">
        <f t="shared" si="37"/>
        <v/>
      </c>
      <c r="D381" t="str" vm="2303">
        <f t="shared" si="37"/>
        <v/>
      </c>
      <c r="E381" t="str" vm="667">
        <f t="shared" si="37"/>
        <v/>
      </c>
      <c r="F381" t="str" vm="2256">
        <f t="shared" si="37"/>
        <v/>
      </c>
      <c r="G381" t="str" vm="668">
        <f t="shared" si="37"/>
        <v/>
      </c>
      <c r="H381" t="str" vm="3685">
        <f t="shared" si="37"/>
        <v/>
      </c>
      <c r="I381" vm="669">
        <f t="shared" si="37"/>
        <v>48</v>
      </c>
      <c r="J381" vm="4919">
        <f t="shared" si="37"/>
        <v>2411</v>
      </c>
      <c r="K381" vm="4467">
        <f t="shared" si="37"/>
        <v>48</v>
      </c>
      <c r="L381" vm="4249">
        <f t="shared" si="37"/>
        <v>2411</v>
      </c>
    </row>
    <row r="382" spans="2:12" x14ac:dyDescent="0.3">
      <c r="B382" s="16" t="str" vm="336">
        <f>CUBEMEMBER("ThisWorkbookDataModel","[Table1].[goal].&amp;[1.01E3]")</f>
        <v>1010</v>
      </c>
      <c r="C382" t="str" vm="1602">
        <f t="shared" si="37"/>
        <v/>
      </c>
      <c r="D382" t="str" vm="4746">
        <f t="shared" si="37"/>
        <v/>
      </c>
      <c r="E382" vm="1603">
        <f t="shared" si="37"/>
        <v>1</v>
      </c>
      <c r="F382" vm="4743">
        <f t="shared" si="37"/>
        <v>1</v>
      </c>
      <c r="G382" t="str" vm="1604">
        <f t="shared" si="37"/>
        <v/>
      </c>
      <c r="H382" t="str" vm="4744">
        <f t="shared" si="37"/>
        <v/>
      </c>
      <c r="I382" t="str" vm="1605">
        <f t="shared" si="37"/>
        <v/>
      </c>
      <c r="J382" t="str" vm="4742">
        <f t="shared" si="37"/>
        <v/>
      </c>
      <c r="K382" vm="4745">
        <f t="shared" si="37"/>
        <v>1</v>
      </c>
      <c r="L382" vm="4747">
        <f t="shared" si="37"/>
        <v>1</v>
      </c>
    </row>
    <row r="383" spans="2:12" x14ac:dyDescent="0.3">
      <c r="B383" s="16" t="str" vm="68">
        <f>CUBEMEMBER("ThisWorkbookDataModel","[Table1].[goal].&amp;[1.E3]")</f>
        <v>1000</v>
      </c>
      <c r="C383" vm="662">
        <f t="shared" si="37"/>
        <v>19</v>
      </c>
      <c r="D383" vm="3473">
        <f t="shared" si="37"/>
        <v>318</v>
      </c>
      <c r="E383" vm="663">
        <f t="shared" si="37"/>
        <v>228</v>
      </c>
      <c r="F383" vm="2322">
        <f t="shared" si="37"/>
        <v>6134</v>
      </c>
      <c r="G383" vm="664">
        <f t="shared" si="37"/>
        <v>19</v>
      </c>
      <c r="H383" vm="3470">
        <f t="shared" si="37"/>
        <v>305</v>
      </c>
      <c r="I383" vm="665">
        <f t="shared" si="37"/>
        <v>4809</v>
      </c>
      <c r="J383" vm="3471">
        <f t="shared" si="37"/>
        <v>207169.1</v>
      </c>
      <c r="K383" vm="3472">
        <f t="shared" si="37"/>
        <v>5075</v>
      </c>
      <c r="L383" vm="3474">
        <f t="shared" si="37"/>
        <v>213926.1</v>
      </c>
    </row>
    <row r="384" spans="2:12" x14ac:dyDescent="0.3">
      <c r="B384" s="16" t="str" vm="107">
        <f>CUBEMEMBER("ThisWorkbookDataModel","[Table1].[goal].&amp;[9.99E2]")</f>
        <v>999</v>
      </c>
      <c r="C384" t="str" vm="658">
        <f t="shared" si="37"/>
        <v/>
      </c>
      <c r="D384" t="str" vm="2865">
        <f t="shared" si="37"/>
        <v/>
      </c>
      <c r="E384" t="str" vm="659">
        <f t="shared" si="37"/>
        <v/>
      </c>
      <c r="F384" t="str" vm="2867">
        <f t="shared" si="37"/>
        <v/>
      </c>
      <c r="G384" t="str" vm="660">
        <f t="shared" si="37"/>
        <v/>
      </c>
      <c r="H384" t="str" vm="3669">
        <f t="shared" si="37"/>
        <v/>
      </c>
      <c r="I384" vm="661">
        <f t="shared" si="37"/>
        <v>80</v>
      </c>
      <c r="J384" vm="4903">
        <f t="shared" si="37"/>
        <v>3112</v>
      </c>
      <c r="K384" vm="4487">
        <f t="shared" si="37"/>
        <v>80</v>
      </c>
      <c r="L384" vm="2866">
        <f t="shared" si="37"/>
        <v>3112</v>
      </c>
    </row>
    <row r="385" spans="2:12" x14ac:dyDescent="0.3">
      <c r="B385" s="16" t="str" vm="147">
        <f>CUBEMEMBER("ThisWorkbookDataModel","[Table1].[goal].&amp;[9.78E2]")</f>
        <v>978</v>
      </c>
      <c r="C385" t="str" vm="654">
        <f t="shared" si="37"/>
        <v/>
      </c>
      <c r="D385" t="str" vm="2257">
        <f t="shared" si="37"/>
        <v/>
      </c>
      <c r="E385" t="str" vm="655">
        <f t="shared" si="37"/>
        <v/>
      </c>
      <c r="F385" t="str" vm="3160">
        <f t="shared" si="37"/>
        <v/>
      </c>
      <c r="G385" t="str" vm="656">
        <f t="shared" si="37"/>
        <v/>
      </c>
      <c r="H385" t="str" vm="3161">
        <f t="shared" si="37"/>
        <v/>
      </c>
      <c r="I385" vm="657">
        <f t="shared" si="37"/>
        <v>27</v>
      </c>
      <c r="J385" vm="4888">
        <f t="shared" si="37"/>
        <v>1216</v>
      </c>
      <c r="K385" vm="4478">
        <f t="shared" si="37"/>
        <v>27</v>
      </c>
      <c r="L385" vm="4264">
        <f t="shared" si="37"/>
        <v>1216</v>
      </c>
    </row>
    <row r="386" spans="2:12" x14ac:dyDescent="0.3">
      <c r="B386" s="16" t="str" vm="187">
        <f>CUBEMEMBER("ThisWorkbookDataModel","[Table1].[goal].&amp;[9.6E2]")</f>
        <v>960</v>
      </c>
      <c r="C386" t="str" vm="650">
        <f t="shared" ref="C386:L395" si="38">CUBEVALUE("ThisWorkbookDataModel",$B386,C$5)</f>
        <v/>
      </c>
      <c r="D386" t="str" vm="2323">
        <f t="shared" si="38"/>
        <v/>
      </c>
      <c r="E386" t="str" vm="651">
        <f t="shared" si="38"/>
        <v/>
      </c>
      <c r="F386" t="str" vm="3650">
        <f t="shared" si="38"/>
        <v/>
      </c>
      <c r="G386" t="str" vm="652">
        <f t="shared" si="38"/>
        <v/>
      </c>
      <c r="H386" t="str" vm="3651">
        <f t="shared" si="38"/>
        <v/>
      </c>
      <c r="I386" vm="653">
        <f t="shared" si="38"/>
        <v>27</v>
      </c>
      <c r="J386" vm="3652">
        <f t="shared" si="38"/>
        <v>1142</v>
      </c>
      <c r="K386" vm="4465">
        <f t="shared" si="38"/>
        <v>27</v>
      </c>
      <c r="L386" vm="4247">
        <f t="shared" si="38"/>
        <v>1142</v>
      </c>
    </row>
    <row r="387" spans="2:12" x14ac:dyDescent="0.3">
      <c r="B387" s="16" t="str" vm="225">
        <f>CUBEMEMBER("ThisWorkbookDataModel","[Table1].[goal].&amp;[9.3E2]")</f>
        <v>930</v>
      </c>
      <c r="C387" t="str" vm="646">
        <f t="shared" si="38"/>
        <v/>
      </c>
      <c r="D387" t="str" vm="3857">
        <f t="shared" si="38"/>
        <v/>
      </c>
      <c r="E387" t="str" vm="647">
        <f t="shared" si="38"/>
        <v/>
      </c>
      <c r="F387" t="str" vm="3853">
        <f t="shared" si="38"/>
        <v/>
      </c>
      <c r="G387" t="str" vm="648">
        <f t="shared" si="38"/>
        <v/>
      </c>
      <c r="H387" t="str" vm="3854">
        <f t="shared" si="38"/>
        <v/>
      </c>
      <c r="I387" vm="649">
        <f t="shared" si="38"/>
        <v>25</v>
      </c>
      <c r="J387" vm="3855">
        <f t="shared" si="38"/>
        <v>986</v>
      </c>
      <c r="K387" vm="3856">
        <f t="shared" si="38"/>
        <v>25</v>
      </c>
      <c r="L387" vm="3858">
        <f t="shared" si="38"/>
        <v>986</v>
      </c>
    </row>
    <row r="388" spans="2:12" x14ac:dyDescent="0.3">
      <c r="B388" s="16" t="str" vm="359">
        <f>CUBEMEMBER("ThisWorkbookDataModel","[Table1].[goal].&amp;[9.11E2]")</f>
        <v>911</v>
      </c>
      <c r="C388" vm="1598">
        <f t="shared" si="38"/>
        <v>1</v>
      </c>
      <c r="D388" vm="3366">
        <f t="shared" si="38"/>
        <v>5</v>
      </c>
      <c r="E388" t="str" vm="1599">
        <f t="shared" si="38"/>
        <v/>
      </c>
      <c r="F388" t="str" vm="3371">
        <f t="shared" si="38"/>
        <v/>
      </c>
      <c r="G388" t="str" vm="1600">
        <f t="shared" si="38"/>
        <v/>
      </c>
      <c r="H388" t="str" vm="3367">
        <f t="shared" si="38"/>
        <v/>
      </c>
      <c r="I388" t="str" vm="1601">
        <f t="shared" si="38"/>
        <v/>
      </c>
      <c r="J388" t="str" vm="3370">
        <f t="shared" si="38"/>
        <v/>
      </c>
      <c r="K388" vm="3368">
        <f t="shared" si="38"/>
        <v>1</v>
      </c>
      <c r="L388" vm="3369">
        <f t="shared" si="38"/>
        <v>5</v>
      </c>
    </row>
    <row r="389" spans="2:12" x14ac:dyDescent="0.3">
      <c r="B389" s="16" t="str" vm="261">
        <f>CUBEMEMBER("ThisWorkbookDataModel","[Table1].[goal].&amp;[9.E2]")</f>
        <v>900</v>
      </c>
      <c r="C389" t="str" vm="642">
        <f t="shared" si="38"/>
        <v/>
      </c>
      <c r="D389" t="str" vm="4040">
        <f t="shared" si="38"/>
        <v/>
      </c>
      <c r="E389" vm="643">
        <f t="shared" si="38"/>
        <v>5</v>
      </c>
      <c r="F389" vm="4042">
        <f t="shared" si="38"/>
        <v>345</v>
      </c>
      <c r="G389" t="str" vm="644">
        <f t="shared" si="38"/>
        <v/>
      </c>
      <c r="H389" t="str" vm="4037">
        <f t="shared" si="38"/>
        <v/>
      </c>
      <c r="I389" vm="645">
        <f t="shared" si="38"/>
        <v>246</v>
      </c>
      <c r="J389" vm="4038">
        <f t="shared" si="38"/>
        <v>10984</v>
      </c>
      <c r="K389" vm="4039">
        <f t="shared" si="38"/>
        <v>251</v>
      </c>
      <c r="L389" vm="4041">
        <f t="shared" si="38"/>
        <v>11329</v>
      </c>
    </row>
    <row r="390" spans="2:12" x14ac:dyDescent="0.3">
      <c r="B390" s="16" t="str" vm="233">
        <f>CUBEMEMBER("ThisWorkbookDataModel","[Table1].[goal].&amp;[8.5E2]")</f>
        <v>850</v>
      </c>
      <c r="C390" t="str" vm="638">
        <f t="shared" si="38"/>
        <v/>
      </c>
      <c r="D390" t="str" vm="4225">
        <f t="shared" si="38"/>
        <v/>
      </c>
      <c r="E390" vm="639">
        <f t="shared" si="38"/>
        <v>9</v>
      </c>
      <c r="F390" vm="4227">
        <f t="shared" si="38"/>
        <v>301</v>
      </c>
      <c r="G390" t="str" vm="640">
        <f t="shared" si="38"/>
        <v/>
      </c>
      <c r="H390" t="str" vm="4228">
        <f t="shared" si="38"/>
        <v/>
      </c>
      <c r="I390" vm="641">
        <f t="shared" si="38"/>
        <v>139</v>
      </c>
      <c r="J390" vm="4223">
        <f t="shared" si="38"/>
        <v>7084</v>
      </c>
      <c r="K390" vm="4224">
        <f t="shared" si="38"/>
        <v>148</v>
      </c>
      <c r="L390" vm="4226">
        <f t="shared" si="38"/>
        <v>7385</v>
      </c>
    </row>
    <row r="391" spans="2:12" x14ac:dyDescent="0.3">
      <c r="B391" s="16" t="str" vm="30">
        <f>CUBEMEMBER("ThisWorkbookDataModel","[Table1].[goal].&amp;[8.39E2]")</f>
        <v>839</v>
      </c>
      <c r="C391" t="str" vm="634">
        <f t="shared" si="38"/>
        <v/>
      </c>
      <c r="D391" t="str" vm="2280">
        <f t="shared" si="38"/>
        <v/>
      </c>
      <c r="E391" t="str" vm="635">
        <f t="shared" si="38"/>
        <v/>
      </c>
      <c r="F391" t="str" vm="2258">
        <f t="shared" si="38"/>
        <v/>
      </c>
      <c r="G391" t="str" vm="636">
        <f t="shared" si="38"/>
        <v/>
      </c>
      <c r="H391" t="str" vm="3684">
        <f t="shared" si="38"/>
        <v/>
      </c>
      <c r="I391" vm="637">
        <f t="shared" si="38"/>
        <v>21</v>
      </c>
      <c r="J391" vm="4918">
        <f t="shared" si="38"/>
        <v>926</v>
      </c>
      <c r="K391" vm="2340">
        <f t="shared" si="38"/>
        <v>21</v>
      </c>
      <c r="L391" vm="2324">
        <f t="shared" si="38"/>
        <v>926</v>
      </c>
    </row>
    <row r="392" spans="2:12" x14ac:dyDescent="0.3">
      <c r="B392" s="16" t="str" vm="69">
        <f>CUBEMEMBER("ThisWorkbookDataModel","[Table1].[goal].&amp;[8.E2]")</f>
        <v>800</v>
      </c>
      <c r="C392" t="str" vm="630">
        <f t="shared" si="38"/>
        <v/>
      </c>
      <c r="D392" t="str" vm="4444">
        <f t="shared" si="38"/>
        <v/>
      </c>
      <c r="E392" vm="631">
        <f t="shared" si="38"/>
        <v>16</v>
      </c>
      <c r="F392" vm="4440">
        <f t="shared" si="38"/>
        <v>414</v>
      </c>
      <c r="G392" t="str" vm="632">
        <f t="shared" si="38"/>
        <v/>
      </c>
      <c r="H392" t="str" vm="4441">
        <f t="shared" si="38"/>
        <v/>
      </c>
      <c r="I392" vm="633">
        <f t="shared" si="38"/>
        <v>529</v>
      </c>
      <c r="J392" vm="4442">
        <f t="shared" si="38"/>
        <v>21748.31</v>
      </c>
      <c r="K392" vm="4443">
        <f t="shared" si="38"/>
        <v>545</v>
      </c>
      <c r="L392" vm="4445">
        <f t="shared" si="38"/>
        <v>22162.31</v>
      </c>
    </row>
    <row r="393" spans="2:12" x14ac:dyDescent="0.3">
      <c r="B393" s="16" t="str" vm="442">
        <f>CUBEMEMBER("ThisWorkbookDataModel","[Table1].[goal].&amp;[7.8E2]")</f>
        <v>780</v>
      </c>
      <c r="C393" vm="1594">
        <f t="shared" si="38"/>
        <v>1</v>
      </c>
      <c r="D393" vm="2471">
        <f t="shared" si="38"/>
        <v>5</v>
      </c>
      <c r="E393" t="str" vm="1595">
        <f t="shared" si="38"/>
        <v/>
      </c>
      <c r="F393" t="str" vm="2468">
        <f t="shared" si="38"/>
        <v/>
      </c>
      <c r="G393" t="str" vm="1596">
        <f t="shared" si="38"/>
        <v/>
      </c>
      <c r="H393" t="str" vm="2473">
        <f t="shared" si="38"/>
        <v/>
      </c>
      <c r="I393" t="str" vm="1597">
        <f t="shared" si="38"/>
        <v/>
      </c>
      <c r="J393" t="str" vm="2469">
        <f t="shared" si="38"/>
        <v/>
      </c>
      <c r="K393" vm="2470">
        <f t="shared" si="38"/>
        <v>1</v>
      </c>
      <c r="L393" vm="2472">
        <f t="shared" si="38"/>
        <v>5</v>
      </c>
    </row>
    <row r="394" spans="2:12" x14ac:dyDescent="0.3">
      <c r="B394" s="16" t="str" vm="382">
        <f>CUBEMEMBER("ThisWorkbookDataModel","[Table1].[goal].&amp;[7.77E2]")</f>
        <v>777</v>
      </c>
      <c r="C394" t="str" vm="1590">
        <f t="shared" si="38"/>
        <v/>
      </c>
      <c r="D394" t="str" vm="3549">
        <f t="shared" si="38"/>
        <v/>
      </c>
      <c r="E394" t="str" vm="1591">
        <f t="shared" si="38"/>
        <v/>
      </c>
      <c r="F394" t="str" vm="3553">
        <f t="shared" si="38"/>
        <v/>
      </c>
      <c r="G394" vm="1592">
        <f t="shared" si="38"/>
        <v>7</v>
      </c>
      <c r="H394" vm="3551">
        <f t="shared" si="38"/>
        <v>162</v>
      </c>
      <c r="I394" t="str" vm="1593">
        <f t="shared" si="38"/>
        <v/>
      </c>
      <c r="J394" t="str" vm="3554">
        <f t="shared" si="38"/>
        <v/>
      </c>
      <c r="K394" vm="3552">
        <f t="shared" si="38"/>
        <v>7</v>
      </c>
      <c r="L394" vm="3550">
        <f t="shared" si="38"/>
        <v>162</v>
      </c>
    </row>
    <row r="395" spans="2:12" x14ac:dyDescent="0.3">
      <c r="B395" s="16" t="str" vm="108">
        <f>CUBEMEMBER("ThisWorkbookDataModel","[Table1].[goal].&amp;[7.73E2]")</f>
        <v>773</v>
      </c>
      <c r="C395" t="str" vm="626">
        <f t="shared" si="38"/>
        <v/>
      </c>
      <c r="D395" t="str" vm="2868">
        <f t="shared" si="38"/>
        <v/>
      </c>
      <c r="E395" t="str" vm="627">
        <f t="shared" si="38"/>
        <v/>
      </c>
      <c r="F395" t="str" vm="2870">
        <f t="shared" si="38"/>
        <v/>
      </c>
      <c r="G395" t="str" vm="628">
        <f t="shared" si="38"/>
        <v/>
      </c>
      <c r="H395" t="str" vm="2304">
        <f t="shared" si="38"/>
        <v/>
      </c>
      <c r="I395" vm="629">
        <f t="shared" si="38"/>
        <v>20</v>
      </c>
      <c r="J395" vm="4902">
        <f t="shared" si="38"/>
        <v>773</v>
      </c>
      <c r="K395" vm="4486">
        <f t="shared" si="38"/>
        <v>20</v>
      </c>
      <c r="L395" vm="2869">
        <f t="shared" si="38"/>
        <v>773</v>
      </c>
    </row>
    <row r="396" spans="2:12" x14ac:dyDescent="0.3">
      <c r="B396" s="16" t="str" vm="148">
        <f>CUBEMEMBER("ThisWorkbookDataModel","[Table1].[goal].&amp;[7.5E2]")</f>
        <v>750</v>
      </c>
      <c r="C396" t="str" vm="622">
        <f t="shared" ref="C396:L405" si="39">CUBEVALUE("ThisWorkbookDataModel",$B396,C$5)</f>
        <v/>
      </c>
      <c r="D396" t="str" vm="2259">
        <f t="shared" si="39"/>
        <v/>
      </c>
      <c r="E396" vm="623">
        <f t="shared" si="39"/>
        <v>57</v>
      </c>
      <c r="F396" vm="3162">
        <f t="shared" si="39"/>
        <v>1720</v>
      </c>
      <c r="G396" t="str" vm="624">
        <f t="shared" si="39"/>
        <v/>
      </c>
      <c r="H396" t="str" vm="3163">
        <f t="shared" si="39"/>
        <v/>
      </c>
      <c r="I396" vm="625">
        <f t="shared" si="39"/>
        <v>927</v>
      </c>
      <c r="J396" vm="4877">
        <f t="shared" si="39"/>
        <v>33723.01</v>
      </c>
      <c r="K396" vm="4477">
        <f t="shared" si="39"/>
        <v>984</v>
      </c>
      <c r="L396" vm="4263">
        <f t="shared" si="39"/>
        <v>35443.01</v>
      </c>
    </row>
    <row r="397" spans="2:12" x14ac:dyDescent="0.3">
      <c r="B397" s="16" t="str" vm="188">
        <f>CUBEMEMBER("ThisWorkbookDataModel","[Table1].[goal].&amp;[7.45E2]")</f>
        <v>745</v>
      </c>
      <c r="C397" t="str" vm="618">
        <f t="shared" si="39"/>
        <v/>
      </c>
      <c r="D397" t="str" vm="4658">
        <f t="shared" si="39"/>
        <v/>
      </c>
      <c r="E397" t="str" vm="619">
        <f t="shared" si="39"/>
        <v/>
      </c>
      <c r="F397" t="str" vm="4661">
        <f t="shared" si="39"/>
        <v/>
      </c>
      <c r="G397" t="str" vm="620">
        <f t="shared" si="39"/>
        <v/>
      </c>
      <c r="H397" t="str" vm="4662">
        <f t="shared" si="39"/>
        <v/>
      </c>
      <c r="I397" vm="621">
        <f t="shared" si="39"/>
        <v>34</v>
      </c>
      <c r="J397" vm="4663">
        <f t="shared" si="39"/>
        <v>786</v>
      </c>
      <c r="K397" vm="4659">
        <f t="shared" si="39"/>
        <v>34</v>
      </c>
      <c r="L397" vm="4660">
        <f t="shared" si="39"/>
        <v>786</v>
      </c>
    </row>
    <row r="398" spans="2:12" x14ac:dyDescent="0.3">
      <c r="B398" s="16" t="str" vm="226">
        <f>CUBEMEMBER("ThisWorkbookDataModel","[Table1].[goal].&amp;[7.4E2]")</f>
        <v>740</v>
      </c>
      <c r="C398" t="str" vm="614">
        <f t="shared" si="39"/>
        <v/>
      </c>
      <c r="D398" t="str" vm="4860">
        <f t="shared" si="39"/>
        <v/>
      </c>
      <c r="E398" t="str" vm="615">
        <f t="shared" si="39"/>
        <v/>
      </c>
      <c r="F398" t="str" vm="4856">
        <f t="shared" si="39"/>
        <v/>
      </c>
      <c r="G398" t="str" vm="616">
        <f t="shared" si="39"/>
        <v/>
      </c>
      <c r="H398" t="str" vm="4858">
        <f t="shared" si="39"/>
        <v/>
      </c>
      <c r="I398" vm="617">
        <f t="shared" si="39"/>
        <v>51</v>
      </c>
      <c r="J398" vm="4859">
        <f t="shared" si="39"/>
        <v>880</v>
      </c>
      <c r="K398" vm="4857">
        <f t="shared" si="39"/>
        <v>51</v>
      </c>
      <c r="L398" vm="4861">
        <f t="shared" si="39"/>
        <v>880</v>
      </c>
    </row>
    <row r="399" spans="2:12" x14ac:dyDescent="0.3">
      <c r="B399" s="16" t="str" vm="262">
        <f>CUBEMEMBER("ThisWorkbookDataModel","[Table1].[goal].&amp;[7.E2]")</f>
        <v>700</v>
      </c>
      <c r="C399" t="str" vm="610">
        <f t="shared" si="39"/>
        <v/>
      </c>
      <c r="D399" t="str" vm="3477">
        <f t="shared" si="39"/>
        <v/>
      </c>
      <c r="E399" vm="611">
        <f t="shared" si="39"/>
        <v>9</v>
      </c>
      <c r="F399" vm="3479">
        <f t="shared" si="39"/>
        <v>305</v>
      </c>
      <c r="G399" vm="612">
        <f t="shared" si="39"/>
        <v>0</v>
      </c>
      <c r="H399" vm="2286">
        <f t="shared" si="39"/>
        <v>0</v>
      </c>
      <c r="I399" vm="613">
        <f t="shared" si="39"/>
        <v>344</v>
      </c>
      <c r="J399" vm="3475">
        <f t="shared" si="39"/>
        <v>14438.01</v>
      </c>
      <c r="K399" vm="3476">
        <f t="shared" si="39"/>
        <v>353</v>
      </c>
      <c r="L399" vm="3478">
        <f t="shared" si="39"/>
        <v>14743.01</v>
      </c>
    </row>
    <row r="400" spans="2:12" x14ac:dyDescent="0.3">
      <c r="B400" s="16" t="str" vm="414">
        <f>CUBEMEMBER("ThisWorkbookDataModel","[Table1].[goal].&amp;[6.78E2]")</f>
        <v>678</v>
      </c>
      <c r="C400" t="str" vm="1586">
        <f t="shared" si="39"/>
        <v/>
      </c>
      <c r="D400" t="str" vm="2721">
        <f t="shared" si="39"/>
        <v/>
      </c>
      <c r="E400" vm="1587">
        <f t="shared" si="39"/>
        <v>0</v>
      </c>
      <c r="F400" vm="2718">
        <f t="shared" si="39"/>
        <v>0</v>
      </c>
      <c r="G400" t="str" vm="1588">
        <f t="shared" si="39"/>
        <v/>
      </c>
      <c r="H400" t="str" vm="2719">
        <f t="shared" si="39"/>
        <v/>
      </c>
      <c r="I400" t="str" vm="1589">
        <f t="shared" si="39"/>
        <v/>
      </c>
      <c r="J400" t="str" vm="2717">
        <f t="shared" si="39"/>
        <v/>
      </c>
      <c r="K400" vm="2720">
        <f t="shared" si="39"/>
        <v>0</v>
      </c>
      <c r="L400" vm="2722">
        <f t="shared" si="39"/>
        <v>0</v>
      </c>
    </row>
    <row r="401" spans="2:12" x14ac:dyDescent="0.3">
      <c r="B401" s="16" t="str" vm="271">
        <f>CUBEMEMBER("ThisWorkbookDataModel","[Table1].[goal].&amp;[6.75E2]")</f>
        <v>675</v>
      </c>
      <c r="C401" t="str" vm="606">
        <f t="shared" si="39"/>
        <v/>
      </c>
      <c r="D401" t="str" vm="3654">
        <f t="shared" si="39"/>
        <v/>
      </c>
      <c r="E401" t="str" vm="607">
        <f t="shared" si="39"/>
        <v/>
      </c>
      <c r="F401" t="str" vm="3656">
        <f t="shared" si="39"/>
        <v/>
      </c>
      <c r="G401" t="str" vm="608">
        <f t="shared" si="39"/>
        <v/>
      </c>
      <c r="H401" t="str" vm="3657">
        <f t="shared" si="39"/>
        <v/>
      </c>
      <c r="I401" vm="609">
        <f t="shared" si="39"/>
        <v>28</v>
      </c>
      <c r="J401" vm="4880">
        <f t="shared" si="39"/>
        <v>1218</v>
      </c>
      <c r="K401" vm="3653">
        <f t="shared" si="39"/>
        <v>28</v>
      </c>
      <c r="L401" vm="3655">
        <f t="shared" si="39"/>
        <v>1218</v>
      </c>
    </row>
    <row r="402" spans="2:12" x14ac:dyDescent="0.3">
      <c r="B402" s="16" t="str" vm="293">
        <f>CUBEMEMBER("ThisWorkbookDataModel","[Table1].[goal].&amp;[6.66E2]")</f>
        <v>666</v>
      </c>
      <c r="C402" t="str" vm="1582">
        <f t="shared" si="39"/>
        <v/>
      </c>
      <c r="D402" t="str" vm="3012">
        <f t="shared" si="39"/>
        <v/>
      </c>
      <c r="E402" vm="1583">
        <f t="shared" si="39"/>
        <v>2</v>
      </c>
      <c r="F402" vm="3014">
        <f t="shared" si="39"/>
        <v>60</v>
      </c>
      <c r="G402" t="str" vm="1584">
        <f t="shared" si="39"/>
        <v/>
      </c>
      <c r="H402" t="str" vm="3010">
        <f t="shared" si="39"/>
        <v/>
      </c>
      <c r="I402" t="str" vm="1585">
        <f t="shared" si="39"/>
        <v/>
      </c>
      <c r="J402" t="str" vm="3013">
        <f t="shared" si="39"/>
        <v/>
      </c>
      <c r="K402" vm="3009">
        <f t="shared" si="39"/>
        <v>2</v>
      </c>
      <c r="L402" vm="3011">
        <f t="shared" si="39"/>
        <v>60</v>
      </c>
    </row>
    <row r="403" spans="2:12" x14ac:dyDescent="0.3">
      <c r="B403" s="16" t="str" vm="31">
        <f>CUBEMEMBER("ThisWorkbookDataModel","[Table1].[goal].&amp;[6.6E2]")</f>
        <v>660</v>
      </c>
      <c r="C403" t="str" vm="602">
        <f t="shared" si="39"/>
        <v/>
      </c>
      <c r="D403" t="str" vm="2291">
        <f t="shared" si="39"/>
        <v/>
      </c>
      <c r="E403" t="str" vm="603">
        <f t="shared" si="39"/>
        <v/>
      </c>
      <c r="F403" t="str" vm="2260">
        <f t="shared" si="39"/>
        <v/>
      </c>
      <c r="G403" t="str" vm="604">
        <f t="shared" si="39"/>
        <v/>
      </c>
      <c r="H403" t="str" vm="3683">
        <f t="shared" si="39"/>
        <v/>
      </c>
      <c r="I403" vm="605">
        <f t="shared" si="39"/>
        <v>19</v>
      </c>
      <c r="J403" vm="4917">
        <f t="shared" si="39"/>
        <v>764</v>
      </c>
      <c r="K403" vm="4471">
        <f t="shared" si="39"/>
        <v>19</v>
      </c>
      <c r="L403" vm="4253">
        <f t="shared" si="39"/>
        <v>764</v>
      </c>
    </row>
    <row r="404" spans="2:12" x14ac:dyDescent="0.3">
      <c r="B404" s="16" t="str" vm="70">
        <f>CUBEMEMBER("ThisWorkbookDataModel","[Table1].[goal].&amp;[6.5E2]")</f>
        <v>650</v>
      </c>
      <c r="C404" vm="598">
        <f t="shared" si="39"/>
        <v>1</v>
      </c>
      <c r="D404" vm="3861">
        <f t="shared" si="39"/>
        <v>10</v>
      </c>
      <c r="E404" vm="599">
        <f t="shared" si="39"/>
        <v>7</v>
      </c>
      <c r="F404" vm="2325">
        <f t="shared" si="39"/>
        <v>380</v>
      </c>
      <c r="G404" t="str" vm="600">
        <f t="shared" si="39"/>
        <v/>
      </c>
      <c r="H404" t="str" vm="3859">
        <f t="shared" si="39"/>
        <v/>
      </c>
      <c r="I404" vm="601">
        <f t="shared" si="39"/>
        <v>175</v>
      </c>
      <c r="J404" vm="3860">
        <f t="shared" si="39"/>
        <v>6261.5</v>
      </c>
      <c r="K404" vm="4464">
        <f t="shared" si="39"/>
        <v>183</v>
      </c>
      <c r="L404" vm="3862">
        <f t="shared" si="39"/>
        <v>6651.5</v>
      </c>
    </row>
    <row r="405" spans="2:12" x14ac:dyDescent="0.3">
      <c r="B405" s="16" t="str" vm="109">
        <f>CUBEMEMBER("ThisWorkbookDataModel","[Table1].[goal].&amp;[6.2E2]")</f>
        <v>620</v>
      </c>
      <c r="C405" vm="594">
        <f t="shared" si="39"/>
        <v>0</v>
      </c>
      <c r="D405" vm="2871">
        <f t="shared" si="39"/>
        <v>0</v>
      </c>
      <c r="E405" t="str" vm="595">
        <f t="shared" si="39"/>
        <v/>
      </c>
      <c r="F405" t="str" vm="2873">
        <f t="shared" si="39"/>
        <v/>
      </c>
      <c r="G405" t="str" vm="596">
        <f t="shared" si="39"/>
        <v/>
      </c>
      <c r="H405" t="str" vm="3668">
        <f t="shared" si="39"/>
        <v/>
      </c>
      <c r="I405" vm="597">
        <f t="shared" si="39"/>
        <v>14</v>
      </c>
      <c r="J405" vm="4901">
        <f t="shared" si="39"/>
        <v>714</v>
      </c>
      <c r="K405" vm="4485">
        <f t="shared" si="39"/>
        <v>14</v>
      </c>
      <c r="L405" vm="2872">
        <f t="shared" si="39"/>
        <v>714</v>
      </c>
    </row>
    <row r="406" spans="2:12" x14ac:dyDescent="0.3">
      <c r="B406" s="16" t="str" vm="149">
        <f>CUBEMEMBER("ThisWorkbookDataModel","[Table1].[goal].&amp;[6.E2]")</f>
        <v>600</v>
      </c>
      <c r="C406" vm="590">
        <f t="shared" ref="C406:L415" si="40">CUBEVALUE("ThisWorkbookDataModel",$B406,C$5)</f>
        <v>0</v>
      </c>
      <c r="D406" vm="2261">
        <f t="shared" si="40"/>
        <v>0</v>
      </c>
      <c r="E406" vm="591">
        <f t="shared" si="40"/>
        <v>25</v>
      </c>
      <c r="F406" vm="3164">
        <f t="shared" si="40"/>
        <v>731</v>
      </c>
      <c r="G406" t="str" vm="592">
        <f t="shared" si="40"/>
        <v/>
      </c>
      <c r="H406" t="str" vm="3165">
        <f t="shared" si="40"/>
        <v/>
      </c>
      <c r="I406" vm="593">
        <f t="shared" si="40"/>
        <v>620</v>
      </c>
      <c r="J406" vm="4882">
        <f t="shared" si="40"/>
        <v>22403.48</v>
      </c>
      <c r="K406" vm="4476">
        <f t="shared" si="40"/>
        <v>645</v>
      </c>
      <c r="L406" vm="4262">
        <f t="shared" si="40"/>
        <v>23134.48</v>
      </c>
    </row>
    <row r="407" spans="2:12" x14ac:dyDescent="0.3">
      <c r="B407" s="16" t="str" vm="453">
        <f>CUBEMEMBER("ThisWorkbookDataModel","[Table1].[goal].&amp;[5.75E2]")</f>
        <v>575</v>
      </c>
      <c r="C407" t="str" vm="1578">
        <f t="shared" si="40"/>
        <v/>
      </c>
      <c r="D407" t="str" vm="3751">
        <f t="shared" si="40"/>
        <v/>
      </c>
      <c r="E407" vm="1579">
        <f t="shared" si="40"/>
        <v>0</v>
      </c>
      <c r="F407" vm="3748">
        <f t="shared" si="40"/>
        <v>0</v>
      </c>
      <c r="G407" t="str" vm="1580">
        <f t="shared" si="40"/>
        <v/>
      </c>
      <c r="H407" t="str" vm="3753">
        <f t="shared" si="40"/>
        <v/>
      </c>
      <c r="I407" t="str" vm="1581">
        <f t="shared" si="40"/>
        <v/>
      </c>
      <c r="J407" t="str" vm="3749">
        <f t="shared" si="40"/>
        <v/>
      </c>
      <c r="K407" vm="3750">
        <f t="shared" si="40"/>
        <v>0</v>
      </c>
      <c r="L407" vm="3752">
        <f t="shared" si="40"/>
        <v>0</v>
      </c>
    </row>
    <row r="408" spans="2:12" x14ac:dyDescent="0.3">
      <c r="B408" s="16" t="str" vm="189">
        <f>CUBEMEMBER("ThisWorkbookDataModel","[Table1].[goal].&amp;[5.5E2]")</f>
        <v>550</v>
      </c>
      <c r="C408" t="str" vm="586">
        <f t="shared" si="40"/>
        <v/>
      </c>
      <c r="D408" t="str" vm="4043">
        <f t="shared" si="40"/>
        <v/>
      </c>
      <c r="E408" vm="587">
        <f t="shared" si="40"/>
        <v>6</v>
      </c>
      <c r="F408" vm="4045">
        <f t="shared" si="40"/>
        <v>153</v>
      </c>
      <c r="G408" t="str" vm="588">
        <f t="shared" si="40"/>
        <v/>
      </c>
      <c r="H408" t="str" vm="4046">
        <f t="shared" si="40"/>
        <v/>
      </c>
      <c r="I408" vm="589">
        <f t="shared" si="40"/>
        <v>144</v>
      </c>
      <c r="J408" vm="4047">
        <f t="shared" si="40"/>
        <v>4342</v>
      </c>
      <c r="K408" vm="4044">
        <f t="shared" si="40"/>
        <v>150</v>
      </c>
      <c r="L408" vm="2341">
        <f t="shared" si="40"/>
        <v>4495</v>
      </c>
    </row>
    <row r="409" spans="2:12" x14ac:dyDescent="0.3">
      <c r="B409" s="16" t="str" vm="315">
        <f>CUBEMEMBER("ThisWorkbookDataModel","[Table1].[goal].&amp;[5.3E2]")</f>
        <v>530</v>
      </c>
      <c r="C409" t="str" vm="1574">
        <f t="shared" si="40"/>
        <v/>
      </c>
      <c r="D409" t="str" vm="3294">
        <f t="shared" si="40"/>
        <v/>
      </c>
      <c r="E409" vm="1575">
        <f t="shared" si="40"/>
        <v>1</v>
      </c>
      <c r="F409" vm="3295">
        <f t="shared" si="40"/>
        <v>1</v>
      </c>
      <c r="G409" t="str" vm="1576">
        <f t="shared" si="40"/>
        <v/>
      </c>
      <c r="H409" t="str" vm="3296">
        <f t="shared" si="40"/>
        <v/>
      </c>
      <c r="I409" t="str" vm="1577">
        <f t="shared" si="40"/>
        <v/>
      </c>
      <c r="J409" t="str" vm="3299">
        <f t="shared" si="40"/>
        <v/>
      </c>
      <c r="K409" vm="3297">
        <f t="shared" si="40"/>
        <v>1</v>
      </c>
      <c r="L409" vm="3298">
        <f t="shared" si="40"/>
        <v>1</v>
      </c>
    </row>
    <row r="410" spans="2:12" x14ac:dyDescent="0.3">
      <c r="B410" s="16" t="str" vm="337">
        <f>CUBEMEMBER("ThisWorkbookDataModel","[Table1].[goal].&amp;[5.25E2]")</f>
        <v>525</v>
      </c>
      <c r="C410" t="str" vm="1570">
        <f t="shared" si="40"/>
        <v/>
      </c>
      <c r="D410" t="str" vm="3937">
        <f t="shared" si="40"/>
        <v/>
      </c>
      <c r="E410" vm="1571">
        <f t="shared" si="40"/>
        <v>0</v>
      </c>
      <c r="F410" vm="3933">
        <f t="shared" si="40"/>
        <v>0</v>
      </c>
      <c r="G410" t="str" vm="1572">
        <f t="shared" si="40"/>
        <v/>
      </c>
      <c r="H410" t="str" vm="3934">
        <f t="shared" si="40"/>
        <v/>
      </c>
      <c r="I410" t="str" vm="1573">
        <f t="shared" si="40"/>
        <v/>
      </c>
      <c r="J410" t="str" vm="3935">
        <f t="shared" si="40"/>
        <v/>
      </c>
      <c r="K410" vm="3936">
        <f t="shared" si="40"/>
        <v>0</v>
      </c>
      <c r="L410" vm="3938">
        <f t="shared" si="40"/>
        <v>0</v>
      </c>
    </row>
    <row r="411" spans="2:12" x14ac:dyDescent="0.3">
      <c r="B411" s="16" t="str" vm="360">
        <f>CUBEMEMBER("ThisWorkbookDataModel","[Table1].[goal].&amp;[5.16E2]")</f>
        <v>516</v>
      </c>
      <c r="C411" t="str" vm="1566">
        <f t="shared" si="40"/>
        <v/>
      </c>
      <c r="D411" t="str" vm="4118">
        <f t="shared" si="40"/>
        <v/>
      </c>
      <c r="E411" vm="1567">
        <f t="shared" si="40"/>
        <v>0</v>
      </c>
      <c r="F411" vm="4123">
        <f t="shared" si="40"/>
        <v>0</v>
      </c>
      <c r="G411" t="str" vm="1568">
        <f t="shared" si="40"/>
        <v/>
      </c>
      <c r="H411" t="str" vm="4121">
        <f t="shared" si="40"/>
        <v/>
      </c>
      <c r="I411" t="str" vm="1569">
        <f t="shared" si="40"/>
        <v/>
      </c>
      <c r="J411" t="str" vm="4122">
        <f t="shared" si="40"/>
        <v/>
      </c>
      <c r="K411" vm="4119">
        <f t="shared" si="40"/>
        <v>0</v>
      </c>
      <c r="L411" vm="4120">
        <f t="shared" si="40"/>
        <v>0</v>
      </c>
    </row>
    <row r="412" spans="2:12" x14ac:dyDescent="0.3">
      <c r="B412" s="16" t="str" vm="391">
        <f>CUBEMEMBER("ThisWorkbookDataModel","[Table1].[goal].&amp;[5.15E2]")</f>
        <v>515</v>
      </c>
      <c r="C412" vm="1562">
        <f t="shared" si="40"/>
        <v>0</v>
      </c>
      <c r="D412" vm="2474">
        <f t="shared" si="40"/>
        <v>0</v>
      </c>
      <c r="E412" t="str" vm="1563">
        <f t="shared" si="40"/>
        <v/>
      </c>
      <c r="F412" t="str" vm="2477">
        <f t="shared" si="40"/>
        <v/>
      </c>
      <c r="G412" t="str" vm="1564">
        <f t="shared" si="40"/>
        <v/>
      </c>
      <c r="H412" t="str" vm="2479">
        <f t="shared" si="40"/>
        <v/>
      </c>
      <c r="I412" t="str" vm="1565">
        <f t="shared" si="40"/>
        <v/>
      </c>
      <c r="J412" t="str" vm="2478">
        <f t="shared" si="40"/>
        <v/>
      </c>
      <c r="K412" vm="2475">
        <f t="shared" si="40"/>
        <v>0</v>
      </c>
      <c r="L412" vm="2476">
        <f t="shared" si="40"/>
        <v>0</v>
      </c>
    </row>
    <row r="413" spans="2:12" x14ac:dyDescent="0.3">
      <c r="B413" s="16" t="str" vm="383">
        <f>CUBEMEMBER("ThisWorkbookDataModel","[Table1].[goal].&amp;[5.12E2]")</f>
        <v>512</v>
      </c>
      <c r="C413" t="str" vm="1558">
        <f t="shared" si="40"/>
        <v/>
      </c>
      <c r="D413" t="str" vm="4335">
        <f t="shared" si="40"/>
        <v/>
      </c>
      <c r="E413" vm="1559">
        <f t="shared" si="40"/>
        <v>8</v>
      </c>
      <c r="F413" vm="4336">
        <f t="shared" si="40"/>
        <v>138</v>
      </c>
      <c r="G413" t="str" vm="1560">
        <f t="shared" si="40"/>
        <v/>
      </c>
      <c r="H413" t="str" vm="4337">
        <f t="shared" si="40"/>
        <v/>
      </c>
      <c r="I413" t="str" vm="1561">
        <f t="shared" si="40"/>
        <v/>
      </c>
      <c r="J413" t="str" vm="4338">
        <f t="shared" si="40"/>
        <v/>
      </c>
      <c r="K413" vm="4334">
        <f t="shared" si="40"/>
        <v>8</v>
      </c>
      <c r="L413" vm="4333">
        <f t="shared" si="40"/>
        <v>138</v>
      </c>
    </row>
    <row r="414" spans="2:12" x14ac:dyDescent="0.3">
      <c r="B414" s="16" t="str" vm="227">
        <f>CUBEMEMBER("ThisWorkbookDataModel","[Table1].[goal].&amp;[5.E2]")</f>
        <v>500</v>
      </c>
      <c r="C414" vm="582">
        <f t="shared" si="40"/>
        <v>8</v>
      </c>
      <c r="D414" vm="4232">
        <f t="shared" si="40"/>
        <v>595</v>
      </c>
      <c r="E414" vm="583">
        <f t="shared" si="40"/>
        <v>115</v>
      </c>
      <c r="F414" vm="2313">
        <f t="shared" si="40"/>
        <v>2607</v>
      </c>
      <c r="G414" vm="584">
        <f t="shared" si="40"/>
        <v>46</v>
      </c>
      <c r="H414" vm="4230">
        <f t="shared" si="40"/>
        <v>1437</v>
      </c>
      <c r="I414" vm="585">
        <f t="shared" si="40"/>
        <v>1920</v>
      </c>
      <c r="J414" vm="4231">
        <f t="shared" si="40"/>
        <v>62220.78</v>
      </c>
      <c r="K414" vm="4229">
        <f t="shared" si="40"/>
        <v>2089</v>
      </c>
      <c r="L414" vm="4233">
        <f t="shared" si="40"/>
        <v>66859.78</v>
      </c>
    </row>
    <row r="415" spans="2:12" x14ac:dyDescent="0.3">
      <c r="B415" s="16" t="str" vm="263">
        <f>CUBEMEMBER("ThisWorkbookDataModel","[Table1].[goal].&amp;[4.95E2]")</f>
        <v>495</v>
      </c>
      <c r="C415" t="str" vm="578">
        <f t="shared" si="40"/>
        <v/>
      </c>
      <c r="D415" t="str" vm="4449">
        <f t="shared" si="40"/>
        <v/>
      </c>
      <c r="E415" t="str" vm="579">
        <f t="shared" si="40"/>
        <v/>
      </c>
      <c r="F415" t="str" vm="4451">
        <f t="shared" si="40"/>
        <v/>
      </c>
      <c r="G415" t="str" vm="580">
        <f t="shared" si="40"/>
        <v/>
      </c>
      <c r="H415" t="str" vm="4446">
        <f t="shared" si="40"/>
        <v/>
      </c>
      <c r="I415" vm="581">
        <f t="shared" si="40"/>
        <v>10</v>
      </c>
      <c r="J415" vm="4447">
        <f t="shared" si="40"/>
        <v>628</v>
      </c>
      <c r="K415" vm="4448">
        <f t="shared" si="40"/>
        <v>10</v>
      </c>
      <c r="L415" vm="4450">
        <f t="shared" si="40"/>
        <v>628</v>
      </c>
    </row>
    <row r="416" spans="2:12" x14ac:dyDescent="0.3">
      <c r="B416" s="16" t="str" vm="79">
        <f>CUBEMEMBER("ThisWorkbookDataModel","[Table1].[goal].&amp;[4.8E2]")</f>
        <v>480</v>
      </c>
      <c r="C416" t="str" vm="574">
        <f t="shared" ref="C416:L425" si="41">CUBEVALUE("ThisWorkbookDataModel",$B416,C$5)</f>
        <v/>
      </c>
      <c r="D416" t="str" vm="4666">
        <f t="shared" si="41"/>
        <v/>
      </c>
      <c r="E416" t="str" vm="575">
        <f t="shared" si="41"/>
        <v/>
      </c>
      <c r="F416" t="str" vm="4668">
        <f t="shared" si="41"/>
        <v/>
      </c>
      <c r="G416" t="str" vm="576">
        <f t="shared" si="41"/>
        <v/>
      </c>
      <c r="H416" t="str" vm="4669">
        <f t="shared" si="41"/>
        <v/>
      </c>
      <c r="I416" vm="577">
        <f t="shared" si="41"/>
        <v>50</v>
      </c>
      <c r="J416" vm="4664">
        <f t="shared" si="41"/>
        <v>1069</v>
      </c>
      <c r="K416" vm="4665">
        <f t="shared" si="41"/>
        <v>50</v>
      </c>
      <c r="L416" vm="4667">
        <f t="shared" si="41"/>
        <v>1069</v>
      </c>
    </row>
    <row r="417" spans="2:12" x14ac:dyDescent="0.3">
      <c r="B417" s="16" t="str" vm="32">
        <f>CUBEMEMBER("ThisWorkbookDataModel","[Table1].[goal].&amp;[4.51E2]")</f>
        <v>451</v>
      </c>
      <c r="C417" t="str" vm="570">
        <f t="shared" si="41"/>
        <v/>
      </c>
      <c r="D417" t="str" vm="2284">
        <f t="shared" si="41"/>
        <v/>
      </c>
      <c r="E417" t="str" vm="571">
        <f t="shared" si="41"/>
        <v/>
      </c>
      <c r="F417" t="str" vm="2262">
        <f t="shared" si="41"/>
        <v/>
      </c>
      <c r="G417" t="str" vm="572">
        <f t="shared" si="41"/>
        <v/>
      </c>
      <c r="H417" t="str" vm="3682">
        <f t="shared" si="41"/>
        <v/>
      </c>
      <c r="I417" vm="573">
        <f t="shared" si="41"/>
        <v>13</v>
      </c>
      <c r="J417" vm="4916">
        <f t="shared" si="41"/>
        <v>559</v>
      </c>
      <c r="K417" vm="2342">
        <f t="shared" si="41"/>
        <v>13</v>
      </c>
      <c r="L417" vm="2326">
        <f t="shared" si="41"/>
        <v>559</v>
      </c>
    </row>
    <row r="418" spans="2:12" x14ac:dyDescent="0.3">
      <c r="B418" s="16" t="str" vm="71">
        <f>CUBEMEMBER("ThisWorkbookDataModel","[Table1].[goal].&amp;[4.5E2]")</f>
        <v>450</v>
      </c>
      <c r="C418" t="str" vm="566">
        <f t="shared" si="41"/>
        <v/>
      </c>
      <c r="D418" t="str" vm="4866">
        <f t="shared" si="41"/>
        <v/>
      </c>
      <c r="E418" vm="567">
        <f t="shared" si="41"/>
        <v>9</v>
      </c>
      <c r="F418" vm="4862">
        <f t="shared" si="41"/>
        <v>195</v>
      </c>
      <c r="G418" t="str" vm="568">
        <f t="shared" si="41"/>
        <v/>
      </c>
      <c r="H418" t="str" vm="4864">
        <f t="shared" si="41"/>
        <v/>
      </c>
      <c r="I418" vm="569">
        <f t="shared" si="41"/>
        <v>33</v>
      </c>
      <c r="J418" vm="4865">
        <f t="shared" si="41"/>
        <v>1117</v>
      </c>
      <c r="K418" vm="4863">
        <f t="shared" si="41"/>
        <v>42</v>
      </c>
      <c r="L418" vm="4867">
        <f t="shared" si="41"/>
        <v>1312</v>
      </c>
    </row>
    <row r="419" spans="2:12" x14ac:dyDescent="0.3">
      <c r="B419" s="16" t="str" vm="110">
        <f>CUBEMEMBER("ThisWorkbookDataModel","[Table1].[goal].&amp;[4.2E2]")</f>
        <v>420</v>
      </c>
      <c r="C419" vm="562">
        <f t="shared" si="41"/>
        <v>2</v>
      </c>
      <c r="D419" vm="2874">
        <f t="shared" si="41"/>
        <v>120</v>
      </c>
      <c r="E419" t="str" vm="563">
        <f t="shared" si="41"/>
        <v/>
      </c>
      <c r="F419" t="str" vm="2876">
        <f t="shared" si="41"/>
        <v/>
      </c>
      <c r="G419" t="str" vm="564">
        <f t="shared" si="41"/>
        <v/>
      </c>
      <c r="H419" t="str" vm="2343">
        <f t="shared" si="41"/>
        <v/>
      </c>
      <c r="I419" vm="565">
        <f t="shared" si="41"/>
        <v>9</v>
      </c>
      <c r="J419" vm="4900">
        <f t="shared" si="41"/>
        <v>425</v>
      </c>
      <c r="K419" vm="4484">
        <f t="shared" si="41"/>
        <v>11</v>
      </c>
      <c r="L419" vm="2875">
        <f t="shared" si="41"/>
        <v>545</v>
      </c>
    </row>
    <row r="420" spans="2:12" x14ac:dyDescent="0.3">
      <c r="B420" s="16" t="str" vm="150">
        <f>CUBEMEMBER("ThisWorkbookDataModel","[Table1].[goal].&amp;[4.E2]")</f>
        <v>400</v>
      </c>
      <c r="C420" vm="558">
        <f t="shared" si="41"/>
        <v>0</v>
      </c>
      <c r="D420" vm="2263">
        <f t="shared" si="41"/>
        <v>0</v>
      </c>
      <c r="E420" vm="559">
        <f t="shared" si="41"/>
        <v>25</v>
      </c>
      <c r="F420" vm="3166">
        <f t="shared" si="41"/>
        <v>446</v>
      </c>
      <c r="G420" t="str" vm="560">
        <f t="shared" si="41"/>
        <v/>
      </c>
      <c r="H420" t="str" vm="3167">
        <f t="shared" si="41"/>
        <v/>
      </c>
      <c r="I420" vm="561">
        <f t="shared" si="41"/>
        <v>194</v>
      </c>
      <c r="J420" vm="4887">
        <f t="shared" si="41"/>
        <v>7633.44</v>
      </c>
      <c r="K420" vm="4475">
        <f t="shared" si="41"/>
        <v>219</v>
      </c>
      <c r="L420" vm="4261">
        <f t="shared" si="41"/>
        <v>8079.44</v>
      </c>
    </row>
    <row r="421" spans="2:12" x14ac:dyDescent="0.3">
      <c r="B421" s="16" t="str" vm="190">
        <f>CUBEMEMBER("ThisWorkbookDataModel","[Table1].[goal].&amp;[3.5E2]")</f>
        <v>350</v>
      </c>
      <c r="C421" t="str" vm="554">
        <f t="shared" si="41"/>
        <v/>
      </c>
      <c r="D421" t="str" vm="3480">
        <f t="shared" si="41"/>
        <v/>
      </c>
      <c r="E421" t="str" vm="555">
        <f t="shared" si="41"/>
        <v/>
      </c>
      <c r="F421" t="str" vm="3481">
        <f t="shared" si="41"/>
        <v/>
      </c>
      <c r="G421" vm="556">
        <f t="shared" si="41"/>
        <v>15</v>
      </c>
      <c r="H421" vm="3482">
        <f t="shared" si="41"/>
        <v>360</v>
      </c>
      <c r="I421" vm="557">
        <f t="shared" si="41"/>
        <v>220</v>
      </c>
      <c r="J421" vm="3483">
        <f t="shared" si="41"/>
        <v>5976.5</v>
      </c>
      <c r="K421" vm="2327">
        <f t="shared" si="41"/>
        <v>235</v>
      </c>
      <c r="L421" vm="2314">
        <f t="shared" si="41"/>
        <v>6336.5</v>
      </c>
    </row>
    <row r="422" spans="2:12" x14ac:dyDescent="0.3">
      <c r="B422" s="16" t="str" vm="228">
        <f>CUBEMEMBER("ThisWorkbookDataModel","[Table1].[goal].&amp;[3.47E2]")</f>
        <v>347</v>
      </c>
      <c r="C422" t="str" vm="550">
        <f t="shared" si="41"/>
        <v/>
      </c>
      <c r="D422" t="str" vm="3660">
        <f t="shared" si="41"/>
        <v/>
      </c>
      <c r="E422" t="str" vm="551">
        <f t="shared" si="41"/>
        <v/>
      </c>
      <c r="F422" t="str" vm="2292">
        <f t="shared" si="41"/>
        <v/>
      </c>
      <c r="G422" t="str" vm="552">
        <f t="shared" si="41"/>
        <v/>
      </c>
      <c r="H422" t="str" vm="3658">
        <f t="shared" si="41"/>
        <v/>
      </c>
      <c r="I422" vm="553">
        <f t="shared" si="41"/>
        <v>14</v>
      </c>
      <c r="J422" vm="3659">
        <f t="shared" si="41"/>
        <v>353</v>
      </c>
      <c r="K422" vm="4469">
        <f t="shared" si="41"/>
        <v>14</v>
      </c>
      <c r="L422" vm="3661">
        <f t="shared" si="41"/>
        <v>353</v>
      </c>
    </row>
    <row r="423" spans="2:12" x14ac:dyDescent="0.3">
      <c r="B423" s="16" t="str" vm="264">
        <f>CUBEMEMBER("ThisWorkbookDataModel","[Table1].[goal].&amp;[3.33E2]")</f>
        <v>333</v>
      </c>
      <c r="C423" t="str" vm="546">
        <f t="shared" si="41"/>
        <v/>
      </c>
      <c r="D423" t="str" vm="3865">
        <f t="shared" si="41"/>
        <v/>
      </c>
      <c r="E423" t="str" vm="547">
        <f t="shared" si="41"/>
        <v/>
      </c>
      <c r="F423" t="str" vm="3867">
        <f t="shared" si="41"/>
        <v/>
      </c>
      <c r="G423" t="str" vm="548">
        <f t="shared" si="41"/>
        <v/>
      </c>
      <c r="H423" t="str" vm="2328">
        <f t="shared" si="41"/>
        <v/>
      </c>
      <c r="I423" vm="549">
        <f t="shared" si="41"/>
        <v>14</v>
      </c>
      <c r="J423" vm="3863">
        <f t="shared" si="41"/>
        <v>430</v>
      </c>
      <c r="K423" vm="3864">
        <f t="shared" si="41"/>
        <v>14</v>
      </c>
      <c r="L423" vm="3866">
        <f t="shared" si="41"/>
        <v>430</v>
      </c>
    </row>
    <row r="424" spans="2:12" x14ac:dyDescent="0.3">
      <c r="B424" s="16" t="str" vm="119">
        <f>CUBEMEMBER("ThisWorkbookDataModel","[Table1].[goal].&amp;[3.15E2]")</f>
        <v>315</v>
      </c>
      <c r="C424" t="str" vm="542">
        <f t="shared" si="41"/>
        <v/>
      </c>
      <c r="D424" t="str" vm="4050">
        <f t="shared" si="41"/>
        <v/>
      </c>
      <c r="E424" t="str" vm="543">
        <f t="shared" si="41"/>
        <v/>
      </c>
      <c r="F424" t="str" vm="4052">
        <f t="shared" si="41"/>
        <v/>
      </c>
      <c r="G424" t="str" vm="544">
        <f t="shared" si="41"/>
        <v/>
      </c>
      <c r="H424" t="str" vm="4053">
        <f t="shared" si="41"/>
        <v/>
      </c>
      <c r="I424" vm="545">
        <f t="shared" si="41"/>
        <v>31</v>
      </c>
      <c r="J424" vm="4048">
        <f t="shared" si="41"/>
        <v>469</v>
      </c>
      <c r="K424" vm="4049">
        <f t="shared" si="41"/>
        <v>31</v>
      </c>
      <c r="L424" vm="4051">
        <f t="shared" si="41"/>
        <v>469</v>
      </c>
    </row>
    <row r="425" spans="2:12" x14ac:dyDescent="0.3">
      <c r="B425" s="16" t="str" vm="33">
        <f>CUBEMEMBER("ThisWorkbookDataModel","[Table1].[goal].&amp;[3.E2]")</f>
        <v>300</v>
      </c>
      <c r="C425" t="str" vm="538">
        <f t="shared" si="41"/>
        <v/>
      </c>
      <c r="D425" t="str" vm="2344">
        <f t="shared" si="41"/>
        <v/>
      </c>
      <c r="E425" vm="539">
        <f t="shared" si="41"/>
        <v>10</v>
      </c>
      <c r="F425" vm="2264">
        <f t="shared" si="41"/>
        <v>128.25</v>
      </c>
      <c r="G425" t="str" vm="540">
        <f t="shared" si="41"/>
        <v/>
      </c>
      <c r="H425" t="str" vm="3681">
        <f t="shared" si="41"/>
        <v/>
      </c>
      <c r="I425" vm="541">
        <f t="shared" si="41"/>
        <v>521</v>
      </c>
      <c r="J425" vm="4915">
        <f t="shared" si="41"/>
        <v>14304.08</v>
      </c>
      <c r="K425" vm="4463">
        <f t="shared" si="41"/>
        <v>531</v>
      </c>
      <c r="L425" vm="4246">
        <f t="shared" si="41"/>
        <v>14432.33</v>
      </c>
    </row>
    <row r="426" spans="2:12" x14ac:dyDescent="0.3">
      <c r="B426" s="16" t="str" vm="401">
        <f>CUBEMEMBER("ThisWorkbookDataModel","[Table1].[goal].&amp;[2.8E2]")</f>
        <v>280</v>
      </c>
      <c r="C426" t="str" vm="1554">
        <f t="shared" ref="C426:L435" si="42">CUBEVALUE("ThisWorkbookDataModel",$B426,C$5)</f>
        <v/>
      </c>
      <c r="D426" t="str" vm="2723">
        <f t="shared" si="42"/>
        <v/>
      </c>
      <c r="E426" vm="1555">
        <f t="shared" si="42"/>
        <v>0</v>
      </c>
      <c r="F426" vm="2725">
        <f t="shared" si="42"/>
        <v>0</v>
      </c>
      <c r="G426" t="str" vm="1556">
        <f t="shared" si="42"/>
        <v/>
      </c>
      <c r="H426" t="str" vm="2726">
        <f t="shared" si="42"/>
        <v/>
      </c>
      <c r="I426" t="str" vm="1557">
        <f t="shared" si="42"/>
        <v/>
      </c>
      <c r="J426" t="str" vm="2724">
        <f t="shared" si="42"/>
        <v/>
      </c>
      <c r="K426" vm="2727">
        <f t="shared" si="42"/>
        <v>0</v>
      </c>
      <c r="L426" vm="2728">
        <f t="shared" si="42"/>
        <v>0</v>
      </c>
    </row>
    <row r="427" spans="2:12" x14ac:dyDescent="0.3">
      <c r="B427" s="16" t="str" vm="294">
        <f>CUBEMEMBER("ThisWorkbookDataModel","[Table1].[goal].&amp;[2.7E2]")</f>
        <v>270</v>
      </c>
      <c r="C427" t="str" vm="1550">
        <f t="shared" si="42"/>
        <v/>
      </c>
      <c r="D427" t="str" vm="3016">
        <f t="shared" si="42"/>
        <v/>
      </c>
      <c r="E427" vm="1551">
        <f t="shared" si="42"/>
        <v>0</v>
      </c>
      <c r="F427" vm="3015">
        <f t="shared" si="42"/>
        <v>0</v>
      </c>
      <c r="G427" t="str" vm="1552">
        <f t="shared" si="42"/>
        <v/>
      </c>
      <c r="H427" t="str" vm="3019">
        <f t="shared" si="42"/>
        <v/>
      </c>
      <c r="I427" t="str" vm="1553">
        <f t="shared" si="42"/>
        <v/>
      </c>
      <c r="J427" t="str" vm="3020">
        <f t="shared" si="42"/>
        <v/>
      </c>
      <c r="K427" vm="3017">
        <f t="shared" si="42"/>
        <v>0</v>
      </c>
      <c r="L427" vm="3018">
        <f t="shared" si="42"/>
        <v>0</v>
      </c>
    </row>
    <row r="428" spans="2:12" x14ac:dyDescent="0.3">
      <c r="B428" s="16" t="str" vm="72">
        <f>CUBEMEMBER("ThisWorkbookDataModel","[Table1].[goal].&amp;[2.5E2]")</f>
        <v>250</v>
      </c>
      <c r="C428" vm="534">
        <f t="shared" si="42"/>
        <v>0</v>
      </c>
      <c r="D428" vm="4238">
        <f t="shared" si="42"/>
        <v>0</v>
      </c>
      <c r="E428" vm="535">
        <f t="shared" si="42"/>
        <v>9</v>
      </c>
      <c r="F428" vm="4234">
        <f t="shared" si="42"/>
        <v>101</v>
      </c>
      <c r="G428" vm="536">
        <f t="shared" si="42"/>
        <v>4</v>
      </c>
      <c r="H428" vm="4236">
        <f t="shared" si="42"/>
        <v>120</v>
      </c>
      <c r="I428" vm="537">
        <f t="shared" si="42"/>
        <v>268</v>
      </c>
      <c r="J428" vm="4237">
        <f t="shared" si="42"/>
        <v>7637</v>
      </c>
      <c r="K428" vm="4235">
        <f t="shared" si="42"/>
        <v>281</v>
      </c>
      <c r="L428" vm="4239">
        <f t="shared" si="42"/>
        <v>7858</v>
      </c>
    </row>
    <row r="429" spans="2:12" x14ac:dyDescent="0.3">
      <c r="B429" s="16" t="str" vm="111">
        <f>CUBEMEMBER("ThisWorkbookDataModel","[Table1].[goal].&amp;[2.25E2]")</f>
        <v>225</v>
      </c>
      <c r="C429" t="str" vm="530">
        <f t="shared" si="42"/>
        <v/>
      </c>
      <c r="D429" t="str" vm="2877">
        <f t="shared" si="42"/>
        <v/>
      </c>
      <c r="E429" t="str" vm="531">
        <f t="shared" si="42"/>
        <v/>
      </c>
      <c r="F429" t="str" vm="2879">
        <f t="shared" si="42"/>
        <v/>
      </c>
      <c r="G429" t="str" vm="532">
        <f t="shared" si="42"/>
        <v/>
      </c>
      <c r="H429" t="str" vm="2315">
        <f t="shared" si="42"/>
        <v/>
      </c>
      <c r="I429" vm="533">
        <f t="shared" si="42"/>
        <v>9</v>
      </c>
      <c r="J429" vm="4899">
        <f t="shared" si="42"/>
        <v>234</v>
      </c>
      <c r="K429" vm="4483">
        <f t="shared" si="42"/>
        <v>9</v>
      </c>
      <c r="L429" vm="2878">
        <f t="shared" si="42"/>
        <v>234</v>
      </c>
    </row>
    <row r="430" spans="2:12" x14ac:dyDescent="0.3">
      <c r="B430" s="16" t="str" vm="151">
        <f>CUBEMEMBER("ThisWorkbookDataModel","[Table1].[goal].&amp;[2.2E2]")</f>
        <v>220</v>
      </c>
      <c r="C430" t="str" vm="526">
        <f t="shared" si="42"/>
        <v/>
      </c>
      <c r="D430" t="str" vm="2265">
        <f t="shared" si="42"/>
        <v/>
      </c>
      <c r="E430" t="str" vm="527">
        <f t="shared" si="42"/>
        <v/>
      </c>
      <c r="F430" t="str" vm="3168">
        <f t="shared" si="42"/>
        <v/>
      </c>
      <c r="G430" t="str" vm="528">
        <f t="shared" si="42"/>
        <v/>
      </c>
      <c r="H430" t="str" vm="3169">
        <f t="shared" si="42"/>
        <v/>
      </c>
      <c r="I430" vm="529">
        <f t="shared" si="42"/>
        <v>12</v>
      </c>
      <c r="J430" vm="4893">
        <f t="shared" si="42"/>
        <v>241</v>
      </c>
      <c r="K430" vm="4474">
        <f t="shared" si="42"/>
        <v>12</v>
      </c>
      <c r="L430" vm="4260">
        <f t="shared" si="42"/>
        <v>241</v>
      </c>
    </row>
    <row r="431" spans="2:12" x14ac:dyDescent="0.3">
      <c r="B431" s="16" t="str" vm="191">
        <f>CUBEMEMBER("ThisWorkbookDataModel","[Table1].[goal].&amp;[2.E2]")</f>
        <v>200</v>
      </c>
      <c r="C431" vm="522">
        <f t="shared" si="42"/>
        <v>0</v>
      </c>
      <c r="D431" vm="2329">
        <f t="shared" si="42"/>
        <v>0</v>
      </c>
      <c r="E431" vm="523">
        <f t="shared" si="42"/>
        <v>16</v>
      </c>
      <c r="F431" vm="4454">
        <f t="shared" si="42"/>
        <v>235</v>
      </c>
      <c r="G431" vm="524">
        <f t="shared" si="42"/>
        <v>0</v>
      </c>
      <c r="H431" vm="4455">
        <f t="shared" si="42"/>
        <v>0</v>
      </c>
      <c r="I431" vm="525">
        <f t="shared" si="42"/>
        <v>96</v>
      </c>
      <c r="J431" vm="4456">
        <f t="shared" si="42"/>
        <v>2692</v>
      </c>
      <c r="K431" vm="4452">
        <f t="shared" si="42"/>
        <v>112</v>
      </c>
      <c r="L431" vm="4453">
        <f t="shared" si="42"/>
        <v>2927</v>
      </c>
    </row>
    <row r="432" spans="2:12" x14ac:dyDescent="0.3">
      <c r="B432" s="16" t="str" vm="411">
        <f>CUBEMEMBER("ThisWorkbookDataModel","[Table1].[goal].&amp;[1.99E2]")</f>
        <v>199</v>
      </c>
      <c r="C432" vm="1546">
        <f t="shared" si="42"/>
        <v>6</v>
      </c>
      <c r="D432" vm="4554">
        <f t="shared" si="42"/>
        <v>306</v>
      </c>
      <c r="E432" t="str" vm="1547">
        <f t="shared" si="42"/>
        <v/>
      </c>
      <c r="F432" t="str" vm="4550">
        <f t="shared" si="42"/>
        <v/>
      </c>
      <c r="G432" t="str" vm="1548">
        <f t="shared" si="42"/>
        <v/>
      </c>
      <c r="H432" t="str" vm="4551">
        <f t="shared" si="42"/>
        <v/>
      </c>
      <c r="I432" t="str" vm="1549">
        <f t="shared" si="42"/>
        <v/>
      </c>
      <c r="J432" t="str" vm="4552">
        <f t="shared" si="42"/>
        <v/>
      </c>
      <c r="K432" vm="4553">
        <f t="shared" si="42"/>
        <v>6</v>
      </c>
      <c r="L432" vm="4555">
        <f t="shared" si="42"/>
        <v>306</v>
      </c>
    </row>
    <row r="433" spans="2:12" x14ac:dyDescent="0.3">
      <c r="B433" s="16" t="str" vm="229">
        <f>CUBEMEMBER("ThisWorkbookDataModel","[Table1].[goal].&amp;[1.53E2]")</f>
        <v>153</v>
      </c>
      <c r="C433" t="str" vm="518">
        <f t="shared" si="42"/>
        <v/>
      </c>
      <c r="D433" t="str" vm="4674">
        <f t="shared" si="42"/>
        <v/>
      </c>
      <c r="E433" t="str" vm="519">
        <f t="shared" si="42"/>
        <v/>
      </c>
      <c r="F433" t="str" vm="4670">
        <f t="shared" si="42"/>
        <v/>
      </c>
      <c r="G433" t="str" vm="520">
        <f t="shared" si="42"/>
        <v/>
      </c>
      <c r="H433" t="str" vm="4672">
        <f t="shared" si="42"/>
        <v/>
      </c>
      <c r="I433" vm="521">
        <f t="shared" si="42"/>
        <v>7</v>
      </c>
      <c r="J433" vm="4673">
        <f t="shared" si="42"/>
        <v>153</v>
      </c>
      <c r="K433" vm="4671">
        <f t="shared" si="42"/>
        <v>7</v>
      </c>
      <c r="L433" vm="4675">
        <f t="shared" si="42"/>
        <v>153</v>
      </c>
    </row>
    <row r="434" spans="2:12" x14ac:dyDescent="0.3">
      <c r="B434" s="16" t="str" vm="265">
        <f>CUBEMEMBER("ThisWorkbookDataModel","[Table1].[goal].&amp;[1.5E2]")</f>
        <v>150</v>
      </c>
      <c r="C434" t="str" vm="514">
        <f t="shared" si="42"/>
        <v/>
      </c>
      <c r="D434" t="str" vm="4871">
        <f t="shared" si="42"/>
        <v/>
      </c>
      <c r="E434" vm="515">
        <f t="shared" si="42"/>
        <v>7</v>
      </c>
      <c r="F434" vm="4873">
        <f t="shared" si="42"/>
        <v>38</v>
      </c>
      <c r="G434" t="str" vm="516">
        <f t="shared" si="42"/>
        <v/>
      </c>
      <c r="H434" t="str" vm="4868">
        <f t="shared" si="42"/>
        <v/>
      </c>
      <c r="I434" vm="517">
        <f t="shared" si="42"/>
        <v>134</v>
      </c>
      <c r="J434" vm="4869">
        <f t="shared" si="42"/>
        <v>3009</v>
      </c>
      <c r="K434" vm="4870">
        <f t="shared" si="42"/>
        <v>141</v>
      </c>
      <c r="L434" vm="4872">
        <f t="shared" si="42"/>
        <v>3047</v>
      </c>
    </row>
    <row r="435" spans="2:12" x14ac:dyDescent="0.3">
      <c r="B435" s="16" t="str" vm="316">
        <f>CUBEMEMBER("ThisWorkbookDataModel","[Table1].[goal].&amp;[1.28E2]")</f>
        <v>128</v>
      </c>
      <c r="C435" vm="1542">
        <f t="shared" si="42"/>
        <v>0</v>
      </c>
      <c r="D435" vm="3303">
        <f t="shared" si="42"/>
        <v>0</v>
      </c>
      <c r="E435" t="str" vm="1543">
        <f t="shared" si="42"/>
        <v/>
      </c>
      <c r="F435" t="str" vm="3305">
        <f t="shared" si="42"/>
        <v/>
      </c>
      <c r="G435" t="str" vm="1544">
        <f t="shared" si="42"/>
        <v/>
      </c>
      <c r="H435" t="str" vm="3300">
        <f t="shared" si="42"/>
        <v/>
      </c>
      <c r="I435" t="str" vm="1545">
        <f t="shared" si="42"/>
        <v/>
      </c>
      <c r="J435" t="str" vm="3301">
        <f t="shared" si="42"/>
        <v/>
      </c>
      <c r="K435" vm="3302">
        <f t="shared" si="42"/>
        <v>0</v>
      </c>
      <c r="L435" vm="3304">
        <f t="shared" si="42"/>
        <v>0</v>
      </c>
    </row>
    <row r="436" spans="2:12" x14ac:dyDescent="0.3">
      <c r="B436" s="16" t="str" vm="40">
        <f>CUBEMEMBER("ThisWorkbookDataModel","[Table1].[goal].&amp;[1.25E2]")</f>
        <v>125</v>
      </c>
      <c r="C436" t="str" vm="510">
        <f t="shared" ref="C436:L445" si="43">CUBEVALUE("ThisWorkbookDataModel",$B436,C$5)</f>
        <v/>
      </c>
      <c r="D436" t="str" vm="3485">
        <f t="shared" si="43"/>
        <v/>
      </c>
      <c r="E436" t="str" vm="511">
        <f t="shared" si="43"/>
        <v/>
      </c>
      <c r="F436" t="str" vm="3487">
        <f t="shared" si="43"/>
        <v/>
      </c>
      <c r="G436" t="str" vm="512">
        <f t="shared" si="43"/>
        <v/>
      </c>
      <c r="H436" t="str" vm="3488">
        <f t="shared" si="43"/>
        <v/>
      </c>
      <c r="I436" vm="513">
        <f t="shared" si="43"/>
        <v>13</v>
      </c>
      <c r="J436" vm="4874">
        <f t="shared" si="43"/>
        <v>301</v>
      </c>
      <c r="K436" vm="3484">
        <f t="shared" si="43"/>
        <v>13</v>
      </c>
      <c r="L436" vm="3486">
        <f t="shared" si="43"/>
        <v>301</v>
      </c>
    </row>
    <row r="437" spans="2:12" x14ac:dyDescent="0.3">
      <c r="B437" s="16" t="str" vm="34">
        <f>CUBEMEMBER("ThisWorkbookDataModel","[Table1].[goal].&amp;[1.1E2]")</f>
        <v>110</v>
      </c>
      <c r="C437" t="str" vm="506">
        <f t="shared" si="43"/>
        <v/>
      </c>
      <c r="D437" t="str" vm="2316">
        <f t="shared" si="43"/>
        <v/>
      </c>
      <c r="E437" vm="507">
        <f t="shared" si="43"/>
        <v>3</v>
      </c>
      <c r="F437" vm="2266">
        <f t="shared" si="43"/>
        <v>3</v>
      </c>
      <c r="G437" t="str" vm="508">
        <f t="shared" si="43"/>
        <v/>
      </c>
      <c r="H437" t="str" vm="3680">
        <f t="shared" si="43"/>
        <v/>
      </c>
      <c r="I437" vm="509">
        <f t="shared" si="43"/>
        <v>28</v>
      </c>
      <c r="J437" vm="4914">
        <f t="shared" si="43"/>
        <v>420.99</v>
      </c>
      <c r="K437" vm="4466">
        <f t="shared" si="43"/>
        <v>31</v>
      </c>
      <c r="L437" vm="4248">
        <f t="shared" si="43"/>
        <v>423.99</v>
      </c>
    </row>
    <row r="438" spans="2:12" x14ac:dyDescent="0.3">
      <c r="B438" s="16" t="str" vm="73">
        <f>CUBEMEMBER("ThisWorkbookDataModel","[Table1].[goal].&amp;[1.01E2]")</f>
        <v>101</v>
      </c>
      <c r="C438" t="str" vm="502">
        <f t="shared" si="43"/>
        <v/>
      </c>
      <c r="D438" t="str" vm="3665">
        <f t="shared" si="43"/>
        <v/>
      </c>
      <c r="E438" t="str" vm="503">
        <f t="shared" si="43"/>
        <v/>
      </c>
      <c r="F438" t="str" vm="3662">
        <f t="shared" si="43"/>
        <v/>
      </c>
      <c r="G438" t="str" vm="504">
        <f t="shared" si="43"/>
        <v/>
      </c>
      <c r="H438" t="str" vm="3663">
        <f t="shared" si="43"/>
        <v/>
      </c>
      <c r="I438" vm="505">
        <f t="shared" si="43"/>
        <v>15</v>
      </c>
      <c r="J438" vm="3664">
        <f t="shared" si="43"/>
        <v>289</v>
      </c>
      <c r="K438" vm="2345">
        <f t="shared" si="43"/>
        <v>15</v>
      </c>
      <c r="L438" vm="3666">
        <f t="shared" si="43"/>
        <v>289</v>
      </c>
    </row>
    <row r="439" spans="2:12" x14ac:dyDescent="0.3">
      <c r="B439" s="16" t="str" vm="112">
        <f>CUBEMEMBER("ThisWorkbookDataModel","[Table1].[goal].&amp;[1.E2]")</f>
        <v>100</v>
      </c>
      <c r="C439" t="str" vm="498">
        <f t="shared" si="43"/>
        <v/>
      </c>
      <c r="D439" t="str" vm="2880">
        <f t="shared" si="43"/>
        <v/>
      </c>
      <c r="E439" vm="499">
        <f t="shared" si="43"/>
        <v>3</v>
      </c>
      <c r="F439" vm="2882">
        <f t="shared" si="43"/>
        <v>12</v>
      </c>
      <c r="G439" t="str" vm="500">
        <f t="shared" si="43"/>
        <v/>
      </c>
      <c r="H439" t="str" vm="2293">
        <f t="shared" si="43"/>
        <v/>
      </c>
      <c r="I439" vm="501">
        <f t="shared" si="43"/>
        <v>111</v>
      </c>
      <c r="J439" vm="4898">
        <f t="shared" si="43"/>
        <v>3253</v>
      </c>
      <c r="K439" vm="4482">
        <f t="shared" si="43"/>
        <v>114</v>
      </c>
      <c r="L439" vm="2881">
        <f t="shared" si="43"/>
        <v>3265</v>
      </c>
    </row>
    <row r="440" spans="2:12" x14ac:dyDescent="0.3">
      <c r="B440" s="16" t="str" vm="152">
        <f>CUBEMEMBER("ThisWorkbookDataModel","[Table1].[goal].&amp;[8.E1]")</f>
        <v>80</v>
      </c>
      <c r="C440" t="str" vm="494">
        <f t="shared" si="43"/>
        <v/>
      </c>
      <c r="D440" t="str" vm="2267">
        <f t="shared" si="43"/>
        <v/>
      </c>
      <c r="E440" t="str" vm="495">
        <f t="shared" si="43"/>
        <v/>
      </c>
      <c r="F440" t="str" vm="3170">
        <f t="shared" si="43"/>
        <v/>
      </c>
      <c r="G440" t="str" vm="496">
        <f t="shared" si="43"/>
        <v/>
      </c>
      <c r="H440" t="str" vm="3171">
        <f t="shared" si="43"/>
        <v/>
      </c>
      <c r="I440" vm="497">
        <f t="shared" si="43"/>
        <v>36</v>
      </c>
      <c r="J440" vm="4876">
        <f t="shared" si="43"/>
        <v>1003</v>
      </c>
      <c r="K440" vm="4473">
        <f t="shared" si="43"/>
        <v>36</v>
      </c>
      <c r="L440" vm="4259">
        <f t="shared" si="43"/>
        <v>1003</v>
      </c>
    </row>
    <row r="441" spans="2:12" x14ac:dyDescent="0.3">
      <c r="B441" s="16" t="str" vm="192">
        <f>CUBEMEMBER("ThisWorkbookDataModel","[Table1].[goal].&amp;[7.E1]")</f>
        <v>70</v>
      </c>
      <c r="C441" t="str" vm="490">
        <f t="shared" si="43"/>
        <v/>
      </c>
      <c r="D441" t="str" vm="2305">
        <f t="shared" si="43"/>
        <v/>
      </c>
      <c r="E441" t="str" vm="491">
        <f t="shared" si="43"/>
        <v/>
      </c>
      <c r="F441" t="str" vm="3870">
        <f t="shared" si="43"/>
        <v/>
      </c>
      <c r="G441" t="str" vm="492">
        <f t="shared" si="43"/>
        <v/>
      </c>
      <c r="H441" t="str" vm="3871">
        <f t="shared" si="43"/>
        <v/>
      </c>
      <c r="I441" vm="493">
        <f t="shared" si="43"/>
        <v>16</v>
      </c>
      <c r="J441" vm="3872">
        <f t="shared" si="43"/>
        <v>221</v>
      </c>
      <c r="K441" vm="3868">
        <f t="shared" si="43"/>
        <v>16</v>
      </c>
      <c r="L441" vm="3869">
        <f t="shared" si="43"/>
        <v>221</v>
      </c>
    </row>
    <row r="442" spans="2:12" x14ac:dyDescent="0.3">
      <c r="B442" s="16" t="str" vm="338">
        <f>CUBEMEMBER("ThisWorkbookDataModel","[Table1].[goal].&amp;[6.E1]")</f>
        <v>60</v>
      </c>
      <c r="C442" t="str" vm="1538">
        <f t="shared" si="43"/>
        <v/>
      </c>
      <c r="D442" t="str" vm="4749">
        <f t="shared" si="43"/>
        <v/>
      </c>
      <c r="E442" vm="1539">
        <f t="shared" si="43"/>
        <v>0</v>
      </c>
      <c r="F442" vm="4752">
        <f t="shared" si="43"/>
        <v>0</v>
      </c>
      <c r="G442" t="str" vm="1540">
        <f t="shared" si="43"/>
        <v/>
      </c>
      <c r="H442" t="str" vm="4753">
        <f t="shared" si="43"/>
        <v/>
      </c>
      <c r="I442" t="str" vm="1541">
        <f t="shared" si="43"/>
        <v/>
      </c>
      <c r="J442" t="str" vm="4750">
        <f t="shared" si="43"/>
        <v/>
      </c>
      <c r="K442" vm="4751">
        <f t="shared" si="43"/>
        <v>0</v>
      </c>
      <c r="L442" vm="4748">
        <f t="shared" si="43"/>
        <v>0</v>
      </c>
    </row>
    <row r="443" spans="2:12" x14ac:dyDescent="0.3">
      <c r="B443" s="16" t="str" vm="230">
        <f>CUBEMEMBER("ThisWorkbookDataModel","[Table1].[goal].&amp;[5.E1]")</f>
        <v>50</v>
      </c>
      <c r="C443" vm="486">
        <f t="shared" si="43"/>
        <v>0</v>
      </c>
      <c r="D443" vm="4056">
        <f t="shared" si="43"/>
        <v>0</v>
      </c>
      <c r="E443" t="str" vm="487">
        <f t="shared" si="43"/>
        <v/>
      </c>
      <c r="F443" t="str" vm="2346">
        <f t="shared" si="43"/>
        <v/>
      </c>
      <c r="G443" t="str" vm="488">
        <f t="shared" si="43"/>
        <v/>
      </c>
      <c r="H443" t="str" vm="4054">
        <f t="shared" si="43"/>
        <v/>
      </c>
      <c r="I443" vm="489">
        <f t="shared" si="43"/>
        <v>41</v>
      </c>
      <c r="J443" vm="4055">
        <f t="shared" si="43"/>
        <v>1496</v>
      </c>
      <c r="K443" vm="2330">
        <f t="shared" si="43"/>
        <v>41</v>
      </c>
      <c r="L443" vm="4057">
        <f t="shared" si="43"/>
        <v>1496</v>
      </c>
    </row>
    <row r="444" spans="2:12" x14ac:dyDescent="0.3">
      <c r="B444" s="16" t="str" vm="266">
        <f>CUBEMEMBER("ThisWorkbookDataModel","[Table1].[goal].&amp;[4.E1]")</f>
        <v>40</v>
      </c>
      <c r="C444" t="str" vm="482">
        <f t="shared" si="43"/>
        <v/>
      </c>
      <c r="D444" t="str" vm="4243">
        <f t="shared" si="43"/>
        <v/>
      </c>
      <c r="E444" t="str" vm="483">
        <f t="shared" si="43"/>
        <v/>
      </c>
      <c r="F444" t="str" vm="4245">
        <f t="shared" si="43"/>
        <v/>
      </c>
      <c r="G444" t="str" vm="484">
        <f t="shared" si="43"/>
        <v/>
      </c>
      <c r="H444" t="str" vm="4240">
        <f t="shared" si="43"/>
        <v/>
      </c>
      <c r="I444" vm="485">
        <f t="shared" si="43"/>
        <v>13</v>
      </c>
      <c r="J444" vm="4241">
        <f t="shared" si="43"/>
        <v>64</v>
      </c>
      <c r="K444" vm="4242">
        <f t="shared" si="43"/>
        <v>13</v>
      </c>
      <c r="L444" vm="4244">
        <f t="shared" si="43"/>
        <v>64</v>
      </c>
    </row>
    <row r="445" spans="2:12" x14ac:dyDescent="0.3">
      <c r="B445" s="16" t="str" vm="159">
        <f>CUBEMEMBER("ThisWorkbookDataModel","[Table1].[goal].&amp;[2.5E1]")</f>
        <v>25</v>
      </c>
      <c r="C445" t="str" vm="478">
        <f t="shared" si="43"/>
        <v/>
      </c>
      <c r="D445" t="str" vm="4459">
        <f t="shared" si="43"/>
        <v/>
      </c>
      <c r="E445" vm="479">
        <f t="shared" si="43"/>
        <v>0</v>
      </c>
      <c r="F445" vm="4461">
        <f t="shared" si="43"/>
        <v>0</v>
      </c>
      <c r="G445" t="str" vm="480">
        <f t="shared" si="43"/>
        <v/>
      </c>
      <c r="H445" t="str" vm="4462">
        <f t="shared" si="43"/>
        <v/>
      </c>
      <c r="I445" vm="481">
        <f t="shared" si="43"/>
        <v>13</v>
      </c>
      <c r="J445" vm="4457">
        <f t="shared" si="43"/>
        <v>165</v>
      </c>
      <c r="K445" vm="4458">
        <f t="shared" si="43"/>
        <v>13</v>
      </c>
      <c r="L445" vm="4460">
        <f t="shared" si="43"/>
        <v>165</v>
      </c>
    </row>
    <row r="446" spans="2:12" x14ac:dyDescent="0.3">
      <c r="B446" s="16" t="str" vm="361">
        <f>CUBEMEMBER("ThisWorkbookDataModel","[Table1].[goal].&amp;[2.E1]")</f>
        <v>20</v>
      </c>
      <c r="C446" t="str" vm="1534">
        <f t="shared" ref="C446:L451" si="44">CUBEVALUE("ThisWorkbookDataModel",$B446,C$5)</f>
        <v/>
      </c>
      <c r="D446" t="str" vm="3372">
        <f t="shared" si="44"/>
        <v/>
      </c>
      <c r="E446" vm="1535">
        <f t="shared" si="44"/>
        <v>0</v>
      </c>
      <c r="F446" vm="3373">
        <f t="shared" si="44"/>
        <v>0</v>
      </c>
      <c r="G446" t="str" vm="1536">
        <f t="shared" si="44"/>
        <v/>
      </c>
      <c r="H446" t="str" vm="3376">
        <f t="shared" si="44"/>
        <v/>
      </c>
      <c r="I446" t="str" vm="1537">
        <f t="shared" si="44"/>
        <v/>
      </c>
      <c r="J446" t="str" vm="3377">
        <f t="shared" si="44"/>
        <v/>
      </c>
      <c r="K446" vm="3374">
        <f t="shared" si="44"/>
        <v>0</v>
      </c>
      <c r="L446" vm="3375">
        <f t="shared" si="44"/>
        <v>0</v>
      </c>
    </row>
    <row r="447" spans="2:12" x14ac:dyDescent="0.3">
      <c r="B447" s="16" t="str" vm="35">
        <f>CUBEMEMBER("ThisWorkbookDataModel","[Table1].[goal].&amp;[1.3E1]")</f>
        <v>13</v>
      </c>
      <c r="C447" t="str" vm="474">
        <f t="shared" si="44"/>
        <v/>
      </c>
      <c r="D447" t="str" vm="2294">
        <f t="shared" si="44"/>
        <v/>
      </c>
      <c r="E447" t="str" vm="475">
        <f t="shared" si="44"/>
        <v/>
      </c>
      <c r="F447" t="str" vm="2268">
        <f t="shared" si="44"/>
        <v/>
      </c>
      <c r="G447" t="str" vm="476">
        <f t="shared" si="44"/>
        <v/>
      </c>
      <c r="H447" t="str" vm="3679">
        <f t="shared" si="44"/>
        <v/>
      </c>
      <c r="I447" vm="477">
        <f t="shared" si="44"/>
        <v>1</v>
      </c>
      <c r="J447" vm="4913">
        <f t="shared" si="44"/>
        <v>13</v>
      </c>
      <c r="K447" vm="4470">
        <f t="shared" si="44"/>
        <v>1</v>
      </c>
      <c r="L447" vm="4252">
        <f t="shared" si="44"/>
        <v>13</v>
      </c>
    </row>
    <row r="448" spans="2:12" x14ac:dyDescent="0.3">
      <c r="B448" s="16" t="str" vm="74">
        <f>CUBEMEMBER("ThisWorkbookDataModel","[Table1].[goal].&amp;[1.E1]")</f>
        <v>10</v>
      </c>
      <c r="C448" t="str" vm="470">
        <f t="shared" si="44"/>
        <v/>
      </c>
      <c r="D448" t="str" vm="4680">
        <f t="shared" si="44"/>
        <v/>
      </c>
      <c r="E448" t="str" vm="471">
        <f t="shared" si="44"/>
        <v/>
      </c>
      <c r="F448" t="str" vm="4676">
        <f t="shared" si="44"/>
        <v/>
      </c>
      <c r="G448" t="str" vm="472">
        <f t="shared" si="44"/>
        <v/>
      </c>
      <c r="H448" t="str" vm="4678">
        <f t="shared" si="44"/>
        <v/>
      </c>
      <c r="I448" vm="473">
        <f t="shared" si="44"/>
        <v>716</v>
      </c>
      <c r="J448" vm="4679">
        <f t="shared" si="44"/>
        <v>30406.32</v>
      </c>
      <c r="K448" vm="4677">
        <f t="shared" si="44"/>
        <v>716</v>
      </c>
      <c r="L448" vm="4681">
        <f t="shared" si="44"/>
        <v>30406.32</v>
      </c>
    </row>
    <row r="449" spans="2:12" x14ac:dyDescent="0.3">
      <c r="B449" s="16" t="str" vm="113">
        <f>CUBEMEMBER("ThisWorkbookDataModel","[Table1].[goal].&amp;[5.]")</f>
        <v>5</v>
      </c>
      <c r="C449" t="str" vm="466">
        <f t="shared" si="44"/>
        <v/>
      </c>
      <c r="D449" t="str" vm="2883">
        <f t="shared" si="44"/>
        <v/>
      </c>
      <c r="E449" t="str" vm="467">
        <f t="shared" si="44"/>
        <v/>
      </c>
      <c r="F449" t="str" vm="2885">
        <f t="shared" si="44"/>
        <v/>
      </c>
      <c r="G449" t="str" vm="468">
        <f t="shared" si="44"/>
        <v/>
      </c>
      <c r="H449" t="str" vm="3667">
        <f t="shared" si="44"/>
        <v/>
      </c>
      <c r="I449" vm="469">
        <f t="shared" si="44"/>
        <v>1</v>
      </c>
      <c r="J449" vm="4897">
        <f t="shared" si="44"/>
        <v>10</v>
      </c>
      <c r="K449" vm="4481">
        <f t="shared" si="44"/>
        <v>1</v>
      </c>
      <c r="L449" vm="2884">
        <f t="shared" si="44"/>
        <v>10</v>
      </c>
    </row>
    <row r="450" spans="2:12" x14ac:dyDescent="0.3">
      <c r="B450" s="16" t="str" vm="423">
        <f>CUBEMEMBER("ThisWorkbookDataModel","[Table1].[goal].&amp;[2.]")</f>
        <v>2</v>
      </c>
      <c r="C450" t="str" vm="1530">
        <f t="shared" si="44"/>
        <v/>
      </c>
      <c r="D450" t="str" vm="2484">
        <f t="shared" si="44"/>
        <v/>
      </c>
      <c r="E450" vm="1531">
        <f t="shared" si="44"/>
        <v>0</v>
      </c>
      <c r="F450" vm="2480">
        <f t="shared" si="44"/>
        <v>0</v>
      </c>
      <c r="G450" t="str" vm="1532">
        <f t="shared" si="44"/>
        <v/>
      </c>
      <c r="H450" t="str" vm="2481">
        <f t="shared" si="44"/>
        <v/>
      </c>
      <c r="I450" t="str" vm="1533">
        <f t="shared" si="44"/>
        <v/>
      </c>
      <c r="J450" t="str" vm="2482">
        <f t="shared" si="44"/>
        <v/>
      </c>
      <c r="K450" vm="2483">
        <f t="shared" si="44"/>
        <v>0</v>
      </c>
      <c r="L450" vm="2485">
        <f t="shared" si="44"/>
        <v>0</v>
      </c>
    </row>
    <row r="451" spans="2:12" x14ac:dyDescent="0.3">
      <c r="B451" s="16" t="str" vm="153">
        <f>CUBEMEMBER("ThisWorkbookDataModel","[Table1].[goal].&amp;[1.]")</f>
        <v>1</v>
      </c>
      <c r="C451" t="str" vm="462">
        <f t="shared" si="44"/>
        <v/>
      </c>
      <c r="D451" t="str" vm="2269">
        <f t="shared" si="44"/>
        <v/>
      </c>
      <c r="E451" t="str" vm="463">
        <f t="shared" si="44"/>
        <v/>
      </c>
      <c r="F451" t="str" vm="3172">
        <f t="shared" si="44"/>
        <v/>
      </c>
      <c r="G451" t="str" vm="464">
        <f t="shared" si="44"/>
        <v/>
      </c>
      <c r="H451" t="str" vm="3173">
        <f t="shared" si="44"/>
        <v/>
      </c>
      <c r="I451" vm="465">
        <f t="shared" si="44"/>
        <v>2201</v>
      </c>
      <c r="J451" vm="4881">
        <f t="shared" si="44"/>
        <v>31970.5</v>
      </c>
      <c r="K451" vm="4472">
        <f t="shared" si="44"/>
        <v>2201</v>
      </c>
      <c r="L451" vm="4258">
        <f t="shared" si="44"/>
        <v>31970.5</v>
      </c>
    </row>
    <row r="452" spans="2:12" x14ac:dyDescent="0.3">
      <c r="C452"/>
    </row>
    <row r="453" spans="2:12" x14ac:dyDescent="0.3">
      <c r="C453"/>
    </row>
    <row r="454" spans="2:12" x14ac:dyDescent="0.3">
      <c r="C454"/>
    </row>
    <row r="455" spans="2:12" x14ac:dyDescent="0.3">
      <c r="C455"/>
    </row>
    <row r="456" spans="2:12" x14ac:dyDescent="0.3">
      <c r="C456"/>
    </row>
    <row r="457" spans="2:12" x14ac:dyDescent="0.3">
      <c r="C457"/>
    </row>
    <row r="458" spans="2:12" x14ac:dyDescent="0.3">
      <c r="C458"/>
    </row>
    <row r="459" spans="2:12" x14ac:dyDescent="0.3">
      <c r="C459"/>
    </row>
    <row r="460" spans="2:12" x14ac:dyDescent="0.3">
      <c r="C460"/>
    </row>
    <row r="461" spans="2:12" x14ac:dyDescent="0.3">
      <c r="C461"/>
    </row>
    <row r="462" spans="2:12" x14ac:dyDescent="0.3">
      <c r="C462"/>
    </row>
    <row r="463" spans="2:12" x14ac:dyDescent="0.3">
      <c r="C463"/>
    </row>
    <row r="464" spans="2:12" x14ac:dyDescent="0.3">
      <c r="C464"/>
    </row>
    <row r="465" spans="3:3" x14ac:dyDescent="0.3">
      <c r="C465"/>
    </row>
    <row r="466" spans="3:3" x14ac:dyDescent="0.3">
      <c r="C466"/>
    </row>
    <row r="467" spans="3:3" x14ac:dyDescent="0.3">
      <c r="C467"/>
    </row>
    <row r="468" spans="3:3" x14ac:dyDescent="0.3">
      <c r="C468"/>
    </row>
    <row r="469" spans="3:3" x14ac:dyDescent="0.3">
      <c r="C469"/>
    </row>
    <row r="470" spans="3:3" x14ac:dyDescent="0.3">
      <c r="C470"/>
    </row>
    <row r="471" spans="3:3" x14ac:dyDescent="0.3">
      <c r="C471"/>
    </row>
    <row r="472" spans="3:3" x14ac:dyDescent="0.3">
      <c r="C472"/>
    </row>
    <row r="473" spans="3:3" x14ac:dyDescent="0.3">
      <c r="C473"/>
    </row>
    <row r="474" spans="3:3" x14ac:dyDescent="0.3">
      <c r="C474"/>
    </row>
    <row r="475" spans="3:3" x14ac:dyDescent="0.3">
      <c r="C475"/>
    </row>
    <row r="476" spans="3:3" x14ac:dyDescent="0.3">
      <c r="C476"/>
    </row>
    <row r="477" spans="3:3" x14ac:dyDescent="0.3">
      <c r="C477"/>
    </row>
    <row r="478" spans="3:3" x14ac:dyDescent="0.3">
      <c r="C478"/>
    </row>
    <row r="479" spans="3:3" x14ac:dyDescent="0.3">
      <c r="C479"/>
    </row>
    <row r="480" spans="3:3" x14ac:dyDescent="0.3">
      <c r="C480"/>
    </row>
    <row r="481" spans="3:3" x14ac:dyDescent="0.3">
      <c r="C481"/>
    </row>
    <row r="482" spans="3:3" x14ac:dyDescent="0.3">
      <c r="C482"/>
    </row>
    <row r="483" spans="3:3" x14ac:dyDescent="0.3">
      <c r="C483"/>
    </row>
    <row r="484" spans="3:3" x14ac:dyDescent="0.3">
      <c r="C484"/>
    </row>
    <row r="485" spans="3:3" x14ac:dyDescent="0.3">
      <c r="C485"/>
    </row>
    <row r="486" spans="3:3" x14ac:dyDescent="0.3">
      <c r="C486"/>
    </row>
    <row r="487" spans="3:3" x14ac:dyDescent="0.3">
      <c r="C487"/>
    </row>
    <row r="488" spans="3:3" x14ac:dyDescent="0.3">
      <c r="C488"/>
    </row>
    <row r="489" spans="3:3" x14ac:dyDescent="0.3">
      <c r="C489"/>
    </row>
    <row r="490" spans="3:3" x14ac:dyDescent="0.3">
      <c r="C490"/>
    </row>
    <row r="491" spans="3:3" x14ac:dyDescent="0.3">
      <c r="C491"/>
    </row>
    <row r="492" spans="3:3" x14ac:dyDescent="0.3">
      <c r="C492"/>
    </row>
    <row r="493" spans="3:3" x14ac:dyDescent="0.3">
      <c r="C493"/>
    </row>
    <row r="494" spans="3:3" x14ac:dyDescent="0.3">
      <c r="C494"/>
    </row>
    <row r="495" spans="3:3" x14ac:dyDescent="0.3">
      <c r="C495"/>
    </row>
    <row r="496" spans="3:3" x14ac:dyDescent="0.3">
      <c r="C496"/>
    </row>
    <row r="497" spans="3:3" x14ac:dyDescent="0.3">
      <c r="C497"/>
    </row>
    <row r="498" spans="3:3" x14ac:dyDescent="0.3">
      <c r="C498"/>
    </row>
    <row r="499" spans="3:3" x14ac:dyDescent="0.3">
      <c r="C499"/>
    </row>
    <row r="500" spans="3:3" x14ac:dyDescent="0.3">
      <c r="C500"/>
    </row>
    <row r="501" spans="3:3" x14ac:dyDescent="0.3">
      <c r="C501"/>
    </row>
    <row r="502" spans="3:3" x14ac:dyDescent="0.3">
      <c r="C502"/>
    </row>
    <row r="503" spans="3:3" x14ac:dyDescent="0.3">
      <c r="C503"/>
    </row>
    <row r="504" spans="3:3" x14ac:dyDescent="0.3">
      <c r="C504"/>
    </row>
    <row r="505" spans="3:3" x14ac:dyDescent="0.3">
      <c r="C505"/>
    </row>
    <row r="506" spans="3:3" x14ac:dyDescent="0.3">
      <c r="C506"/>
    </row>
    <row r="507" spans="3:3" x14ac:dyDescent="0.3">
      <c r="C507"/>
    </row>
    <row r="508" spans="3:3" x14ac:dyDescent="0.3">
      <c r="C508"/>
    </row>
    <row r="509" spans="3:3" x14ac:dyDescent="0.3">
      <c r="C509"/>
    </row>
    <row r="510" spans="3:3" x14ac:dyDescent="0.3">
      <c r="C510"/>
    </row>
    <row r="511" spans="3:3" x14ac:dyDescent="0.3">
      <c r="C511"/>
    </row>
    <row r="512" spans="3:3" x14ac:dyDescent="0.3">
      <c r="C512"/>
    </row>
    <row r="513" spans="3:3" x14ac:dyDescent="0.3">
      <c r="C513"/>
    </row>
    <row r="514" spans="3:3" x14ac:dyDescent="0.3">
      <c r="C514"/>
    </row>
    <row r="515" spans="3:3" x14ac:dyDescent="0.3">
      <c r="C515"/>
    </row>
    <row r="516" spans="3:3" x14ac:dyDescent="0.3">
      <c r="C516"/>
    </row>
    <row r="517" spans="3:3" x14ac:dyDescent="0.3">
      <c r="C517"/>
    </row>
    <row r="518" spans="3:3" x14ac:dyDescent="0.3">
      <c r="C518"/>
    </row>
    <row r="519" spans="3:3" x14ac:dyDescent="0.3">
      <c r="C519"/>
    </row>
    <row r="520" spans="3:3" x14ac:dyDescent="0.3">
      <c r="C520"/>
    </row>
    <row r="521" spans="3:3" x14ac:dyDescent="0.3">
      <c r="C521"/>
    </row>
    <row r="522" spans="3:3" x14ac:dyDescent="0.3">
      <c r="C522"/>
    </row>
    <row r="523" spans="3:3" x14ac:dyDescent="0.3">
      <c r="C523"/>
    </row>
    <row r="524" spans="3:3" x14ac:dyDescent="0.3">
      <c r="C524"/>
    </row>
    <row r="525" spans="3:3" x14ac:dyDescent="0.3">
      <c r="C525"/>
    </row>
    <row r="526" spans="3:3" x14ac:dyDescent="0.3">
      <c r="C526"/>
    </row>
    <row r="527" spans="3:3" x14ac:dyDescent="0.3">
      <c r="C527"/>
    </row>
    <row r="528" spans="3:3" x14ac:dyDescent="0.3">
      <c r="C528"/>
    </row>
    <row r="529" spans="3:3" x14ac:dyDescent="0.3">
      <c r="C529"/>
    </row>
    <row r="530" spans="3:3" x14ac:dyDescent="0.3">
      <c r="C530"/>
    </row>
    <row r="531" spans="3:3" x14ac:dyDescent="0.3">
      <c r="C531"/>
    </row>
    <row r="532" spans="3:3" x14ac:dyDescent="0.3">
      <c r="C532"/>
    </row>
    <row r="533" spans="3:3" x14ac:dyDescent="0.3">
      <c r="C533"/>
    </row>
    <row r="534" spans="3:3" x14ac:dyDescent="0.3">
      <c r="C534"/>
    </row>
    <row r="535" spans="3:3" x14ac:dyDescent="0.3">
      <c r="C535"/>
    </row>
    <row r="536" spans="3:3" x14ac:dyDescent="0.3">
      <c r="C536"/>
    </row>
    <row r="537" spans="3:3" x14ac:dyDescent="0.3">
      <c r="C537"/>
    </row>
    <row r="538" spans="3:3" x14ac:dyDescent="0.3">
      <c r="C538"/>
    </row>
    <row r="539" spans="3:3" x14ac:dyDescent="0.3">
      <c r="C539"/>
    </row>
    <row r="540" spans="3:3" x14ac:dyDescent="0.3">
      <c r="C540"/>
    </row>
    <row r="541" spans="3:3" x14ac:dyDescent="0.3">
      <c r="C541"/>
    </row>
    <row r="542" spans="3:3" x14ac:dyDescent="0.3">
      <c r="C542"/>
    </row>
    <row r="543" spans="3:3" x14ac:dyDescent="0.3">
      <c r="C543"/>
    </row>
    <row r="544" spans="3:3" x14ac:dyDescent="0.3">
      <c r="C544"/>
    </row>
    <row r="545" spans="3:3" x14ac:dyDescent="0.3">
      <c r="C545"/>
    </row>
    <row r="546" spans="3:3" x14ac:dyDescent="0.3">
      <c r="C546"/>
    </row>
    <row r="547" spans="3:3" x14ac:dyDescent="0.3">
      <c r="C547"/>
    </row>
    <row r="548" spans="3:3" x14ac:dyDescent="0.3">
      <c r="C548"/>
    </row>
    <row r="549" spans="3:3" x14ac:dyDescent="0.3">
      <c r="C549"/>
    </row>
    <row r="550" spans="3:3" x14ac:dyDescent="0.3">
      <c r="C550"/>
    </row>
    <row r="551" spans="3:3" x14ac:dyDescent="0.3">
      <c r="C551"/>
    </row>
    <row r="552" spans="3:3" x14ac:dyDescent="0.3">
      <c r="C552"/>
    </row>
    <row r="553" spans="3:3" x14ac:dyDescent="0.3">
      <c r="C553"/>
    </row>
    <row r="554" spans="3:3" x14ac:dyDescent="0.3">
      <c r="C554"/>
    </row>
    <row r="555" spans="3:3" x14ac:dyDescent="0.3">
      <c r="C555"/>
    </row>
    <row r="556" spans="3:3" x14ac:dyDescent="0.3">
      <c r="C556"/>
    </row>
    <row r="557" spans="3:3" x14ac:dyDescent="0.3">
      <c r="C557"/>
    </row>
    <row r="558" spans="3:3" x14ac:dyDescent="0.3">
      <c r="C558"/>
    </row>
    <row r="559" spans="3:3" x14ac:dyDescent="0.3">
      <c r="C559"/>
    </row>
    <row r="560" spans="3:3" x14ac:dyDescent="0.3">
      <c r="C560"/>
    </row>
    <row r="561" spans="3:3" x14ac:dyDescent="0.3">
      <c r="C561"/>
    </row>
    <row r="562" spans="3:3" x14ac:dyDescent="0.3">
      <c r="C562"/>
    </row>
    <row r="563" spans="3:3" x14ac:dyDescent="0.3">
      <c r="C563"/>
    </row>
    <row r="564" spans="3:3" x14ac:dyDescent="0.3">
      <c r="C564"/>
    </row>
    <row r="565" spans="3:3" x14ac:dyDescent="0.3">
      <c r="C565"/>
    </row>
    <row r="566" spans="3:3" x14ac:dyDescent="0.3">
      <c r="C566"/>
    </row>
    <row r="567" spans="3:3" x14ac:dyDescent="0.3">
      <c r="C567"/>
    </row>
    <row r="568" spans="3:3" x14ac:dyDescent="0.3">
      <c r="C568"/>
    </row>
    <row r="569" spans="3:3" x14ac:dyDescent="0.3">
      <c r="C569"/>
    </row>
    <row r="570" spans="3:3" x14ac:dyDescent="0.3">
      <c r="C570"/>
    </row>
    <row r="571" spans="3:3" x14ac:dyDescent="0.3">
      <c r="C571"/>
    </row>
    <row r="572" spans="3:3" x14ac:dyDescent="0.3">
      <c r="C572"/>
    </row>
    <row r="573" spans="3:3" x14ac:dyDescent="0.3">
      <c r="C573"/>
    </row>
    <row r="574" spans="3:3" x14ac:dyDescent="0.3">
      <c r="C574"/>
    </row>
    <row r="575" spans="3:3" x14ac:dyDescent="0.3">
      <c r="C575"/>
    </row>
    <row r="576" spans="3:3" x14ac:dyDescent="0.3">
      <c r="C576"/>
    </row>
    <row r="577" spans="3:3" x14ac:dyDescent="0.3">
      <c r="C577"/>
    </row>
    <row r="578" spans="3:3" x14ac:dyDescent="0.3">
      <c r="C578"/>
    </row>
    <row r="579" spans="3:3" x14ac:dyDescent="0.3">
      <c r="C579"/>
    </row>
    <row r="580" spans="3:3" x14ac:dyDescent="0.3">
      <c r="C580"/>
    </row>
    <row r="581" spans="3:3" x14ac:dyDescent="0.3">
      <c r="C581"/>
    </row>
    <row r="582" spans="3:3" x14ac:dyDescent="0.3">
      <c r="C582"/>
    </row>
    <row r="583" spans="3:3" x14ac:dyDescent="0.3">
      <c r="C583"/>
    </row>
    <row r="584" spans="3:3" x14ac:dyDescent="0.3">
      <c r="C584"/>
    </row>
    <row r="585" spans="3:3" x14ac:dyDescent="0.3">
      <c r="C585"/>
    </row>
    <row r="586" spans="3:3" x14ac:dyDescent="0.3">
      <c r="C586"/>
    </row>
    <row r="587" spans="3:3" x14ac:dyDescent="0.3">
      <c r="C587"/>
    </row>
    <row r="588" spans="3:3" x14ac:dyDescent="0.3">
      <c r="C588"/>
    </row>
    <row r="589" spans="3:3" x14ac:dyDescent="0.3">
      <c r="C589"/>
    </row>
    <row r="590" spans="3:3" x14ac:dyDescent="0.3">
      <c r="C590"/>
    </row>
    <row r="591" spans="3:3" x14ac:dyDescent="0.3">
      <c r="C591"/>
    </row>
    <row r="592" spans="3:3" x14ac:dyDescent="0.3">
      <c r="C592"/>
    </row>
    <row r="593" spans="3:3" x14ac:dyDescent="0.3">
      <c r="C593"/>
    </row>
    <row r="594" spans="3:3" x14ac:dyDescent="0.3">
      <c r="C594"/>
    </row>
    <row r="595" spans="3:3" x14ac:dyDescent="0.3">
      <c r="C595"/>
    </row>
    <row r="596" spans="3:3" x14ac:dyDescent="0.3">
      <c r="C596"/>
    </row>
    <row r="597" spans="3:3" x14ac:dyDescent="0.3">
      <c r="C597"/>
    </row>
    <row r="598" spans="3:3" x14ac:dyDescent="0.3">
      <c r="C598"/>
    </row>
    <row r="599" spans="3:3" x14ac:dyDescent="0.3">
      <c r="C599"/>
    </row>
    <row r="600" spans="3:3" x14ac:dyDescent="0.3">
      <c r="C600"/>
    </row>
    <row r="601" spans="3:3" x14ac:dyDescent="0.3">
      <c r="C601"/>
    </row>
    <row r="602" spans="3:3" x14ac:dyDescent="0.3">
      <c r="C602"/>
    </row>
    <row r="603" spans="3:3" x14ac:dyDescent="0.3">
      <c r="C603"/>
    </row>
    <row r="604" spans="3:3" x14ac:dyDescent="0.3">
      <c r="C604"/>
    </row>
    <row r="605" spans="3:3" x14ac:dyDescent="0.3">
      <c r="C605"/>
    </row>
    <row r="606" spans="3:3" x14ac:dyDescent="0.3">
      <c r="C606"/>
    </row>
    <row r="607" spans="3:3" x14ac:dyDescent="0.3">
      <c r="C607"/>
    </row>
    <row r="608" spans="3:3" x14ac:dyDescent="0.3">
      <c r="C608"/>
    </row>
    <row r="609" spans="3:3" x14ac:dyDescent="0.3">
      <c r="C609"/>
    </row>
    <row r="610" spans="3:3" x14ac:dyDescent="0.3">
      <c r="C610"/>
    </row>
    <row r="611" spans="3:3" x14ac:dyDescent="0.3">
      <c r="C611"/>
    </row>
    <row r="612" spans="3:3" x14ac:dyDescent="0.3">
      <c r="C612"/>
    </row>
    <row r="613" spans="3:3" x14ac:dyDescent="0.3">
      <c r="C613"/>
    </row>
    <row r="614" spans="3:3" x14ac:dyDescent="0.3">
      <c r="C614"/>
    </row>
    <row r="615" spans="3:3" x14ac:dyDescent="0.3">
      <c r="C615"/>
    </row>
    <row r="616" spans="3:3" x14ac:dyDescent="0.3">
      <c r="C616"/>
    </row>
    <row r="617" spans="3:3" x14ac:dyDescent="0.3">
      <c r="C617"/>
    </row>
    <row r="618" spans="3:3" x14ac:dyDescent="0.3">
      <c r="C618"/>
    </row>
    <row r="619" spans="3:3" x14ac:dyDescent="0.3">
      <c r="C619"/>
    </row>
    <row r="620" spans="3:3" x14ac:dyDescent="0.3">
      <c r="C620"/>
    </row>
    <row r="621" spans="3:3" x14ac:dyDescent="0.3">
      <c r="C621"/>
    </row>
    <row r="622" spans="3:3" x14ac:dyDescent="0.3">
      <c r="C622"/>
    </row>
    <row r="623" spans="3:3" x14ac:dyDescent="0.3">
      <c r="C623"/>
    </row>
    <row r="624" spans="3:3" x14ac:dyDescent="0.3">
      <c r="C624"/>
    </row>
    <row r="625" spans="3:3" x14ac:dyDescent="0.3">
      <c r="C625"/>
    </row>
    <row r="626" spans="3:3" x14ac:dyDescent="0.3">
      <c r="C626"/>
    </row>
    <row r="627" spans="3:3" x14ac:dyDescent="0.3">
      <c r="C627"/>
    </row>
    <row r="628" spans="3:3" x14ac:dyDescent="0.3">
      <c r="C628"/>
    </row>
    <row r="629" spans="3:3" x14ac:dyDescent="0.3">
      <c r="C629"/>
    </row>
    <row r="630" spans="3:3" x14ac:dyDescent="0.3">
      <c r="C630"/>
    </row>
    <row r="631" spans="3:3" x14ac:dyDescent="0.3">
      <c r="C631"/>
    </row>
    <row r="632" spans="3:3" x14ac:dyDescent="0.3">
      <c r="C632"/>
    </row>
    <row r="633" spans="3:3" x14ac:dyDescent="0.3">
      <c r="C633"/>
    </row>
    <row r="634" spans="3:3" x14ac:dyDescent="0.3">
      <c r="C634"/>
    </row>
    <row r="635" spans="3:3" x14ac:dyDescent="0.3">
      <c r="C635"/>
    </row>
    <row r="636" spans="3:3" x14ac:dyDescent="0.3">
      <c r="C636"/>
    </row>
    <row r="637" spans="3:3" x14ac:dyDescent="0.3">
      <c r="C637"/>
    </row>
    <row r="638" spans="3:3" x14ac:dyDescent="0.3">
      <c r="C638"/>
    </row>
    <row r="639" spans="3:3" x14ac:dyDescent="0.3">
      <c r="C639"/>
    </row>
    <row r="640" spans="3:3" x14ac:dyDescent="0.3">
      <c r="C640"/>
    </row>
    <row r="641" spans="3:3" x14ac:dyDescent="0.3">
      <c r="C641"/>
    </row>
    <row r="642" spans="3:3" x14ac:dyDescent="0.3">
      <c r="C642"/>
    </row>
    <row r="643" spans="3:3" x14ac:dyDescent="0.3">
      <c r="C643"/>
    </row>
    <row r="644" spans="3:3" x14ac:dyDescent="0.3">
      <c r="C644"/>
    </row>
    <row r="645" spans="3:3" x14ac:dyDescent="0.3">
      <c r="C645"/>
    </row>
    <row r="646" spans="3:3" x14ac:dyDescent="0.3">
      <c r="C646"/>
    </row>
    <row r="647" spans="3:3" x14ac:dyDescent="0.3">
      <c r="C647"/>
    </row>
    <row r="648" spans="3:3" x14ac:dyDescent="0.3">
      <c r="C648"/>
    </row>
    <row r="649" spans="3:3" x14ac:dyDescent="0.3">
      <c r="C649"/>
    </row>
    <row r="650" spans="3:3" x14ac:dyDescent="0.3">
      <c r="C650"/>
    </row>
    <row r="651" spans="3:3" x14ac:dyDescent="0.3">
      <c r="C651"/>
    </row>
    <row r="652" spans="3:3" x14ac:dyDescent="0.3">
      <c r="C652"/>
    </row>
    <row r="653" spans="3:3" x14ac:dyDescent="0.3">
      <c r="C653"/>
    </row>
    <row r="654" spans="3:3" x14ac:dyDescent="0.3">
      <c r="C654"/>
    </row>
    <row r="655" spans="3:3" x14ac:dyDescent="0.3">
      <c r="C655"/>
    </row>
    <row r="656" spans="3:3" x14ac:dyDescent="0.3">
      <c r="C656"/>
    </row>
    <row r="657" spans="3:3" x14ac:dyDescent="0.3">
      <c r="C657"/>
    </row>
    <row r="658" spans="3:3" x14ac:dyDescent="0.3">
      <c r="C658"/>
    </row>
    <row r="659" spans="3:3" x14ac:dyDescent="0.3">
      <c r="C659"/>
    </row>
    <row r="660" spans="3:3" x14ac:dyDescent="0.3">
      <c r="C660"/>
    </row>
    <row r="661" spans="3:3" x14ac:dyDescent="0.3">
      <c r="C661"/>
    </row>
    <row r="662" spans="3:3" x14ac:dyDescent="0.3">
      <c r="C662"/>
    </row>
    <row r="663" spans="3:3" x14ac:dyDescent="0.3">
      <c r="C663"/>
    </row>
    <row r="664" spans="3:3" x14ac:dyDescent="0.3">
      <c r="C664"/>
    </row>
    <row r="665" spans="3:3" x14ac:dyDescent="0.3">
      <c r="C665"/>
    </row>
    <row r="666" spans="3:3" x14ac:dyDescent="0.3">
      <c r="C666"/>
    </row>
    <row r="667" spans="3:3" x14ac:dyDescent="0.3">
      <c r="C667"/>
    </row>
    <row r="668" spans="3:3" x14ac:dyDescent="0.3">
      <c r="C668"/>
    </row>
    <row r="669" spans="3:3" x14ac:dyDescent="0.3">
      <c r="C669"/>
    </row>
    <row r="670" spans="3:3" x14ac:dyDescent="0.3">
      <c r="C670"/>
    </row>
    <row r="671" spans="3:3" x14ac:dyDescent="0.3">
      <c r="C671"/>
    </row>
    <row r="672" spans="3:3" x14ac:dyDescent="0.3">
      <c r="C672"/>
    </row>
    <row r="673" spans="3:3" x14ac:dyDescent="0.3">
      <c r="C673"/>
    </row>
    <row r="674" spans="3:3" x14ac:dyDescent="0.3">
      <c r="C674"/>
    </row>
    <row r="675" spans="3:3" x14ac:dyDescent="0.3">
      <c r="C675"/>
    </row>
    <row r="676" spans="3:3" x14ac:dyDescent="0.3">
      <c r="C676"/>
    </row>
    <row r="677" spans="3:3" x14ac:dyDescent="0.3">
      <c r="C677"/>
    </row>
    <row r="678" spans="3:3" x14ac:dyDescent="0.3">
      <c r="C678"/>
    </row>
    <row r="679" spans="3:3" x14ac:dyDescent="0.3">
      <c r="C679"/>
    </row>
    <row r="680" spans="3:3" x14ac:dyDescent="0.3">
      <c r="C680"/>
    </row>
    <row r="681" spans="3:3" x14ac:dyDescent="0.3">
      <c r="C681"/>
    </row>
    <row r="682" spans="3:3" x14ac:dyDescent="0.3">
      <c r="C682"/>
    </row>
    <row r="683" spans="3:3" x14ac:dyDescent="0.3">
      <c r="C683"/>
    </row>
    <row r="684" spans="3:3" x14ac:dyDescent="0.3">
      <c r="C684"/>
    </row>
    <row r="685" spans="3:3" x14ac:dyDescent="0.3">
      <c r="C685"/>
    </row>
    <row r="686" spans="3:3" x14ac:dyDescent="0.3">
      <c r="C686"/>
    </row>
    <row r="687" spans="3:3" x14ac:dyDescent="0.3">
      <c r="C687"/>
    </row>
    <row r="688" spans="3:3" x14ac:dyDescent="0.3">
      <c r="C688"/>
    </row>
    <row r="689" spans="3:3" x14ac:dyDescent="0.3">
      <c r="C689"/>
    </row>
    <row r="690" spans="3:3" x14ac:dyDescent="0.3">
      <c r="C690"/>
    </row>
    <row r="691" spans="3:3" x14ac:dyDescent="0.3">
      <c r="C691"/>
    </row>
    <row r="692" spans="3:3" x14ac:dyDescent="0.3">
      <c r="C692"/>
    </row>
    <row r="693" spans="3:3" x14ac:dyDescent="0.3">
      <c r="C693"/>
    </row>
    <row r="694" spans="3:3" x14ac:dyDescent="0.3">
      <c r="C694"/>
    </row>
    <row r="695" spans="3:3" x14ac:dyDescent="0.3">
      <c r="C695"/>
    </row>
    <row r="696" spans="3:3" x14ac:dyDescent="0.3">
      <c r="C696"/>
    </row>
    <row r="697" spans="3:3" x14ac:dyDescent="0.3">
      <c r="C697"/>
    </row>
    <row r="698" spans="3:3" x14ac:dyDescent="0.3">
      <c r="C698"/>
    </row>
    <row r="699" spans="3:3" x14ac:dyDescent="0.3">
      <c r="C699"/>
    </row>
    <row r="700" spans="3:3" x14ac:dyDescent="0.3">
      <c r="C700"/>
    </row>
    <row r="701" spans="3:3" x14ac:dyDescent="0.3">
      <c r="C701"/>
    </row>
    <row r="702" spans="3:3" x14ac:dyDescent="0.3">
      <c r="C702"/>
    </row>
    <row r="703" spans="3:3" x14ac:dyDescent="0.3">
      <c r="C703"/>
    </row>
    <row r="704" spans="3:3" x14ac:dyDescent="0.3">
      <c r="C704"/>
    </row>
    <row r="705" spans="3:3" x14ac:dyDescent="0.3">
      <c r="C705"/>
    </row>
    <row r="706" spans="3:3" x14ac:dyDescent="0.3">
      <c r="C706"/>
    </row>
    <row r="707" spans="3:3" x14ac:dyDescent="0.3">
      <c r="C707"/>
    </row>
    <row r="708" spans="3:3" x14ac:dyDescent="0.3">
      <c r="C708"/>
    </row>
    <row r="709" spans="3:3" x14ac:dyDescent="0.3">
      <c r="C709"/>
    </row>
    <row r="710" spans="3:3" x14ac:dyDescent="0.3">
      <c r="C710"/>
    </row>
    <row r="711" spans="3:3" x14ac:dyDescent="0.3">
      <c r="C711"/>
    </row>
    <row r="712" spans="3:3" x14ac:dyDescent="0.3">
      <c r="C712"/>
    </row>
    <row r="713" spans="3:3" x14ac:dyDescent="0.3">
      <c r="C713"/>
    </row>
    <row r="714" spans="3:3" x14ac:dyDescent="0.3">
      <c r="C714"/>
    </row>
    <row r="715" spans="3:3" x14ac:dyDescent="0.3">
      <c r="C715"/>
    </row>
    <row r="716" spans="3:3" x14ac:dyDescent="0.3">
      <c r="C716"/>
    </row>
    <row r="717" spans="3:3" x14ac:dyDescent="0.3">
      <c r="C717"/>
    </row>
    <row r="718" spans="3:3" x14ac:dyDescent="0.3">
      <c r="C718"/>
    </row>
    <row r="719" spans="3:3" x14ac:dyDescent="0.3">
      <c r="C719"/>
    </row>
    <row r="720" spans="3:3" x14ac:dyDescent="0.3">
      <c r="C720"/>
    </row>
    <row r="721" spans="3:3" x14ac:dyDescent="0.3">
      <c r="C721"/>
    </row>
    <row r="722" spans="3:3" x14ac:dyDescent="0.3">
      <c r="C722"/>
    </row>
    <row r="723" spans="3:3" x14ac:dyDescent="0.3">
      <c r="C723"/>
    </row>
    <row r="724" spans="3:3" x14ac:dyDescent="0.3">
      <c r="C724"/>
    </row>
    <row r="725" spans="3:3" x14ac:dyDescent="0.3">
      <c r="C725"/>
    </row>
    <row r="726" spans="3:3" x14ac:dyDescent="0.3">
      <c r="C726"/>
    </row>
    <row r="727" spans="3:3" x14ac:dyDescent="0.3">
      <c r="C727"/>
    </row>
    <row r="728" spans="3:3" x14ac:dyDescent="0.3">
      <c r="C728"/>
    </row>
    <row r="729" spans="3:3" x14ac:dyDescent="0.3">
      <c r="C729"/>
    </row>
    <row r="730" spans="3:3" x14ac:dyDescent="0.3">
      <c r="C730"/>
    </row>
    <row r="731" spans="3:3" x14ac:dyDescent="0.3">
      <c r="C731"/>
    </row>
    <row r="732" spans="3:3" x14ac:dyDescent="0.3">
      <c r="C732"/>
    </row>
    <row r="733" spans="3:3" x14ac:dyDescent="0.3">
      <c r="C733"/>
    </row>
    <row r="734" spans="3:3" x14ac:dyDescent="0.3">
      <c r="C734"/>
    </row>
    <row r="735" spans="3:3" x14ac:dyDescent="0.3">
      <c r="C735"/>
    </row>
    <row r="736" spans="3:3" x14ac:dyDescent="0.3">
      <c r="C736"/>
    </row>
    <row r="737" spans="3:3" x14ac:dyDescent="0.3">
      <c r="C737"/>
    </row>
    <row r="738" spans="3:3" x14ac:dyDescent="0.3">
      <c r="C738"/>
    </row>
    <row r="739" spans="3:3" x14ac:dyDescent="0.3">
      <c r="C739"/>
    </row>
    <row r="740" spans="3:3" x14ac:dyDescent="0.3">
      <c r="C740"/>
    </row>
    <row r="741" spans="3:3" x14ac:dyDescent="0.3">
      <c r="C741"/>
    </row>
    <row r="742" spans="3:3" x14ac:dyDescent="0.3">
      <c r="C742"/>
    </row>
    <row r="743" spans="3:3" x14ac:dyDescent="0.3">
      <c r="C743"/>
    </row>
    <row r="744" spans="3:3" x14ac:dyDescent="0.3">
      <c r="C744"/>
    </row>
    <row r="745" spans="3:3" x14ac:dyDescent="0.3">
      <c r="C745"/>
    </row>
    <row r="746" spans="3:3" x14ac:dyDescent="0.3">
      <c r="C746"/>
    </row>
    <row r="747" spans="3:3" x14ac:dyDescent="0.3">
      <c r="C747"/>
    </row>
    <row r="748" spans="3:3" x14ac:dyDescent="0.3">
      <c r="C748"/>
    </row>
    <row r="749" spans="3:3" x14ac:dyDescent="0.3">
      <c r="C749"/>
    </row>
    <row r="750" spans="3:3" x14ac:dyDescent="0.3">
      <c r="C750"/>
    </row>
    <row r="751" spans="3:3" x14ac:dyDescent="0.3">
      <c r="C751"/>
    </row>
    <row r="752" spans="3:3" x14ac:dyDescent="0.3">
      <c r="C752"/>
    </row>
    <row r="753" spans="3:3" x14ac:dyDescent="0.3">
      <c r="C753"/>
    </row>
    <row r="754" spans="3:3" x14ac:dyDescent="0.3">
      <c r="C754"/>
    </row>
    <row r="755" spans="3:3" x14ac:dyDescent="0.3">
      <c r="C755"/>
    </row>
    <row r="756" spans="3:3" x14ac:dyDescent="0.3">
      <c r="C756"/>
    </row>
    <row r="757" spans="3:3" x14ac:dyDescent="0.3">
      <c r="C757"/>
    </row>
    <row r="758" spans="3:3" x14ac:dyDescent="0.3">
      <c r="C758"/>
    </row>
    <row r="759" spans="3:3" x14ac:dyDescent="0.3">
      <c r="C759"/>
    </row>
    <row r="760" spans="3:3" x14ac:dyDescent="0.3">
      <c r="C760"/>
    </row>
    <row r="761" spans="3:3" x14ac:dyDescent="0.3">
      <c r="C761"/>
    </row>
    <row r="762" spans="3:3" x14ac:dyDescent="0.3">
      <c r="C762"/>
    </row>
    <row r="763" spans="3:3" x14ac:dyDescent="0.3">
      <c r="C763"/>
    </row>
    <row r="764" spans="3:3" x14ac:dyDescent="0.3">
      <c r="C764"/>
    </row>
    <row r="765" spans="3:3" x14ac:dyDescent="0.3">
      <c r="C765"/>
    </row>
    <row r="766" spans="3:3" x14ac:dyDescent="0.3">
      <c r="C766"/>
    </row>
    <row r="767" spans="3:3" x14ac:dyDescent="0.3">
      <c r="C767"/>
    </row>
    <row r="768" spans="3:3" x14ac:dyDescent="0.3">
      <c r="C768"/>
    </row>
    <row r="769" spans="3:3" x14ac:dyDescent="0.3">
      <c r="C769"/>
    </row>
    <row r="770" spans="3:3" x14ac:dyDescent="0.3">
      <c r="C770"/>
    </row>
    <row r="771" spans="3:3" x14ac:dyDescent="0.3">
      <c r="C771"/>
    </row>
    <row r="772" spans="3:3" x14ac:dyDescent="0.3">
      <c r="C772"/>
    </row>
    <row r="773" spans="3:3" x14ac:dyDescent="0.3">
      <c r="C773"/>
    </row>
    <row r="774" spans="3:3" x14ac:dyDescent="0.3">
      <c r="C774"/>
    </row>
    <row r="775" spans="3:3" x14ac:dyDescent="0.3">
      <c r="C775"/>
    </row>
    <row r="776" spans="3:3" x14ac:dyDescent="0.3">
      <c r="C776"/>
    </row>
    <row r="777" spans="3:3" x14ac:dyDescent="0.3">
      <c r="C777"/>
    </row>
    <row r="778" spans="3:3" x14ac:dyDescent="0.3">
      <c r="C778"/>
    </row>
    <row r="779" spans="3:3" x14ac:dyDescent="0.3">
      <c r="C779"/>
    </row>
    <row r="780" spans="3:3" x14ac:dyDescent="0.3">
      <c r="C780"/>
    </row>
    <row r="781" spans="3:3" x14ac:dyDescent="0.3">
      <c r="C781"/>
    </row>
    <row r="782" spans="3:3" x14ac:dyDescent="0.3">
      <c r="C782"/>
    </row>
    <row r="783" spans="3:3" x14ac:dyDescent="0.3">
      <c r="C783"/>
    </row>
    <row r="784" spans="3:3" x14ac:dyDescent="0.3">
      <c r="C784"/>
    </row>
    <row r="785" spans="3:3" x14ac:dyDescent="0.3">
      <c r="C785"/>
    </row>
    <row r="786" spans="3:3" x14ac:dyDescent="0.3">
      <c r="C786"/>
    </row>
    <row r="787" spans="3:3" x14ac:dyDescent="0.3">
      <c r="C787"/>
    </row>
    <row r="788" spans="3:3" x14ac:dyDescent="0.3">
      <c r="C788"/>
    </row>
    <row r="789" spans="3:3" x14ac:dyDescent="0.3">
      <c r="C789"/>
    </row>
    <row r="790" spans="3:3" x14ac:dyDescent="0.3">
      <c r="C790"/>
    </row>
    <row r="791" spans="3:3" x14ac:dyDescent="0.3">
      <c r="C791"/>
    </row>
    <row r="792" spans="3:3" x14ac:dyDescent="0.3">
      <c r="C792"/>
    </row>
    <row r="793" spans="3:3" x14ac:dyDescent="0.3">
      <c r="C793"/>
    </row>
    <row r="794" spans="3:3" x14ac:dyDescent="0.3">
      <c r="C794"/>
    </row>
    <row r="795" spans="3:3" x14ac:dyDescent="0.3">
      <c r="C795"/>
    </row>
    <row r="796" spans="3:3" x14ac:dyDescent="0.3">
      <c r="C796"/>
    </row>
    <row r="797" spans="3:3" x14ac:dyDescent="0.3">
      <c r="C797"/>
    </row>
    <row r="798" spans="3:3" x14ac:dyDescent="0.3">
      <c r="C798"/>
    </row>
    <row r="799" spans="3:3" x14ac:dyDescent="0.3">
      <c r="C799"/>
    </row>
    <row r="800" spans="3:3" x14ac:dyDescent="0.3">
      <c r="C800"/>
    </row>
    <row r="801" spans="3:3" x14ac:dyDescent="0.3">
      <c r="C801"/>
    </row>
    <row r="802" spans="3:3" x14ac:dyDescent="0.3">
      <c r="C802"/>
    </row>
    <row r="803" spans="3:3" x14ac:dyDescent="0.3">
      <c r="C803"/>
    </row>
    <row r="804" spans="3:3" x14ac:dyDescent="0.3">
      <c r="C804"/>
    </row>
    <row r="805" spans="3:3" x14ac:dyDescent="0.3">
      <c r="C805"/>
    </row>
    <row r="806" spans="3:3" x14ac:dyDescent="0.3">
      <c r="C806"/>
    </row>
    <row r="807" spans="3:3" x14ac:dyDescent="0.3">
      <c r="C807"/>
    </row>
    <row r="808" spans="3:3" x14ac:dyDescent="0.3">
      <c r="C808"/>
    </row>
    <row r="809" spans="3:3" x14ac:dyDescent="0.3">
      <c r="C809"/>
    </row>
    <row r="810" spans="3:3" x14ac:dyDescent="0.3">
      <c r="C810"/>
    </row>
    <row r="811" spans="3:3" x14ac:dyDescent="0.3">
      <c r="C811"/>
    </row>
    <row r="812" spans="3:3" x14ac:dyDescent="0.3">
      <c r="C812"/>
    </row>
    <row r="813" spans="3:3" x14ac:dyDescent="0.3">
      <c r="C813"/>
    </row>
    <row r="814" spans="3:3" x14ac:dyDescent="0.3">
      <c r="C814"/>
    </row>
    <row r="815" spans="3:3" x14ac:dyDescent="0.3">
      <c r="C815"/>
    </row>
    <row r="816" spans="3:3" x14ac:dyDescent="0.3">
      <c r="C816"/>
    </row>
    <row r="817" spans="3:3" x14ac:dyDescent="0.3">
      <c r="C817"/>
    </row>
    <row r="818" spans="3:3" x14ac:dyDescent="0.3">
      <c r="C818"/>
    </row>
    <row r="819" spans="3:3" x14ac:dyDescent="0.3">
      <c r="C819"/>
    </row>
    <row r="820" spans="3:3" x14ac:dyDescent="0.3">
      <c r="C820"/>
    </row>
    <row r="821" spans="3:3" x14ac:dyDescent="0.3">
      <c r="C821"/>
    </row>
    <row r="822" spans="3:3" x14ac:dyDescent="0.3">
      <c r="C822"/>
    </row>
    <row r="823" spans="3:3" x14ac:dyDescent="0.3">
      <c r="C823"/>
    </row>
    <row r="824" spans="3:3" x14ac:dyDescent="0.3">
      <c r="C824"/>
    </row>
    <row r="825" spans="3:3" x14ac:dyDescent="0.3">
      <c r="C825"/>
    </row>
    <row r="826" spans="3:3" x14ac:dyDescent="0.3">
      <c r="C826"/>
    </row>
    <row r="827" spans="3:3" x14ac:dyDescent="0.3">
      <c r="C827"/>
    </row>
    <row r="828" spans="3:3" x14ac:dyDescent="0.3">
      <c r="C828"/>
    </row>
    <row r="829" spans="3:3" x14ac:dyDescent="0.3">
      <c r="C829"/>
    </row>
    <row r="830" spans="3:3" x14ac:dyDescent="0.3">
      <c r="C830"/>
    </row>
    <row r="831" spans="3:3" x14ac:dyDescent="0.3">
      <c r="C831"/>
    </row>
    <row r="832" spans="3:3" x14ac:dyDescent="0.3">
      <c r="C832"/>
    </row>
    <row r="833" spans="3:3" x14ac:dyDescent="0.3">
      <c r="C833"/>
    </row>
    <row r="834" spans="3:3" x14ac:dyDescent="0.3">
      <c r="C834"/>
    </row>
    <row r="835" spans="3:3" x14ac:dyDescent="0.3">
      <c r="C835"/>
    </row>
    <row r="836" spans="3:3" x14ac:dyDescent="0.3">
      <c r="C836"/>
    </row>
    <row r="837" spans="3:3" x14ac:dyDescent="0.3">
      <c r="C837"/>
    </row>
    <row r="838" spans="3:3" x14ac:dyDescent="0.3">
      <c r="C838"/>
    </row>
    <row r="839" spans="3:3" x14ac:dyDescent="0.3">
      <c r="C839"/>
    </row>
    <row r="840" spans="3:3" x14ac:dyDescent="0.3">
      <c r="C840"/>
    </row>
    <row r="841" spans="3:3" x14ac:dyDescent="0.3">
      <c r="C841"/>
    </row>
    <row r="842" spans="3:3" x14ac:dyDescent="0.3">
      <c r="C842"/>
    </row>
    <row r="843" spans="3:3" x14ac:dyDescent="0.3">
      <c r="C843"/>
    </row>
    <row r="844" spans="3:3" x14ac:dyDescent="0.3">
      <c r="C844"/>
    </row>
    <row r="845" spans="3:3" x14ac:dyDescent="0.3">
      <c r="C845"/>
    </row>
    <row r="846" spans="3:3" x14ac:dyDescent="0.3">
      <c r="C846"/>
    </row>
    <row r="847" spans="3:3" x14ac:dyDescent="0.3">
      <c r="C847"/>
    </row>
    <row r="848" spans="3:3" x14ac:dyDescent="0.3">
      <c r="C848"/>
    </row>
    <row r="849" spans="3:3" x14ac:dyDescent="0.3">
      <c r="C849"/>
    </row>
    <row r="850" spans="3:3" x14ac:dyDescent="0.3">
      <c r="C850"/>
    </row>
    <row r="851" spans="3:3" x14ac:dyDescent="0.3">
      <c r="C851"/>
    </row>
    <row r="852" spans="3:3" x14ac:dyDescent="0.3">
      <c r="C852"/>
    </row>
    <row r="853" spans="3:3" x14ac:dyDescent="0.3">
      <c r="C853"/>
    </row>
    <row r="854" spans="3:3" x14ac:dyDescent="0.3">
      <c r="C854"/>
    </row>
    <row r="855" spans="3:3" x14ac:dyDescent="0.3">
      <c r="C855"/>
    </row>
    <row r="856" spans="3:3" x14ac:dyDescent="0.3">
      <c r="C856"/>
    </row>
    <row r="857" spans="3:3" x14ac:dyDescent="0.3">
      <c r="C857"/>
    </row>
    <row r="858" spans="3:3" x14ac:dyDescent="0.3">
      <c r="C858"/>
    </row>
    <row r="859" spans="3:3" x14ac:dyDescent="0.3">
      <c r="C859"/>
    </row>
    <row r="860" spans="3:3" x14ac:dyDescent="0.3">
      <c r="C860"/>
    </row>
    <row r="861" spans="3:3" x14ac:dyDescent="0.3">
      <c r="C861"/>
    </row>
    <row r="862" spans="3:3" x14ac:dyDescent="0.3">
      <c r="C862"/>
    </row>
    <row r="863" spans="3:3" x14ac:dyDescent="0.3">
      <c r="C863"/>
    </row>
    <row r="864" spans="3:3" x14ac:dyDescent="0.3">
      <c r="C864"/>
    </row>
    <row r="865" spans="3:3" x14ac:dyDescent="0.3">
      <c r="C865"/>
    </row>
    <row r="866" spans="3:3" x14ac:dyDescent="0.3">
      <c r="C866"/>
    </row>
    <row r="867" spans="3:3" x14ac:dyDescent="0.3">
      <c r="C867"/>
    </row>
    <row r="868" spans="3:3" x14ac:dyDescent="0.3">
      <c r="C868"/>
    </row>
    <row r="869" spans="3:3" x14ac:dyDescent="0.3">
      <c r="C869"/>
    </row>
    <row r="870" spans="3:3" x14ac:dyDescent="0.3">
      <c r="C870"/>
    </row>
    <row r="871" spans="3:3" x14ac:dyDescent="0.3">
      <c r="C871"/>
    </row>
    <row r="872" spans="3:3" x14ac:dyDescent="0.3">
      <c r="C872"/>
    </row>
    <row r="873" spans="3:3" x14ac:dyDescent="0.3">
      <c r="C873"/>
    </row>
    <row r="874" spans="3:3" x14ac:dyDescent="0.3">
      <c r="C874"/>
    </row>
    <row r="875" spans="3:3" x14ac:dyDescent="0.3">
      <c r="C875"/>
    </row>
    <row r="876" spans="3:3" x14ac:dyDescent="0.3">
      <c r="C876"/>
    </row>
    <row r="877" spans="3:3" x14ac:dyDescent="0.3">
      <c r="C877"/>
    </row>
    <row r="878" spans="3:3" x14ac:dyDescent="0.3">
      <c r="C878"/>
    </row>
    <row r="879" spans="3:3" x14ac:dyDescent="0.3">
      <c r="C879"/>
    </row>
    <row r="880" spans="3:3" x14ac:dyDescent="0.3">
      <c r="C880"/>
    </row>
    <row r="881" spans="3:3" x14ac:dyDescent="0.3">
      <c r="C881"/>
    </row>
    <row r="882" spans="3:3" x14ac:dyDescent="0.3">
      <c r="C882"/>
    </row>
    <row r="883" spans="3:3" x14ac:dyDescent="0.3">
      <c r="C883"/>
    </row>
    <row r="884" spans="3:3" x14ac:dyDescent="0.3">
      <c r="C884"/>
    </row>
    <row r="885" spans="3:3" x14ac:dyDescent="0.3">
      <c r="C885"/>
    </row>
    <row r="886" spans="3:3" x14ac:dyDescent="0.3">
      <c r="C886"/>
    </row>
    <row r="887" spans="3:3" x14ac:dyDescent="0.3">
      <c r="C887"/>
    </row>
    <row r="888" spans="3:3" x14ac:dyDescent="0.3">
      <c r="C888"/>
    </row>
    <row r="889" spans="3:3" x14ac:dyDescent="0.3">
      <c r="C889"/>
    </row>
    <row r="890" spans="3:3" x14ac:dyDescent="0.3">
      <c r="C890"/>
    </row>
    <row r="891" spans="3:3" x14ac:dyDescent="0.3">
      <c r="C891"/>
    </row>
    <row r="892" spans="3:3" x14ac:dyDescent="0.3">
      <c r="C892"/>
    </row>
    <row r="893" spans="3:3" x14ac:dyDescent="0.3">
      <c r="C893"/>
    </row>
    <row r="894" spans="3:3" x14ac:dyDescent="0.3">
      <c r="C894"/>
    </row>
    <row r="895" spans="3:3" x14ac:dyDescent="0.3">
      <c r="C895"/>
    </row>
    <row r="896" spans="3:3" x14ac:dyDescent="0.3">
      <c r="C896"/>
    </row>
    <row r="897" spans="3:3" x14ac:dyDescent="0.3">
      <c r="C897"/>
    </row>
    <row r="898" spans="3:3" x14ac:dyDescent="0.3">
      <c r="C898"/>
    </row>
    <row r="899" spans="3:3" x14ac:dyDescent="0.3">
      <c r="C899"/>
    </row>
    <row r="900" spans="3:3" x14ac:dyDescent="0.3">
      <c r="C900"/>
    </row>
    <row r="901" spans="3:3" x14ac:dyDescent="0.3">
      <c r="C901"/>
    </row>
    <row r="902" spans="3:3" x14ac:dyDescent="0.3">
      <c r="C902"/>
    </row>
    <row r="903" spans="3:3" x14ac:dyDescent="0.3">
      <c r="C903"/>
    </row>
    <row r="904" spans="3:3" x14ac:dyDescent="0.3">
      <c r="C904"/>
    </row>
    <row r="905" spans="3:3" x14ac:dyDescent="0.3">
      <c r="C905"/>
    </row>
    <row r="906" spans="3:3" x14ac:dyDescent="0.3">
      <c r="C906"/>
    </row>
    <row r="907" spans="3:3" x14ac:dyDescent="0.3">
      <c r="C907"/>
    </row>
    <row r="908" spans="3:3" x14ac:dyDescent="0.3">
      <c r="C908"/>
    </row>
    <row r="909" spans="3:3" x14ac:dyDescent="0.3">
      <c r="C909"/>
    </row>
    <row r="910" spans="3:3" x14ac:dyDescent="0.3">
      <c r="C910"/>
    </row>
    <row r="911" spans="3:3" x14ac:dyDescent="0.3">
      <c r="C911"/>
    </row>
    <row r="912" spans="3:3" x14ac:dyDescent="0.3">
      <c r="C912"/>
    </row>
    <row r="913" spans="3:3" x14ac:dyDescent="0.3">
      <c r="C913"/>
    </row>
    <row r="914" spans="3:3" x14ac:dyDescent="0.3">
      <c r="C914"/>
    </row>
    <row r="915" spans="3:3" x14ac:dyDescent="0.3">
      <c r="C915"/>
    </row>
    <row r="916" spans="3:3" x14ac:dyDescent="0.3">
      <c r="C916"/>
    </row>
    <row r="917" spans="3:3" x14ac:dyDescent="0.3">
      <c r="C917"/>
    </row>
    <row r="918" spans="3:3" x14ac:dyDescent="0.3">
      <c r="C918"/>
    </row>
    <row r="919" spans="3:3" x14ac:dyDescent="0.3">
      <c r="C919"/>
    </row>
    <row r="920" spans="3:3" x14ac:dyDescent="0.3">
      <c r="C920"/>
    </row>
    <row r="921" spans="3:3" x14ac:dyDescent="0.3">
      <c r="C921"/>
    </row>
    <row r="922" spans="3:3" x14ac:dyDescent="0.3">
      <c r="C922"/>
    </row>
    <row r="923" spans="3:3" x14ac:dyDescent="0.3">
      <c r="C923"/>
    </row>
    <row r="924" spans="3:3" x14ac:dyDescent="0.3">
      <c r="C924"/>
    </row>
    <row r="925" spans="3:3" x14ac:dyDescent="0.3">
      <c r="C925"/>
    </row>
    <row r="926" spans="3:3" x14ac:dyDescent="0.3">
      <c r="C926"/>
    </row>
    <row r="927" spans="3:3" x14ac:dyDescent="0.3">
      <c r="C927"/>
    </row>
    <row r="928" spans="3:3" x14ac:dyDescent="0.3">
      <c r="C928"/>
    </row>
    <row r="929" spans="3:3" x14ac:dyDescent="0.3">
      <c r="C929"/>
    </row>
    <row r="930" spans="3:3" x14ac:dyDescent="0.3">
      <c r="C930"/>
    </row>
    <row r="931" spans="3:3" x14ac:dyDescent="0.3">
      <c r="C931"/>
    </row>
    <row r="932" spans="3:3" x14ac:dyDescent="0.3">
      <c r="C932"/>
    </row>
    <row r="933" spans="3:3" x14ac:dyDescent="0.3">
      <c r="C933"/>
    </row>
    <row r="934" spans="3:3" x14ac:dyDescent="0.3">
      <c r="C934"/>
    </row>
    <row r="935" spans="3:3" x14ac:dyDescent="0.3">
      <c r="C935"/>
    </row>
    <row r="936" spans="3:3" x14ac:dyDescent="0.3">
      <c r="C936"/>
    </row>
    <row r="937" spans="3:3" x14ac:dyDescent="0.3">
      <c r="C937"/>
    </row>
    <row r="938" spans="3:3" x14ac:dyDescent="0.3">
      <c r="C938"/>
    </row>
    <row r="939" spans="3:3" x14ac:dyDescent="0.3">
      <c r="C939"/>
    </row>
    <row r="940" spans="3:3" x14ac:dyDescent="0.3">
      <c r="C940"/>
    </row>
    <row r="941" spans="3:3" x14ac:dyDescent="0.3">
      <c r="C941"/>
    </row>
    <row r="942" spans="3:3" x14ac:dyDescent="0.3">
      <c r="C942"/>
    </row>
    <row r="943" spans="3:3" x14ac:dyDescent="0.3">
      <c r="C943"/>
    </row>
    <row r="944" spans="3:3" x14ac:dyDescent="0.3">
      <c r="C944"/>
    </row>
    <row r="945" spans="3:3" x14ac:dyDescent="0.3">
      <c r="C945"/>
    </row>
    <row r="946" spans="3:3" x14ac:dyDescent="0.3">
      <c r="C946"/>
    </row>
    <row r="947" spans="3:3" x14ac:dyDescent="0.3">
      <c r="C947"/>
    </row>
    <row r="948" spans="3:3" x14ac:dyDescent="0.3">
      <c r="C948"/>
    </row>
    <row r="949" spans="3:3" x14ac:dyDescent="0.3">
      <c r="C949"/>
    </row>
    <row r="950" spans="3:3" x14ac:dyDescent="0.3">
      <c r="C950"/>
    </row>
    <row r="951" spans="3:3" x14ac:dyDescent="0.3">
      <c r="C951"/>
    </row>
    <row r="952" spans="3:3" x14ac:dyDescent="0.3">
      <c r="C952"/>
    </row>
    <row r="953" spans="3:3" x14ac:dyDescent="0.3">
      <c r="C953"/>
    </row>
    <row r="954" spans="3:3" x14ac:dyDescent="0.3">
      <c r="C954"/>
    </row>
    <row r="955" spans="3:3" x14ac:dyDescent="0.3">
      <c r="C955"/>
    </row>
    <row r="956" spans="3:3" x14ac:dyDescent="0.3">
      <c r="C956"/>
    </row>
    <row r="957" spans="3:3" x14ac:dyDescent="0.3">
      <c r="C957"/>
    </row>
    <row r="958" spans="3:3" x14ac:dyDescent="0.3">
      <c r="C958"/>
    </row>
    <row r="959" spans="3:3" x14ac:dyDescent="0.3">
      <c r="C959"/>
    </row>
    <row r="960" spans="3:3" x14ac:dyDescent="0.3">
      <c r="C960"/>
    </row>
    <row r="961" spans="3:3" x14ac:dyDescent="0.3">
      <c r="C961"/>
    </row>
    <row r="962" spans="3:3" x14ac:dyDescent="0.3">
      <c r="C962"/>
    </row>
    <row r="963" spans="3:3" x14ac:dyDescent="0.3">
      <c r="C963"/>
    </row>
    <row r="964" spans="3:3" x14ac:dyDescent="0.3">
      <c r="C964"/>
    </row>
    <row r="965" spans="3:3" x14ac:dyDescent="0.3">
      <c r="C965"/>
    </row>
    <row r="966" spans="3:3" x14ac:dyDescent="0.3">
      <c r="C966"/>
    </row>
    <row r="967" spans="3:3" x14ac:dyDescent="0.3">
      <c r="C967"/>
    </row>
    <row r="968" spans="3:3" x14ac:dyDescent="0.3">
      <c r="C968"/>
    </row>
    <row r="969" spans="3:3" x14ac:dyDescent="0.3">
      <c r="C969"/>
    </row>
    <row r="970" spans="3:3" x14ac:dyDescent="0.3">
      <c r="C970"/>
    </row>
    <row r="971" spans="3:3" x14ac:dyDescent="0.3">
      <c r="C971"/>
    </row>
    <row r="972" spans="3:3" x14ac:dyDescent="0.3">
      <c r="C972"/>
    </row>
    <row r="973" spans="3:3" x14ac:dyDescent="0.3">
      <c r="C973"/>
    </row>
    <row r="974" spans="3:3" x14ac:dyDescent="0.3">
      <c r="C974"/>
    </row>
    <row r="975" spans="3:3" x14ac:dyDescent="0.3">
      <c r="C975"/>
    </row>
    <row r="976" spans="3:3" x14ac:dyDescent="0.3">
      <c r="C976"/>
    </row>
    <row r="977" spans="3:3" x14ac:dyDescent="0.3">
      <c r="C977"/>
    </row>
    <row r="978" spans="3:3" x14ac:dyDescent="0.3">
      <c r="C978"/>
    </row>
    <row r="979" spans="3:3" x14ac:dyDescent="0.3">
      <c r="C979"/>
    </row>
    <row r="980" spans="3:3" x14ac:dyDescent="0.3">
      <c r="C980"/>
    </row>
    <row r="981" spans="3:3" x14ac:dyDescent="0.3">
      <c r="C981"/>
    </row>
    <row r="982" spans="3:3" x14ac:dyDescent="0.3">
      <c r="C982"/>
    </row>
    <row r="983" spans="3:3" x14ac:dyDescent="0.3">
      <c r="C983"/>
    </row>
    <row r="984" spans="3:3" x14ac:dyDescent="0.3">
      <c r="C984"/>
    </row>
    <row r="985" spans="3:3" x14ac:dyDescent="0.3">
      <c r="C985"/>
    </row>
    <row r="986" spans="3:3" x14ac:dyDescent="0.3">
      <c r="C986"/>
    </row>
    <row r="987" spans="3:3" x14ac:dyDescent="0.3">
      <c r="C987"/>
    </row>
    <row r="988" spans="3:3" x14ac:dyDescent="0.3">
      <c r="C988"/>
    </row>
    <row r="989" spans="3:3" x14ac:dyDescent="0.3">
      <c r="C989"/>
    </row>
    <row r="990" spans="3:3" x14ac:dyDescent="0.3">
      <c r="C990"/>
    </row>
    <row r="991" spans="3:3" x14ac:dyDescent="0.3">
      <c r="C991"/>
    </row>
    <row r="992" spans="3:3" x14ac:dyDescent="0.3">
      <c r="C992"/>
    </row>
    <row r="993" spans="3:3" x14ac:dyDescent="0.3">
      <c r="C993"/>
    </row>
    <row r="994" spans="3:3" x14ac:dyDescent="0.3">
      <c r="C994"/>
    </row>
    <row r="995" spans="3:3" x14ac:dyDescent="0.3">
      <c r="C995"/>
    </row>
    <row r="996" spans="3:3" x14ac:dyDescent="0.3">
      <c r="C996"/>
    </row>
    <row r="997" spans="3:3" x14ac:dyDescent="0.3">
      <c r="C997"/>
    </row>
    <row r="998" spans="3:3" x14ac:dyDescent="0.3">
      <c r="C998"/>
    </row>
    <row r="999" spans="3:3" x14ac:dyDescent="0.3">
      <c r="C999"/>
    </row>
    <row r="1000" spans="3:3" x14ac:dyDescent="0.3">
      <c r="C1000"/>
    </row>
    <row r="1001" spans="3:3" x14ac:dyDescent="0.3">
      <c r="C1001"/>
    </row>
    <row r="1002" spans="3:3" x14ac:dyDescent="0.3">
      <c r="C1002"/>
    </row>
    <row r="1003" spans="3:3" x14ac:dyDescent="0.3">
      <c r="C1003"/>
    </row>
    <row r="1004" spans="3:3" x14ac:dyDescent="0.3">
      <c r="C1004"/>
    </row>
    <row r="1005" spans="3:3" x14ac:dyDescent="0.3">
      <c r="C1005"/>
    </row>
    <row r="1006" spans="3:3" x14ac:dyDescent="0.3">
      <c r="C1006"/>
    </row>
    <row r="1007" spans="3:3" x14ac:dyDescent="0.3">
      <c r="C1007"/>
    </row>
    <row r="1008" spans="3:3" x14ac:dyDescent="0.3">
      <c r="C1008"/>
    </row>
    <row r="1009" spans="3:3" x14ac:dyDescent="0.3">
      <c r="C1009"/>
    </row>
    <row r="1010" spans="3:3" x14ac:dyDescent="0.3">
      <c r="C1010"/>
    </row>
    <row r="1011" spans="3:3" x14ac:dyDescent="0.3">
      <c r="C1011"/>
    </row>
    <row r="1012" spans="3:3" x14ac:dyDescent="0.3">
      <c r="C1012"/>
    </row>
    <row r="1013" spans="3:3" x14ac:dyDescent="0.3">
      <c r="C1013"/>
    </row>
    <row r="1014" spans="3:3" x14ac:dyDescent="0.3">
      <c r="C1014"/>
    </row>
    <row r="1015" spans="3:3" x14ac:dyDescent="0.3">
      <c r="C1015"/>
    </row>
    <row r="1016" spans="3:3" x14ac:dyDescent="0.3">
      <c r="C1016"/>
    </row>
    <row r="1017" spans="3:3" x14ac:dyDescent="0.3">
      <c r="C1017"/>
    </row>
    <row r="1018" spans="3:3" x14ac:dyDescent="0.3">
      <c r="C1018"/>
    </row>
    <row r="1019" spans="3:3" x14ac:dyDescent="0.3">
      <c r="C1019"/>
    </row>
    <row r="1020" spans="3:3" x14ac:dyDescent="0.3">
      <c r="C1020"/>
    </row>
    <row r="1021" spans="3:3" x14ac:dyDescent="0.3">
      <c r="C1021"/>
    </row>
    <row r="1022" spans="3:3" x14ac:dyDescent="0.3">
      <c r="C1022"/>
    </row>
    <row r="1023" spans="3:3" x14ac:dyDescent="0.3">
      <c r="C1023"/>
    </row>
    <row r="1024" spans="3:3" x14ac:dyDescent="0.3">
      <c r="C1024"/>
    </row>
    <row r="1025" spans="3:3" x14ac:dyDescent="0.3">
      <c r="C1025"/>
    </row>
    <row r="1026" spans="3:3" x14ac:dyDescent="0.3">
      <c r="C1026"/>
    </row>
    <row r="1027" spans="3:3" x14ac:dyDescent="0.3">
      <c r="C1027"/>
    </row>
    <row r="1028" spans="3:3" x14ac:dyDescent="0.3">
      <c r="C1028"/>
    </row>
    <row r="1029" spans="3:3" x14ac:dyDescent="0.3">
      <c r="C1029"/>
    </row>
    <row r="1030" spans="3:3" x14ac:dyDescent="0.3">
      <c r="C1030"/>
    </row>
    <row r="1031" spans="3:3" x14ac:dyDescent="0.3">
      <c r="C1031"/>
    </row>
    <row r="1032" spans="3:3" x14ac:dyDescent="0.3">
      <c r="C1032"/>
    </row>
    <row r="1033" spans="3:3" x14ac:dyDescent="0.3">
      <c r="C1033"/>
    </row>
    <row r="1034" spans="3:3" x14ac:dyDescent="0.3">
      <c r="C1034"/>
    </row>
    <row r="1035" spans="3:3" x14ac:dyDescent="0.3">
      <c r="C1035"/>
    </row>
    <row r="1036" spans="3:3" x14ac:dyDescent="0.3">
      <c r="C1036"/>
    </row>
    <row r="1037" spans="3:3" x14ac:dyDescent="0.3">
      <c r="C1037"/>
    </row>
    <row r="1038" spans="3:3" x14ac:dyDescent="0.3">
      <c r="C1038"/>
    </row>
    <row r="1039" spans="3:3" x14ac:dyDescent="0.3">
      <c r="C1039"/>
    </row>
    <row r="1040" spans="3:3" x14ac:dyDescent="0.3">
      <c r="C1040"/>
    </row>
    <row r="1041" spans="3:3" x14ac:dyDescent="0.3">
      <c r="C1041"/>
    </row>
    <row r="1042" spans="3:3" x14ac:dyDescent="0.3">
      <c r="C1042"/>
    </row>
    <row r="1043" spans="3:3" x14ac:dyDescent="0.3">
      <c r="C1043"/>
    </row>
    <row r="1044" spans="3:3" x14ac:dyDescent="0.3">
      <c r="C1044"/>
    </row>
    <row r="1045" spans="3:3" x14ac:dyDescent="0.3">
      <c r="C1045"/>
    </row>
    <row r="1046" spans="3:3" x14ac:dyDescent="0.3">
      <c r="C1046"/>
    </row>
    <row r="1047" spans="3:3" x14ac:dyDescent="0.3">
      <c r="C1047"/>
    </row>
    <row r="1048" spans="3:3" x14ac:dyDescent="0.3">
      <c r="C1048"/>
    </row>
    <row r="1049" spans="3:3" x14ac:dyDescent="0.3">
      <c r="C1049"/>
    </row>
    <row r="1050" spans="3:3" x14ac:dyDescent="0.3">
      <c r="C1050"/>
    </row>
    <row r="1051" spans="3:3" x14ac:dyDescent="0.3">
      <c r="C1051"/>
    </row>
    <row r="1052" spans="3:3" x14ac:dyDescent="0.3">
      <c r="C1052"/>
    </row>
    <row r="1053" spans="3:3" x14ac:dyDescent="0.3">
      <c r="C1053"/>
    </row>
    <row r="1054" spans="3:3" x14ac:dyDescent="0.3">
      <c r="C1054"/>
    </row>
    <row r="1055" spans="3:3" x14ac:dyDescent="0.3">
      <c r="C1055"/>
    </row>
    <row r="1056" spans="3:3" x14ac:dyDescent="0.3">
      <c r="C1056"/>
    </row>
    <row r="1057" spans="3:3" x14ac:dyDescent="0.3">
      <c r="C1057"/>
    </row>
    <row r="1058" spans="3:3" x14ac:dyDescent="0.3">
      <c r="C1058"/>
    </row>
    <row r="1059" spans="3:3" x14ac:dyDescent="0.3">
      <c r="C1059"/>
    </row>
    <row r="1060" spans="3:3" x14ac:dyDescent="0.3">
      <c r="C1060"/>
    </row>
    <row r="1061" spans="3:3" x14ac:dyDescent="0.3">
      <c r="C1061"/>
    </row>
    <row r="1062" spans="3:3" x14ac:dyDescent="0.3">
      <c r="C1062"/>
    </row>
    <row r="1063" spans="3:3" x14ac:dyDescent="0.3">
      <c r="C1063"/>
    </row>
    <row r="1064" spans="3:3" x14ac:dyDescent="0.3">
      <c r="C1064"/>
    </row>
    <row r="1065" spans="3:3" x14ac:dyDescent="0.3">
      <c r="C1065"/>
    </row>
    <row r="1066" spans="3:3" x14ac:dyDescent="0.3">
      <c r="C1066"/>
    </row>
    <row r="1067" spans="3:3" x14ac:dyDescent="0.3">
      <c r="C1067"/>
    </row>
    <row r="1068" spans="3:3" x14ac:dyDescent="0.3">
      <c r="C1068"/>
    </row>
    <row r="1069" spans="3:3" x14ac:dyDescent="0.3">
      <c r="C1069"/>
    </row>
    <row r="1070" spans="3:3" x14ac:dyDescent="0.3">
      <c r="C1070"/>
    </row>
    <row r="1071" spans="3:3" x14ac:dyDescent="0.3">
      <c r="C1071"/>
    </row>
    <row r="1072" spans="3:3" x14ac:dyDescent="0.3">
      <c r="C1072"/>
    </row>
    <row r="1073" spans="3:3" x14ac:dyDescent="0.3">
      <c r="C1073"/>
    </row>
    <row r="1074" spans="3:3" x14ac:dyDescent="0.3">
      <c r="C1074"/>
    </row>
    <row r="1075" spans="3:3" x14ac:dyDescent="0.3">
      <c r="C1075"/>
    </row>
    <row r="1076" spans="3:3" x14ac:dyDescent="0.3">
      <c r="C1076"/>
    </row>
    <row r="1077" spans="3:3" x14ac:dyDescent="0.3">
      <c r="C1077"/>
    </row>
    <row r="1078" spans="3:3" x14ac:dyDescent="0.3">
      <c r="C1078"/>
    </row>
    <row r="1079" spans="3:3" x14ac:dyDescent="0.3">
      <c r="C1079"/>
    </row>
    <row r="1080" spans="3:3" x14ac:dyDescent="0.3">
      <c r="C1080"/>
    </row>
    <row r="1081" spans="3:3" x14ac:dyDescent="0.3">
      <c r="C1081"/>
    </row>
    <row r="1082" spans="3:3" x14ac:dyDescent="0.3">
      <c r="C1082"/>
    </row>
    <row r="1083" spans="3:3" x14ac:dyDescent="0.3">
      <c r="C1083"/>
    </row>
    <row r="1084" spans="3:3" x14ac:dyDescent="0.3">
      <c r="C1084"/>
    </row>
    <row r="1085" spans="3:3" x14ac:dyDescent="0.3">
      <c r="C1085"/>
    </row>
    <row r="1086" spans="3:3" x14ac:dyDescent="0.3">
      <c r="C1086"/>
    </row>
    <row r="1087" spans="3:3" x14ac:dyDescent="0.3">
      <c r="C1087"/>
    </row>
    <row r="1088" spans="3:3" x14ac:dyDescent="0.3">
      <c r="C1088"/>
    </row>
    <row r="1089" spans="3:3" x14ac:dyDescent="0.3">
      <c r="C1089"/>
    </row>
    <row r="1090" spans="3:3" x14ac:dyDescent="0.3">
      <c r="C1090"/>
    </row>
    <row r="1091" spans="3:3" x14ac:dyDescent="0.3">
      <c r="C1091"/>
    </row>
    <row r="1092" spans="3:3" x14ac:dyDescent="0.3">
      <c r="C1092"/>
    </row>
    <row r="1093" spans="3:3" x14ac:dyDescent="0.3">
      <c r="C1093"/>
    </row>
    <row r="1094" spans="3:3" x14ac:dyDescent="0.3">
      <c r="C1094"/>
    </row>
    <row r="1095" spans="3:3" x14ac:dyDescent="0.3">
      <c r="C1095"/>
    </row>
    <row r="1096" spans="3:3" x14ac:dyDescent="0.3">
      <c r="C1096"/>
    </row>
    <row r="1097" spans="3:3" x14ac:dyDescent="0.3">
      <c r="C1097"/>
    </row>
    <row r="1098" spans="3:3" x14ac:dyDescent="0.3">
      <c r="C1098"/>
    </row>
    <row r="1099" spans="3:3" x14ac:dyDescent="0.3">
      <c r="C1099"/>
    </row>
    <row r="1100" spans="3:3" x14ac:dyDescent="0.3">
      <c r="C1100"/>
    </row>
    <row r="1101" spans="3:3" x14ac:dyDescent="0.3">
      <c r="C1101"/>
    </row>
    <row r="1102" spans="3:3" x14ac:dyDescent="0.3">
      <c r="C1102"/>
    </row>
    <row r="1103" spans="3:3" x14ac:dyDescent="0.3">
      <c r="C1103"/>
    </row>
    <row r="1104" spans="3:3" x14ac:dyDescent="0.3">
      <c r="C1104"/>
    </row>
    <row r="1105" spans="3:3" x14ac:dyDescent="0.3">
      <c r="C1105"/>
    </row>
    <row r="1106" spans="3:3" x14ac:dyDescent="0.3">
      <c r="C1106"/>
    </row>
    <row r="1107" spans="3:3" x14ac:dyDescent="0.3">
      <c r="C1107"/>
    </row>
    <row r="1108" spans="3:3" x14ac:dyDescent="0.3">
      <c r="C1108"/>
    </row>
    <row r="1109" spans="3:3" x14ac:dyDescent="0.3">
      <c r="C1109"/>
    </row>
    <row r="1110" spans="3:3" x14ac:dyDescent="0.3">
      <c r="C1110"/>
    </row>
    <row r="1111" spans="3:3" x14ac:dyDescent="0.3">
      <c r="C1111"/>
    </row>
    <row r="1112" spans="3:3" x14ac:dyDescent="0.3">
      <c r="C1112"/>
    </row>
    <row r="1113" spans="3:3" x14ac:dyDescent="0.3">
      <c r="C1113"/>
    </row>
    <row r="1114" spans="3:3" x14ac:dyDescent="0.3">
      <c r="C1114"/>
    </row>
    <row r="1115" spans="3:3" x14ac:dyDescent="0.3">
      <c r="C1115"/>
    </row>
    <row r="1116" spans="3:3" x14ac:dyDescent="0.3">
      <c r="C1116"/>
    </row>
    <row r="1117" spans="3:3" x14ac:dyDescent="0.3">
      <c r="C1117"/>
    </row>
    <row r="1118" spans="3:3" x14ac:dyDescent="0.3">
      <c r="C1118"/>
    </row>
    <row r="1119" spans="3:3" x14ac:dyDescent="0.3">
      <c r="C1119"/>
    </row>
    <row r="1120" spans="3:3" x14ac:dyDescent="0.3">
      <c r="C1120"/>
    </row>
    <row r="1121" spans="3:3" x14ac:dyDescent="0.3">
      <c r="C1121"/>
    </row>
    <row r="1122" spans="3:3" x14ac:dyDescent="0.3">
      <c r="C1122"/>
    </row>
    <row r="1123" spans="3:3" x14ac:dyDescent="0.3">
      <c r="C1123"/>
    </row>
    <row r="1124" spans="3:3" x14ac:dyDescent="0.3">
      <c r="C1124"/>
    </row>
    <row r="1125" spans="3:3" x14ac:dyDescent="0.3">
      <c r="C1125"/>
    </row>
    <row r="1126" spans="3:3" x14ac:dyDescent="0.3">
      <c r="C1126"/>
    </row>
    <row r="1127" spans="3:3" x14ac:dyDescent="0.3">
      <c r="C1127"/>
    </row>
    <row r="1128" spans="3:3" x14ac:dyDescent="0.3">
      <c r="C1128"/>
    </row>
    <row r="1129" spans="3:3" x14ac:dyDescent="0.3">
      <c r="C1129"/>
    </row>
    <row r="1130" spans="3:3" x14ac:dyDescent="0.3">
      <c r="C1130"/>
    </row>
    <row r="1131" spans="3:3" x14ac:dyDescent="0.3">
      <c r="C1131"/>
    </row>
    <row r="1132" spans="3:3" x14ac:dyDescent="0.3">
      <c r="C1132"/>
    </row>
    <row r="1133" spans="3:3" x14ac:dyDescent="0.3">
      <c r="C1133"/>
    </row>
    <row r="1134" spans="3:3" x14ac:dyDescent="0.3">
      <c r="C1134"/>
    </row>
    <row r="1135" spans="3:3" x14ac:dyDescent="0.3">
      <c r="C1135"/>
    </row>
    <row r="1136" spans="3:3" x14ac:dyDescent="0.3">
      <c r="C1136"/>
    </row>
    <row r="1137" spans="3:3" x14ac:dyDescent="0.3">
      <c r="C1137"/>
    </row>
    <row r="1138" spans="3:3" x14ac:dyDescent="0.3">
      <c r="C1138"/>
    </row>
    <row r="1139" spans="3:3" x14ac:dyDescent="0.3">
      <c r="C1139"/>
    </row>
    <row r="1140" spans="3:3" x14ac:dyDescent="0.3">
      <c r="C1140"/>
    </row>
    <row r="1141" spans="3:3" x14ac:dyDescent="0.3">
      <c r="C1141"/>
    </row>
    <row r="1142" spans="3:3" x14ac:dyDescent="0.3">
      <c r="C1142"/>
    </row>
    <row r="1143" spans="3:3" x14ac:dyDescent="0.3">
      <c r="C1143"/>
    </row>
    <row r="1144" spans="3:3" x14ac:dyDescent="0.3">
      <c r="C1144"/>
    </row>
    <row r="1145" spans="3:3" x14ac:dyDescent="0.3">
      <c r="C1145"/>
    </row>
    <row r="1146" spans="3:3" x14ac:dyDescent="0.3">
      <c r="C1146"/>
    </row>
    <row r="1147" spans="3:3" x14ac:dyDescent="0.3">
      <c r="C1147"/>
    </row>
    <row r="1148" spans="3:3" x14ac:dyDescent="0.3">
      <c r="C1148"/>
    </row>
    <row r="1149" spans="3:3" x14ac:dyDescent="0.3">
      <c r="C1149"/>
    </row>
    <row r="1150" spans="3:3" x14ac:dyDescent="0.3">
      <c r="C1150"/>
    </row>
    <row r="1151" spans="3:3" x14ac:dyDescent="0.3">
      <c r="C1151"/>
    </row>
    <row r="1152" spans="3:3" x14ac:dyDescent="0.3">
      <c r="C1152"/>
    </row>
    <row r="1153" spans="3:3" x14ac:dyDescent="0.3">
      <c r="C1153"/>
    </row>
    <row r="1154" spans="3:3" x14ac:dyDescent="0.3">
      <c r="C1154"/>
    </row>
    <row r="1155" spans="3:3" x14ac:dyDescent="0.3">
      <c r="C1155"/>
    </row>
    <row r="1156" spans="3:3" x14ac:dyDescent="0.3">
      <c r="C1156"/>
    </row>
    <row r="1157" spans="3:3" x14ac:dyDescent="0.3">
      <c r="C1157"/>
    </row>
    <row r="1158" spans="3:3" x14ac:dyDescent="0.3">
      <c r="C1158"/>
    </row>
    <row r="1159" spans="3:3" x14ac:dyDescent="0.3">
      <c r="C1159"/>
    </row>
    <row r="1160" spans="3:3" x14ac:dyDescent="0.3">
      <c r="C1160"/>
    </row>
    <row r="1161" spans="3:3" x14ac:dyDescent="0.3">
      <c r="C1161"/>
    </row>
    <row r="1162" spans="3:3" x14ac:dyDescent="0.3">
      <c r="C1162"/>
    </row>
    <row r="1163" spans="3:3" x14ac:dyDescent="0.3">
      <c r="C1163"/>
    </row>
    <row r="1164" spans="3:3" x14ac:dyDescent="0.3">
      <c r="C1164"/>
    </row>
    <row r="1165" spans="3:3" x14ac:dyDescent="0.3">
      <c r="C1165"/>
    </row>
    <row r="1166" spans="3:3" x14ac:dyDescent="0.3">
      <c r="C1166"/>
    </row>
    <row r="1167" spans="3:3" x14ac:dyDescent="0.3">
      <c r="C1167"/>
    </row>
    <row r="1168" spans="3:3" x14ac:dyDescent="0.3">
      <c r="C1168"/>
    </row>
    <row r="1169" spans="3:3" x14ac:dyDescent="0.3">
      <c r="C1169"/>
    </row>
    <row r="1170" spans="3:3" x14ac:dyDescent="0.3">
      <c r="C1170"/>
    </row>
    <row r="1171" spans="3:3" x14ac:dyDescent="0.3">
      <c r="C1171"/>
    </row>
    <row r="1172" spans="3:3" x14ac:dyDescent="0.3">
      <c r="C1172"/>
    </row>
    <row r="1173" spans="3:3" x14ac:dyDescent="0.3">
      <c r="C1173"/>
    </row>
    <row r="1174" spans="3:3" x14ac:dyDescent="0.3">
      <c r="C1174"/>
    </row>
    <row r="1175" spans="3:3" x14ac:dyDescent="0.3">
      <c r="C1175"/>
    </row>
    <row r="1176" spans="3:3" x14ac:dyDescent="0.3">
      <c r="C1176"/>
    </row>
    <row r="1177" spans="3:3" x14ac:dyDescent="0.3">
      <c r="C1177"/>
    </row>
    <row r="1178" spans="3:3" x14ac:dyDescent="0.3">
      <c r="C1178"/>
    </row>
    <row r="1179" spans="3:3" x14ac:dyDescent="0.3">
      <c r="C1179"/>
    </row>
    <row r="1180" spans="3:3" x14ac:dyDescent="0.3">
      <c r="C1180"/>
    </row>
    <row r="1181" spans="3:3" x14ac:dyDescent="0.3">
      <c r="C1181"/>
    </row>
    <row r="1182" spans="3:3" x14ac:dyDescent="0.3">
      <c r="C1182"/>
    </row>
    <row r="1183" spans="3:3" x14ac:dyDescent="0.3">
      <c r="C1183"/>
    </row>
    <row r="1184" spans="3:3" x14ac:dyDescent="0.3">
      <c r="C1184"/>
    </row>
    <row r="1185" spans="3:3" x14ac:dyDescent="0.3">
      <c r="C1185"/>
    </row>
    <row r="1186" spans="3:3" x14ac:dyDescent="0.3">
      <c r="C1186"/>
    </row>
    <row r="1187" spans="3:3" x14ac:dyDescent="0.3">
      <c r="C1187"/>
    </row>
    <row r="1188" spans="3:3" x14ac:dyDescent="0.3">
      <c r="C1188"/>
    </row>
    <row r="1189" spans="3:3" x14ac:dyDescent="0.3">
      <c r="C1189"/>
    </row>
    <row r="1190" spans="3:3" x14ac:dyDescent="0.3">
      <c r="C1190"/>
    </row>
    <row r="1191" spans="3:3" x14ac:dyDescent="0.3">
      <c r="C1191"/>
    </row>
    <row r="1192" spans="3:3" x14ac:dyDescent="0.3">
      <c r="C1192"/>
    </row>
    <row r="1193" spans="3:3" x14ac:dyDescent="0.3">
      <c r="C1193"/>
    </row>
    <row r="1194" spans="3:3" x14ac:dyDescent="0.3">
      <c r="C1194"/>
    </row>
    <row r="1195" spans="3:3" x14ac:dyDescent="0.3">
      <c r="C1195"/>
    </row>
    <row r="1196" spans="3:3" x14ac:dyDescent="0.3">
      <c r="C1196"/>
    </row>
    <row r="1197" spans="3:3" x14ac:dyDescent="0.3">
      <c r="C1197"/>
    </row>
    <row r="1198" spans="3:3" x14ac:dyDescent="0.3">
      <c r="C1198"/>
    </row>
    <row r="1199" spans="3:3" x14ac:dyDescent="0.3">
      <c r="C1199"/>
    </row>
    <row r="1200" spans="3:3" x14ac:dyDescent="0.3">
      <c r="C1200"/>
    </row>
    <row r="1201" spans="3:3" x14ac:dyDescent="0.3">
      <c r="C1201"/>
    </row>
    <row r="1202" spans="3:3" x14ac:dyDescent="0.3">
      <c r="C1202"/>
    </row>
    <row r="1203" spans="3:3" x14ac:dyDescent="0.3">
      <c r="C1203"/>
    </row>
    <row r="1204" spans="3:3" x14ac:dyDescent="0.3">
      <c r="C1204"/>
    </row>
    <row r="1205" spans="3:3" x14ac:dyDescent="0.3">
      <c r="C1205"/>
    </row>
    <row r="1206" spans="3:3" x14ac:dyDescent="0.3">
      <c r="C1206"/>
    </row>
    <row r="1207" spans="3:3" x14ac:dyDescent="0.3">
      <c r="C1207"/>
    </row>
    <row r="1208" spans="3:3" x14ac:dyDescent="0.3">
      <c r="C1208"/>
    </row>
    <row r="1209" spans="3:3" x14ac:dyDescent="0.3">
      <c r="C1209"/>
    </row>
    <row r="1210" spans="3:3" x14ac:dyDescent="0.3">
      <c r="C1210"/>
    </row>
    <row r="1211" spans="3:3" x14ac:dyDescent="0.3">
      <c r="C1211"/>
    </row>
    <row r="1212" spans="3:3" x14ac:dyDescent="0.3">
      <c r="C1212"/>
    </row>
    <row r="1213" spans="3:3" x14ac:dyDescent="0.3">
      <c r="C1213"/>
    </row>
    <row r="1214" spans="3:3" x14ac:dyDescent="0.3">
      <c r="C1214"/>
    </row>
    <row r="1215" spans="3:3" x14ac:dyDescent="0.3">
      <c r="C1215"/>
    </row>
    <row r="1216" spans="3:3" x14ac:dyDescent="0.3">
      <c r="C1216"/>
    </row>
    <row r="1217" spans="3:3" x14ac:dyDescent="0.3">
      <c r="C1217"/>
    </row>
    <row r="1218" spans="3:3" x14ac:dyDescent="0.3">
      <c r="C1218"/>
    </row>
    <row r="1219" spans="3:3" x14ac:dyDescent="0.3">
      <c r="C1219"/>
    </row>
    <row r="1220" spans="3:3" x14ac:dyDescent="0.3">
      <c r="C1220"/>
    </row>
    <row r="1221" spans="3:3" x14ac:dyDescent="0.3">
      <c r="C1221"/>
    </row>
    <row r="1222" spans="3:3" x14ac:dyDescent="0.3">
      <c r="C1222"/>
    </row>
    <row r="1223" spans="3:3" x14ac:dyDescent="0.3">
      <c r="C1223"/>
    </row>
    <row r="1224" spans="3:3" x14ac:dyDescent="0.3">
      <c r="C1224"/>
    </row>
    <row r="1225" spans="3:3" x14ac:dyDescent="0.3">
      <c r="C1225"/>
    </row>
    <row r="1226" spans="3:3" x14ac:dyDescent="0.3">
      <c r="C1226"/>
    </row>
    <row r="1227" spans="3:3" x14ac:dyDescent="0.3">
      <c r="C1227"/>
    </row>
    <row r="1228" spans="3:3" x14ac:dyDescent="0.3">
      <c r="C1228"/>
    </row>
    <row r="1229" spans="3:3" x14ac:dyDescent="0.3">
      <c r="C1229"/>
    </row>
    <row r="1230" spans="3:3" x14ac:dyDescent="0.3">
      <c r="C1230"/>
    </row>
    <row r="1231" spans="3:3" x14ac:dyDescent="0.3">
      <c r="C1231"/>
    </row>
    <row r="1232" spans="3:3" x14ac:dyDescent="0.3">
      <c r="C1232"/>
    </row>
    <row r="1233" spans="3:3" x14ac:dyDescent="0.3">
      <c r="C1233"/>
    </row>
    <row r="1234" spans="3:3" x14ac:dyDescent="0.3">
      <c r="C1234"/>
    </row>
    <row r="1235" spans="3:3" x14ac:dyDescent="0.3">
      <c r="C1235"/>
    </row>
    <row r="1236" spans="3:3" x14ac:dyDescent="0.3">
      <c r="C1236"/>
    </row>
    <row r="1237" spans="3:3" x14ac:dyDescent="0.3">
      <c r="C1237"/>
    </row>
    <row r="1238" spans="3:3" x14ac:dyDescent="0.3">
      <c r="C1238"/>
    </row>
    <row r="1239" spans="3:3" x14ac:dyDescent="0.3">
      <c r="C1239"/>
    </row>
    <row r="1240" spans="3:3" x14ac:dyDescent="0.3">
      <c r="C1240"/>
    </row>
    <row r="1241" spans="3:3" x14ac:dyDescent="0.3">
      <c r="C1241"/>
    </row>
    <row r="1242" spans="3:3" x14ac:dyDescent="0.3">
      <c r="C1242"/>
    </row>
    <row r="1243" spans="3:3" x14ac:dyDescent="0.3">
      <c r="C1243"/>
    </row>
    <row r="1244" spans="3:3" x14ac:dyDescent="0.3">
      <c r="C1244"/>
    </row>
    <row r="1245" spans="3:3" x14ac:dyDescent="0.3">
      <c r="C1245"/>
    </row>
    <row r="1246" spans="3:3" x14ac:dyDescent="0.3">
      <c r="C1246"/>
    </row>
    <row r="1247" spans="3:3" x14ac:dyDescent="0.3">
      <c r="C1247"/>
    </row>
    <row r="1248" spans="3:3" x14ac:dyDescent="0.3">
      <c r="C1248"/>
    </row>
    <row r="1249" spans="3:3" x14ac:dyDescent="0.3">
      <c r="C1249"/>
    </row>
    <row r="1250" spans="3:3" x14ac:dyDescent="0.3">
      <c r="C1250"/>
    </row>
    <row r="1251" spans="3:3" x14ac:dyDescent="0.3">
      <c r="C1251"/>
    </row>
    <row r="1252" spans="3:3" x14ac:dyDescent="0.3">
      <c r="C1252"/>
    </row>
    <row r="1253" spans="3:3" x14ac:dyDescent="0.3">
      <c r="C1253"/>
    </row>
    <row r="1254" spans="3:3" x14ac:dyDescent="0.3">
      <c r="C1254"/>
    </row>
    <row r="1255" spans="3:3" x14ac:dyDescent="0.3">
      <c r="C1255"/>
    </row>
    <row r="1256" spans="3:3" x14ac:dyDescent="0.3">
      <c r="C1256"/>
    </row>
    <row r="1257" spans="3:3" x14ac:dyDescent="0.3">
      <c r="C1257"/>
    </row>
    <row r="1258" spans="3:3" x14ac:dyDescent="0.3">
      <c r="C1258"/>
    </row>
    <row r="1259" spans="3:3" x14ac:dyDescent="0.3">
      <c r="C1259"/>
    </row>
    <row r="1260" spans="3:3" x14ac:dyDescent="0.3">
      <c r="C1260"/>
    </row>
    <row r="1261" spans="3:3" x14ac:dyDescent="0.3">
      <c r="C1261"/>
    </row>
    <row r="1262" spans="3:3" x14ac:dyDescent="0.3">
      <c r="C1262"/>
    </row>
    <row r="1263" spans="3:3" x14ac:dyDescent="0.3">
      <c r="C1263"/>
    </row>
    <row r="1264" spans="3:3" x14ac:dyDescent="0.3">
      <c r="C1264"/>
    </row>
    <row r="1265" spans="3:3" x14ac:dyDescent="0.3">
      <c r="C1265"/>
    </row>
    <row r="1266" spans="3:3" x14ac:dyDescent="0.3">
      <c r="C1266"/>
    </row>
    <row r="1267" spans="3:3" x14ac:dyDescent="0.3">
      <c r="C1267"/>
    </row>
    <row r="1268" spans="3:3" x14ac:dyDescent="0.3">
      <c r="C1268"/>
    </row>
    <row r="1269" spans="3:3" x14ac:dyDescent="0.3">
      <c r="C1269"/>
    </row>
    <row r="1270" spans="3:3" x14ac:dyDescent="0.3">
      <c r="C1270"/>
    </row>
    <row r="1271" spans="3:3" x14ac:dyDescent="0.3">
      <c r="C1271"/>
    </row>
    <row r="1272" spans="3:3" x14ac:dyDescent="0.3">
      <c r="C1272"/>
    </row>
    <row r="1273" spans="3:3" x14ac:dyDescent="0.3">
      <c r="C1273"/>
    </row>
    <row r="1274" spans="3:3" x14ac:dyDescent="0.3">
      <c r="C1274"/>
    </row>
    <row r="1275" spans="3:3" x14ac:dyDescent="0.3">
      <c r="C1275"/>
    </row>
    <row r="1276" spans="3:3" x14ac:dyDescent="0.3">
      <c r="C1276"/>
    </row>
    <row r="1277" spans="3:3" x14ac:dyDescent="0.3">
      <c r="C1277"/>
    </row>
    <row r="1278" spans="3:3" x14ac:dyDescent="0.3">
      <c r="C1278"/>
    </row>
    <row r="1279" spans="3:3" x14ac:dyDescent="0.3">
      <c r="C1279"/>
    </row>
    <row r="1280" spans="3:3" x14ac:dyDescent="0.3">
      <c r="C1280"/>
    </row>
    <row r="1281" spans="3:3" x14ac:dyDescent="0.3">
      <c r="C1281"/>
    </row>
    <row r="1282" spans="3:3" x14ac:dyDescent="0.3">
      <c r="C1282"/>
    </row>
    <row r="1283" spans="3:3" x14ac:dyDescent="0.3">
      <c r="C1283"/>
    </row>
    <row r="1284" spans="3:3" x14ac:dyDescent="0.3">
      <c r="C1284"/>
    </row>
    <row r="1285" spans="3:3" x14ac:dyDescent="0.3">
      <c r="C1285"/>
    </row>
    <row r="1286" spans="3:3" x14ac:dyDescent="0.3">
      <c r="C1286"/>
    </row>
    <row r="1287" spans="3:3" x14ac:dyDescent="0.3">
      <c r="C1287"/>
    </row>
    <row r="1288" spans="3:3" x14ac:dyDescent="0.3">
      <c r="C1288"/>
    </row>
    <row r="1289" spans="3:3" x14ac:dyDescent="0.3">
      <c r="C1289"/>
    </row>
    <row r="1290" spans="3:3" x14ac:dyDescent="0.3">
      <c r="C1290"/>
    </row>
    <row r="1291" spans="3:3" x14ac:dyDescent="0.3">
      <c r="C1291"/>
    </row>
    <row r="1292" spans="3:3" x14ac:dyDescent="0.3">
      <c r="C1292"/>
    </row>
    <row r="1293" spans="3:3" x14ac:dyDescent="0.3">
      <c r="C1293"/>
    </row>
    <row r="1294" spans="3:3" x14ac:dyDescent="0.3">
      <c r="C1294"/>
    </row>
    <row r="1295" spans="3:3" x14ac:dyDescent="0.3">
      <c r="C1295"/>
    </row>
    <row r="1296" spans="3:3" x14ac:dyDescent="0.3">
      <c r="C1296"/>
    </row>
    <row r="1297" spans="3:3" x14ac:dyDescent="0.3">
      <c r="C1297"/>
    </row>
    <row r="1298" spans="3:3" x14ac:dyDescent="0.3">
      <c r="C1298"/>
    </row>
    <row r="1299" spans="3:3" x14ac:dyDescent="0.3">
      <c r="C1299"/>
    </row>
    <row r="1300" spans="3:3" x14ac:dyDescent="0.3">
      <c r="C1300"/>
    </row>
    <row r="1301" spans="3:3" x14ac:dyDescent="0.3">
      <c r="C1301"/>
    </row>
    <row r="1302" spans="3:3" x14ac:dyDescent="0.3">
      <c r="C1302"/>
    </row>
    <row r="1303" spans="3:3" x14ac:dyDescent="0.3">
      <c r="C1303"/>
    </row>
    <row r="1304" spans="3:3" x14ac:dyDescent="0.3">
      <c r="C1304"/>
    </row>
    <row r="1305" spans="3:3" x14ac:dyDescent="0.3">
      <c r="C1305"/>
    </row>
    <row r="1306" spans="3:3" x14ac:dyDescent="0.3">
      <c r="C1306"/>
    </row>
    <row r="1307" spans="3:3" x14ac:dyDescent="0.3">
      <c r="C1307"/>
    </row>
    <row r="1308" spans="3:3" x14ac:dyDescent="0.3">
      <c r="C1308"/>
    </row>
    <row r="1309" spans="3:3" x14ac:dyDescent="0.3">
      <c r="C1309"/>
    </row>
    <row r="1310" spans="3:3" x14ac:dyDescent="0.3">
      <c r="C1310"/>
    </row>
    <row r="1311" spans="3:3" x14ac:dyDescent="0.3">
      <c r="C1311"/>
    </row>
    <row r="1312" spans="3:3" x14ac:dyDescent="0.3">
      <c r="C1312"/>
    </row>
    <row r="1313" spans="3:3" x14ac:dyDescent="0.3">
      <c r="C1313"/>
    </row>
    <row r="1314" spans="3:3" x14ac:dyDescent="0.3">
      <c r="C1314"/>
    </row>
    <row r="1315" spans="3:3" x14ac:dyDescent="0.3">
      <c r="C1315"/>
    </row>
    <row r="1316" spans="3:3" x14ac:dyDescent="0.3">
      <c r="C1316"/>
    </row>
    <row r="1317" spans="3:3" x14ac:dyDescent="0.3">
      <c r="C1317"/>
    </row>
    <row r="1318" spans="3:3" x14ac:dyDescent="0.3">
      <c r="C1318"/>
    </row>
    <row r="1319" spans="3:3" x14ac:dyDescent="0.3">
      <c r="C1319"/>
    </row>
    <row r="1320" spans="3:3" x14ac:dyDescent="0.3">
      <c r="C1320"/>
    </row>
    <row r="1321" spans="3:3" x14ac:dyDescent="0.3">
      <c r="C1321"/>
    </row>
    <row r="1322" spans="3:3" x14ac:dyDescent="0.3">
      <c r="C1322"/>
    </row>
    <row r="1323" spans="3:3" x14ac:dyDescent="0.3">
      <c r="C1323"/>
    </row>
    <row r="1324" spans="3:3" x14ac:dyDescent="0.3">
      <c r="C1324"/>
    </row>
    <row r="1325" spans="3:3" x14ac:dyDescent="0.3">
      <c r="C1325"/>
    </row>
    <row r="1326" spans="3:3" x14ac:dyDescent="0.3">
      <c r="C1326"/>
    </row>
    <row r="1327" spans="3:3" x14ac:dyDescent="0.3">
      <c r="C1327"/>
    </row>
    <row r="1328" spans="3:3" x14ac:dyDescent="0.3">
      <c r="C1328"/>
    </row>
    <row r="1329" spans="3:3" x14ac:dyDescent="0.3">
      <c r="C1329"/>
    </row>
    <row r="1330" spans="3:3" x14ac:dyDescent="0.3">
      <c r="C1330"/>
    </row>
    <row r="1331" spans="3:3" x14ac:dyDescent="0.3">
      <c r="C1331"/>
    </row>
    <row r="1332" spans="3:3" x14ac:dyDescent="0.3">
      <c r="C1332"/>
    </row>
    <row r="1333" spans="3:3" x14ac:dyDescent="0.3">
      <c r="C1333"/>
    </row>
    <row r="1334" spans="3:3" x14ac:dyDescent="0.3">
      <c r="C1334"/>
    </row>
    <row r="1335" spans="3:3" x14ac:dyDescent="0.3">
      <c r="C1335"/>
    </row>
    <row r="1336" spans="3:3" x14ac:dyDescent="0.3">
      <c r="C1336"/>
    </row>
    <row r="1337" spans="3:3" x14ac:dyDescent="0.3">
      <c r="C1337"/>
    </row>
    <row r="1338" spans="3:3" x14ac:dyDescent="0.3">
      <c r="C1338"/>
    </row>
    <row r="1339" spans="3:3" x14ac:dyDescent="0.3">
      <c r="C1339"/>
    </row>
    <row r="1340" spans="3:3" x14ac:dyDescent="0.3">
      <c r="C1340"/>
    </row>
    <row r="1341" spans="3:3" x14ac:dyDescent="0.3">
      <c r="C1341"/>
    </row>
    <row r="1342" spans="3:3" x14ac:dyDescent="0.3">
      <c r="C1342"/>
    </row>
    <row r="1343" spans="3:3" x14ac:dyDescent="0.3">
      <c r="C1343"/>
    </row>
    <row r="1344" spans="3:3" x14ac:dyDescent="0.3">
      <c r="C1344"/>
    </row>
    <row r="1345" spans="3:3" x14ac:dyDescent="0.3">
      <c r="C1345"/>
    </row>
    <row r="1346" spans="3:3" x14ac:dyDescent="0.3">
      <c r="C1346"/>
    </row>
    <row r="1347" spans="3:3" x14ac:dyDescent="0.3">
      <c r="C1347"/>
    </row>
    <row r="1348" spans="3:3" x14ac:dyDescent="0.3">
      <c r="C1348"/>
    </row>
    <row r="1349" spans="3:3" x14ac:dyDescent="0.3">
      <c r="C1349"/>
    </row>
    <row r="1350" spans="3:3" x14ac:dyDescent="0.3">
      <c r="C1350"/>
    </row>
    <row r="1351" spans="3:3" x14ac:dyDescent="0.3">
      <c r="C1351"/>
    </row>
    <row r="1352" spans="3:3" x14ac:dyDescent="0.3">
      <c r="C1352"/>
    </row>
    <row r="1353" spans="3:3" x14ac:dyDescent="0.3">
      <c r="C1353"/>
    </row>
    <row r="1354" spans="3:3" x14ac:dyDescent="0.3">
      <c r="C1354"/>
    </row>
    <row r="1355" spans="3:3" x14ac:dyDescent="0.3">
      <c r="C1355"/>
    </row>
    <row r="1356" spans="3:3" x14ac:dyDescent="0.3">
      <c r="C1356"/>
    </row>
    <row r="1357" spans="3:3" x14ac:dyDescent="0.3">
      <c r="C1357"/>
    </row>
    <row r="1358" spans="3:3" x14ac:dyDescent="0.3">
      <c r="C1358"/>
    </row>
    <row r="1359" spans="3:3" x14ac:dyDescent="0.3">
      <c r="C1359"/>
    </row>
    <row r="1360" spans="3:3" x14ac:dyDescent="0.3">
      <c r="C1360"/>
    </row>
    <row r="1361" spans="3:3" x14ac:dyDescent="0.3">
      <c r="C1361"/>
    </row>
    <row r="1362" spans="3:3" x14ac:dyDescent="0.3">
      <c r="C1362"/>
    </row>
    <row r="1363" spans="3:3" x14ac:dyDescent="0.3">
      <c r="C1363"/>
    </row>
    <row r="1364" spans="3:3" x14ac:dyDescent="0.3">
      <c r="C1364"/>
    </row>
    <row r="1365" spans="3:3" x14ac:dyDescent="0.3">
      <c r="C1365"/>
    </row>
    <row r="1366" spans="3:3" x14ac:dyDescent="0.3">
      <c r="C1366"/>
    </row>
    <row r="1367" spans="3:3" x14ac:dyDescent="0.3">
      <c r="C1367"/>
    </row>
    <row r="1368" spans="3:3" x14ac:dyDescent="0.3">
      <c r="C1368"/>
    </row>
    <row r="1369" spans="3:3" x14ac:dyDescent="0.3">
      <c r="C1369"/>
    </row>
    <row r="1370" spans="3:3" x14ac:dyDescent="0.3">
      <c r="C1370"/>
    </row>
    <row r="1371" spans="3:3" x14ac:dyDescent="0.3">
      <c r="C1371"/>
    </row>
    <row r="1372" spans="3:3" x14ac:dyDescent="0.3">
      <c r="C1372"/>
    </row>
    <row r="1373" spans="3:3" x14ac:dyDescent="0.3">
      <c r="C1373"/>
    </row>
    <row r="1374" spans="3:3" x14ac:dyDescent="0.3">
      <c r="C1374"/>
    </row>
    <row r="1375" spans="3:3" x14ac:dyDescent="0.3">
      <c r="C1375"/>
    </row>
    <row r="1376" spans="3:3" x14ac:dyDescent="0.3">
      <c r="C1376"/>
    </row>
    <row r="1377" spans="3:3" x14ac:dyDescent="0.3">
      <c r="C1377"/>
    </row>
    <row r="1378" spans="3:3" x14ac:dyDescent="0.3">
      <c r="C1378"/>
    </row>
    <row r="1379" spans="3:3" x14ac:dyDescent="0.3">
      <c r="C1379"/>
    </row>
    <row r="1380" spans="3:3" x14ac:dyDescent="0.3">
      <c r="C1380"/>
    </row>
    <row r="1381" spans="3:3" x14ac:dyDescent="0.3">
      <c r="C1381"/>
    </row>
    <row r="1382" spans="3:3" x14ac:dyDescent="0.3">
      <c r="C1382"/>
    </row>
    <row r="1383" spans="3:3" x14ac:dyDescent="0.3">
      <c r="C1383"/>
    </row>
    <row r="1384" spans="3:3" x14ac:dyDescent="0.3">
      <c r="C1384"/>
    </row>
    <row r="1385" spans="3:3" x14ac:dyDescent="0.3">
      <c r="C1385"/>
    </row>
    <row r="1386" spans="3:3" x14ac:dyDescent="0.3">
      <c r="C1386"/>
    </row>
    <row r="1387" spans="3:3" x14ac:dyDescent="0.3">
      <c r="C1387"/>
    </row>
    <row r="1388" spans="3:3" x14ac:dyDescent="0.3">
      <c r="C1388"/>
    </row>
    <row r="1389" spans="3:3" x14ac:dyDescent="0.3">
      <c r="C1389"/>
    </row>
    <row r="1390" spans="3:3" x14ac:dyDescent="0.3">
      <c r="C1390"/>
    </row>
    <row r="1391" spans="3:3" x14ac:dyDescent="0.3">
      <c r="C1391"/>
    </row>
    <row r="1392" spans="3:3" x14ac:dyDescent="0.3">
      <c r="C1392"/>
    </row>
    <row r="1393" spans="3:3" x14ac:dyDescent="0.3">
      <c r="C1393"/>
    </row>
    <row r="1394" spans="3:3" x14ac:dyDescent="0.3">
      <c r="C1394"/>
    </row>
    <row r="1395" spans="3:3" x14ac:dyDescent="0.3">
      <c r="C1395"/>
    </row>
    <row r="1396" spans="3:3" x14ac:dyDescent="0.3">
      <c r="C1396"/>
    </row>
    <row r="1397" spans="3:3" x14ac:dyDescent="0.3">
      <c r="C1397"/>
    </row>
    <row r="1398" spans="3:3" x14ac:dyDescent="0.3">
      <c r="C1398"/>
    </row>
    <row r="1399" spans="3:3" x14ac:dyDescent="0.3">
      <c r="C1399"/>
    </row>
    <row r="1400" spans="3:3" x14ac:dyDescent="0.3">
      <c r="C1400"/>
    </row>
    <row r="1401" spans="3:3" x14ac:dyDescent="0.3">
      <c r="C1401"/>
    </row>
    <row r="1402" spans="3:3" x14ac:dyDescent="0.3">
      <c r="C1402"/>
    </row>
    <row r="1403" spans="3:3" x14ac:dyDescent="0.3">
      <c r="C1403"/>
    </row>
    <row r="1404" spans="3:3" x14ac:dyDescent="0.3">
      <c r="C1404"/>
    </row>
    <row r="1405" spans="3:3" x14ac:dyDescent="0.3">
      <c r="C1405"/>
    </row>
    <row r="1406" spans="3:3" x14ac:dyDescent="0.3">
      <c r="C1406"/>
    </row>
    <row r="1407" spans="3:3" x14ac:dyDescent="0.3">
      <c r="C1407"/>
    </row>
    <row r="1408" spans="3:3" x14ac:dyDescent="0.3">
      <c r="C1408"/>
    </row>
    <row r="1409" spans="3:3" x14ac:dyDescent="0.3">
      <c r="C1409"/>
    </row>
    <row r="1410" spans="3:3" x14ac:dyDescent="0.3">
      <c r="C1410"/>
    </row>
    <row r="1411" spans="3:3" x14ac:dyDescent="0.3">
      <c r="C1411"/>
    </row>
    <row r="1412" spans="3:3" x14ac:dyDescent="0.3">
      <c r="C1412"/>
    </row>
    <row r="1413" spans="3:3" x14ac:dyDescent="0.3">
      <c r="C1413"/>
    </row>
    <row r="1414" spans="3:3" x14ac:dyDescent="0.3">
      <c r="C1414"/>
    </row>
    <row r="1415" spans="3:3" x14ac:dyDescent="0.3">
      <c r="C1415"/>
    </row>
    <row r="1416" spans="3:3" x14ac:dyDescent="0.3">
      <c r="C1416"/>
    </row>
    <row r="1417" spans="3:3" x14ac:dyDescent="0.3">
      <c r="C1417"/>
    </row>
    <row r="1418" spans="3:3" x14ac:dyDescent="0.3">
      <c r="C1418"/>
    </row>
    <row r="1419" spans="3:3" x14ac:dyDescent="0.3">
      <c r="C1419"/>
    </row>
    <row r="1420" spans="3:3" x14ac:dyDescent="0.3">
      <c r="C1420"/>
    </row>
    <row r="1421" spans="3:3" x14ac:dyDescent="0.3">
      <c r="C1421"/>
    </row>
    <row r="1422" spans="3:3" x14ac:dyDescent="0.3">
      <c r="C1422"/>
    </row>
    <row r="1423" spans="3:3" x14ac:dyDescent="0.3">
      <c r="C1423"/>
    </row>
    <row r="1424" spans="3:3" x14ac:dyDescent="0.3">
      <c r="C1424"/>
    </row>
    <row r="1425" spans="3:3" x14ac:dyDescent="0.3">
      <c r="C1425"/>
    </row>
    <row r="1426" spans="3:3" x14ac:dyDescent="0.3">
      <c r="C1426"/>
    </row>
    <row r="1427" spans="3:3" x14ac:dyDescent="0.3">
      <c r="C1427"/>
    </row>
    <row r="1428" spans="3:3" x14ac:dyDescent="0.3">
      <c r="C1428"/>
    </row>
    <row r="1429" spans="3:3" x14ac:dyDescent="0.3">
      <c r="C1429"/>
    </row>
    <row r="1430" spans="3:3" x14ac:dyDescent="0.3">
      <c r="C1430"/>
    </row>
    <row r="1431" spans="3:3" x14ac:dyDescent="0.3">
      <c r="C1431"/>
    </row>
    <row r="1432" spans="3:3" x14ac:dyDescent="0.3">
      <c r="C1432"/>
    </row>
    <row r="1433" spans="3:3" x14ac:dyDescent="0.3">
      <c r="C1433"/>
    </row>
    <row r="1434" spans="3:3" x14ac:dyDescent="0.3">
      <c r="C1434"/>
    </row>
    <row r="1435" spans="3:3" x14ac:dyDescent="0.3">
      <c r="C1435"/>
    </row>
    <row r="1436" spans="3:3" x14ac:dyDescent="0.3">
      <c r="C1436"/>
    </row>
    <row r="1437" spans="3:3" x14ac:dyDescent="0.3">
      <c r="C1437"/>
    </row>
    <row r="1438" spans="3:3" x14ac:dyDescent="0.3">
      <c r="C1438"/>
    </row>
    <row r="1439" spans="3:3" x14ac:dyDescent="0.3">
      <c r="C1439"/>
    </row>
    <row r="1440" spans="3:3" x14ac:dyDescent="0.3">
      <c r="C1440"/>
    </row>
    <row r="1441" spans="3:3" x14ac:dyDescent="0.3">
      <c r="C1441"/>
    </row>
    <row r="1442" spans="3:3" x14ac:dyDescent="0.3">
      <c r="C1442"/>
    </row>
    <row r="1443" spans="3:3" x14ac:dyDescent="0.3">
      <c r="C1443"/>
    </row>
    <row r="1444" spans="3:3" x14ac:dyDescent="0.3">
      <c r="C1444"/>
    </row>
    <row r="1445" spans="3:3" x14ac:dyDescent="0.3">
      <c r="C1445"/>
    </row>
    <row r="1446" spans="3:3" x14ac:dyDescent="0.3">
      <c r="C1446"/>
    </row>
    <row r="1447" spans="3:3" x14ac:dyDescent="0.3">
      <c r="C1447"/>
    </row>
    <row r="1448" spans="3:3" x14ac:dyDescent="0.3">
      <c r="C1448"/>
    </row>
    <row r="1449" spans="3:3" x14ac:dyDescent="0.3">
      <c r="C1449"/>
    </row>
    <row r="1450" spans="3:3" x14ac:dyDescent="0.3">
      <c r="C1450"/>
    </row>
    <row r="1451" spans="3:3" x14ac:dyDescent="0.3">
      <c r="C1451"/>
    </row>
    <row r="1452" spans="3:3" x14ac:dyDescent="0.3">
      <c r="C1452"/>
    </row>
    <row r="1453" spans="3:3" x14ac:dyDescent="0.3">
      <c r="C1453"/>
    </row>
    <row r="1454" spans="3:3" x14ac:dyDescent="0.3">
      <c r="C1454"/>
    </row>
    <row r="1455" spans="3:3" x14ac:dyDescent="0.3">
      <c r="C1455"/>
    </row>
    <row r="1456" spans="3:3" x14ac:dyDescent="0.3">
      <c r="C1456"/>
    </row>
    <row r="1457" spans="3:3" x14ac:dyDescent="0.3">
      <c r="C1457"/>
    </row>
    <row r="1458" spans="3:3" x14ac:dyDescent="0.3">
      <c r="C1458"/>
    </row>
    <row r="1459" spans="3:3" x14ac:dyDescent="0.3">
      <c r="C1459"/>
    </row>
    <row r="1460" spans="3:3" x14ac:dyDescent="0.3">
      <c r="C1460"/>
    </row>
    <row r="1461" spans="3:3" x14ac:dyDescent="0.3">
      <c r="C1461"/>
    </row>
    <row r="1462" spans="3:3" x14ac:dyDescent="0.3">
      <c r="C1462"/>
    </row>
    <row r="1463" spans="3:3" x14ac:dyDescent="0.3">
      <c r="C1463"/>
    </row>
    <row r="1464" spans="3:3" x14ac:dyDescent="0.3">
      <c r="C1464"/>
    </row>
    <row r="1465" spans="3:3" x14ac:dyDescent="0.3">
      <c r="C1465"/>
    </row>
    <row r="1466" spans="3:3" x14ac:dyDescent="0.3">
      <c r="C1466"/>
    </row>
    <row r="1467" spans="3:3" x14ac:dyDescent="0.3">
      <c r="C1467"/>
    </row>
    <row r="1468" spans="3:3" x14ac:dyDescent="0.3">
      <c r="C1468"/>
    </row>
    <row r="1469" spans="3:3" x14ac:dyDescent="0.3">
      <c r="C1469"/>
    </row>
    <row r="1470" spans="3:3" x14ac:dyDescent="0.3">
      <c r="C1470"/>
    </row>
    <row r="1471" spans="3:3" x14ac:dyDescent="0.3">
      <c r="C1471"/>
    </row>
    <row r="1472" spans="3:3" x14ac:dyDescent="0.3">
      <c r="C1472"/>
    </row>
    <row r="1473" spans="3:3" x14ac:dyDescent="0.3">
      <c r="C1473"/>
    </row>
    <row r="1474" spans="3:3" x14ac:dyDescent="0.3">
      <c r="C1474"/>
    </row>
    <row r="1475" spans="3:3" x14ac:dyDescent="0.3">
      <c r="C1475"/>
    </row>
    <row r="1476" spans="3:3" x14ac:dyDescent="0.3">
      <c r="C1476"/>
    </row>
    <row r="1477" spans="3:3" x14ac:dyDescent="0.3">
      <c r="C1477"/>
    </row>
    <row r="1478" spans="3:3" x14ac:dyDescent="0.3">
      <c r="C1478"/>
    </row>
    <row r="1479" spans="3:3" x14ac:dyDescent="0.3">
      <c r="C1479"/>
    </row>
    <row r="1480" spans="3:3" x14ac:dyDescent="0.3">
      <c r="C1480"/>
    </row>
    <row r="1481" spans="3:3" x14ac:dyDescent="0.3">
      <c r="C1481"/>
    </row>
    <row r="1482" spans="3:3" x14ac:dyDescent="0.3">
      <c r="C1482"/>
    </row>
    <row r="1483" spans="3:3" x14ac:dyDescent="0.3">
      <c r="C1483"/>
    </row>
    <row r="1484" spans="3:3" x14ac:dyDescent="0.3">
      <c r="C1484"/>
    </row>
    <row r="1485" spans="3:3" x14ac:dyDescent="0.3">
      <c r="C1485"/>
    </row>
    <row r="1486" spans="3:3" x14ac:dyDescent="0.3">
      <c r="C1486"/>
    </row>
    <row r="1487" spans="3:3" x14ac:dyDescent="0.3">
      <c r="C1487"/>
    </row>
    <row r="1488" spans="3:3" x14ac:dyDescent="0.3">
      <c r="C1488"/>
    </row>
    <row r="1489" spans="3:3" x14ac:dyDescent="0.3">
      <c r="C1489"/>
    </row>
    <row r="1490" spans="3:3" x14ac:dyDescent="0.3">
      <c r="C1490"/>
    </row>
    <row r="1491" spans="3:3" x14ac:dyDescent="0.3">
      <c r="C1491"/>
    </row>
    <row r="1492" spans="3:3" x14ac:dyDescent="0.3">
      <c r="C1492"/>
    </row>
    <row r="1493" spans="3:3" x14ac:dyDescent="0.3">
      <c r="C1493"/>
    </row>
    <row r="1494" spans="3:3" x14ac:dyDescent="0.3">
      <c r="C1494"/>
    </row>
    <row r="1495" spans="3:3" x14ac:dyDescent="0.3">
      <c r="C1495"/>
    </row>
    <row r="1496" spans="3:3" x14ac:dyDescent="0.3">
      <c r="C1496"/>
    </row>
    <row r="1497" spans="3:3" x14ac:dyDescent="0.3">
      <c r="C1497"/>
    </row>
    <row r="1498" spans="3:3" x14ac:dyDescent="0.3">
      <c r="C1498"/>
    </row>
    <row r="1499" spans="3:3" x14ac:dyDescent="0.3">
      <c r="C1499"/>
    </row>
    <row r="1500" spans="3:3" x14ac:dyDescent="0.3">
      <c r="C1500"/>
    </row>
    <row r="1501" spans="3:3" x14ac:dyDescent="0.3">
      <c r="C1501"/>
    </row>
    <row r="1502" spans="3:3" x14ac:dyDescent="0.3">
      <c r="C1502"/>
    </row>
    <row r="1503" spans="3:3" x14ac:dyDescent="0.3">
      <c r="C1503"/>
    </row>
    <row r="1504" spans="3:3" x14ac:dyDescent="0.3">
      <c r="C1504"/>
    </row>
    <row r="1505" spans="3:3" x14ac:dyDescent="0.3">
      <c r="C1505"/>
    </row>
    <row r="1506" spans="3:3" x14ac:dyDescent="0.3">
      <c r="C1506"/>
    </row>
    <row r="1507" spans="3:3" x14ac:dyDescent="0.3">
      <c r="C1507"/>
    </row>
    <row r="1508" spans="3:3" x14ac:dyDescent="0.3">
      <c r="C1508"/>
    </row>
    <row r="1509" spans="3:3" x14ac:dyDescent="0.3">
      <c r="C1509"/>
    </row>
    <row r="1510" spans="3:3" x14ac:dyDescent="0.3">
      <c r="C1510"/>
    </row>
    <row r="1511" spans="3:3" x14ac:dyDescent="0.3">
      <c r="C1511"/>
    </row>
    <row r="1512" spans="3:3" x14ac:dyDescent="0.3">
      <c r="C1512"/>
    </row>
    <row r="1513" spans="3:3" x14ac:dyDescent="0.3">
      <c r="C1513"/>
    </row>
    <row r="1514" spans="3:3" x14ac:dyDescent="0.3">
      <c r="C1514"/>
    </row>
    <row r="1515" spans="3:3" x14ac:dyDescent="0.3">
      <c r="C1515"/>
    </row>
    <row r="1516" spans="3:3" x14ac:dyDescent="0.3">
      <c r="C1516"/>
    </row>
    <row r="1517" spans="3:3" x14ac:dyDescent="0.3">
      <c r="C1517"/>
    </row>
    <row r="1518" spans="3:3" x14ac:dyDescent="0.3">
      <c r="C1518"/>
    </row>
    <row r="1519" spans="3:3" x14ac:dyDescent="0.3">
      <c r="C1519"/>
    </row>
    <row r="1520" spans="3:3" x14ac:dyDescent="0.3">
      <c r="C1520"/>
    </row>
    <row r="1521" spans="3:3" x14ac:dyDescent="0.3">
      <c r="C1521"/>
    </row>
    <row r="1522" spans="3:3" x14ac:dyDescent="0.3">
      <c r="C1522"/>
    </row>
    <row r="1523" spans="3:3" x14ac:dyDescent="0.3">
      <c r="C1523"/>
    </row>
    <row r="1524" spans="3:3" x14ac:dyDescent="0.3">
      <c r="C1524"/>
    </row>
    <row r="1525" spans="3:3" x14ac:dyDescent="0.3">
      <c r="C1525"/>
    </row>
    <row r="1526" spans="3:3" x14ac:dyDescent="0.3">
      <c r="C1526"/>
    </row>
    <row r="1527" spans="3:3" x14ac:dyDescent="0.3">
      <c r="C1527"/>
    </row>
    <row r="1528" spans="3:3" x14ac:dyDescent="0.3">
      <c r="C1528"/>
    </row>
    <row r="1529" spans="3:3" x14ac:dyDescent="0.3">
      <c r="C1529"/>
    </row>
    <row r="1530" spans="3:3" x14ac:dyDescent="0.3">
      <c r="C1530"/>
    </row>
    <row r="1531" spans="3:3" x14ac:dyDescent="0.3">
      <c r="C1531"/>
    </row>
    <row r="1532" spans="3:3" x14ac:dyDescent="0.3">
      <c r="C1532"/>
    </row>
    <row r="1533" spans="3:3" x14ac:dyDescent="0.3">
      <c r="C1533"/>
    </row>
    <row r="1534" spans="3:3" x14ac:dyDescent="0.3">
      <c r="C1534"/>
    </row>
    <row r="1535" spans="3:3" x14ac:dyDescent="0.3">
      <c r="C1535"/>
    </row>
    <row r="1536" spans="3:3" x14ac:dyDescent="0.3">
      <c r="C1536"/>
    </row>
    <row r="1537" spans="3:3" x14ac:dyDescent="0.3">
      <c r="C1537"/>
    </row>
    <row r="1538" spans="3:3" x14ac:dyDescent="0.3">
      <c r="C1538"/>
    </row>
    <row r="1539" spans="3:3" x14ac:dyDescent="0.3">
      <c r="C1539"/>
    </row>
    <row r="1540" spans="3:3" x14ac:dyDescent="0.3">
      <c r="C1540"/>
    </row>
    <row r="1541" spans="3:3" x14ac:dyDescent="0.3">
      <c r="C1541"/>
    </row>
    <row r="1542" spans="3:3" x14ac:dyDescent="0.3">
      <c r="C1542"/>
    </row>
    <row r="1543" spans="3:3" x14ac:dyDescent="0.3">
      <c r="C1543"/>
    </row>
    <row r="1544" spans="3:3" x14ac:dyDescent="0.3">
      <c r="C1544"/>
    </row>
    <row r="1545" spans="3:3" x14ac:dyDescent="0.3">
      <c r="C1545"/>
    </row>
    <row r="1546" spans="3:3" x14ac:dyDescent="0.3">
      <c r="C1546"/>
    </row>
    <row r="1547" spans="3:3" x14ac:dyDescent="0.3">
      <c r="C1547"/>
    </row>
    <row r="1548" spans="3:3" x14ac:dyDescent="0.3">
      <c r="C1548"/>
    </row>
    <row r="1549" spans="3:3" x14ac:dyDescent="0.3">
      <c r="C1549"/>
    </row>
    <row r="1550" spans="3:3" x14ac:dyDescent="0.3">
      <c r="C1550"/>
    </row>
    <row r="1551" spans="3:3" x14ac:dyDescent="0.3">
      <c r="C1551"/>
    </row>
    <row r="1552" spans="3:3" x14ac:dyDescent="0.3">
      <c r="C1552"/>
    </row>
    <row r="1553" spans="3:3" x14ac:dyDescent="0.3">
      <c r="C1553"/>
    </row>
    <row r="1554" spans="3:3" x14ac:dyDescent="0.3">
      <c r="C1554"/>
    </row>
    <row r="1555" spans="3:3" x14ac:dyDescent="0.3">
      <c r="C1555"/>
    </row>
    <row r="1556" spans="3:3" x14ac:dyDescent="0.3">
      <c r="C1556"/>
    </row>
    <row r="1557" spans="3:3" x14ac:dyDescent="0.3">
      <c r="C1557"/>
    </row>
    <row r="1558" spans="3:3" x14ac:dyDescent="0.3">
      <c r="C1558"/>
    </row>
    <row r="1559" spans="3:3" x14ac:dyDescent="0.3">
      <c r="C1559"/>
    </row>
    <row r="1560" spans="3:3" x14ac:dyDescent="0.3">
      <c r="C1560"/>
    </row>
    <row r="1561" spans="3:3" x14ac:dyDescent="0.3">
      <c r="C1561"/>
    </row>
    <row r="1562" spans="3:3" x14ac:dyDescent="0.3">
      <c r="C1562"/>
    </row>
    <row r="1563" spans="3:3" x14ac:dyDescent="0.3">
      <c r="C1563"/>
    </row>
    <row r="1564" spans="3:3" x14ac:dyDescent="0.3">
      <c r="C1564"/>
    </row>
    <row r="1565" spans="3:3" x14ac:dyDescent="0.3">
      <c r="C1565"/>
    </row>
    <row r="1566" spans="3:3" x14ac:dyDescent="0.3">
      <c r="C1566"/>
    </row>
    <row r="1567" spans="3:3" x14ac:dyDescent="0.3">
      <c r="C1567"/>
    </row>
    <row r="1568" spans="3:3" x14ac:dyDescent="0.3">
      <c r="C1568"/>
    </row>
    <row r="1569" spans="3:3" x14ac:dyDescent="0.3">
      <c r="C1569"/>
    </row>
    <row r="1570" spans="3:3" x14ac:dyDescent="0.3">
      <c r="C1570"/>
    </row>
    <row r="1571" spans="3:3" x14ac:dyDescent="0.3">
      <c r="C1571"/>
    </row>
    <row r="1572" spans="3:3" x14ac:dyDescent="0.3">
      <c r="C1572"/>
    </row>
    <row r="1573" spans="3:3" x14ac:dyDescent="0.3">
      <c r="C1573"/>
    </row>
    <row r="1574" spans="3:3" x14ac:dyDescent="0.3">
      <c r="C1574"/>
    </row>
    <row r="1575" spans="3:3" x14ac:dyDescent="0.3">
      <c r="C1575"/>
    </row>
    <row r="1576" spans="3:3" x14ac:dyDescent="0.3">
      <c r="C1576"/>
    </row>
    <row r="1577" spans="3:3" x14ac:dyDescent="0.3">
      <c r="C1577"/>
    </row>
    <row r="1578" spans="3:3" x14ac:dyDescent="0.3">
      <c r="C1578"/>
    </row>
    <row r="1579" spans="3:3" x14ac:dyDescent="0.3">
      <c r="C1579"/>
    </row>
    <row r="1580" spans="3:3" x14ac:dyDescent="0.3">
      <c r="C1580"/>
    </row>
    <row r="1581" spans="3:3" x14ac:dyDescent="0.3">
      <c r="C1581"/>
    </row>
    <row r="1582" spans="3:3" x14ac:dyDescent="0.3">
      <c r="C1582"/>
    </row>
    <row r="1583" spans="3:3" x14ac:dyDescent="0.3">
      <c r="C1583"/>
    </row>
    <row r="1584" spans="3:3" x14ac:dyDescent="0.3">
      <c r="C1584"/>
    </row>
    <row r="1585" spans="3:3" x14ac:dyDescent="0.3">
      <c r="C1585"/>
    </row>
    <row r="1586" spans="3:3" x14ac:dyDescent="0.3">
      <c r="C1586"/>
    </row>
    <row r="1587" spans="3:3" x14ac:dyDescent="0.3">
      <c r="C1587"/>
    </row>
    <row r="1588" spans="3:3" x14ac:dyDescent="0.3">
      <c r="C1588"/>
    </row>
    <row r="1589" spans="3:3" x14ac:dyDescent="0.3">
      <c r="C1589"/>
    </row>
    <row r="1590" spans="3:3" x14ac:dyDescent="0.3">
      <c r="C1590"/>
    </row>
    <row r="1591" spans="3:3" x14ac:dyDescent="0.3">
      <c r="C1591"/>
    </row>
    <row r="1592" spans="3:3" x14ac:dyDescent="0.3">
      <c r="C1592"/>
    </row>
    <row r="1593" spans="3:3" x14ac:dyDescent="0.3">
      <c r="C1593"/>
    </row>
    <row r="1594" spans="3:3" x14ac:dyDescent="0.3">
      <c r="C1594"/>
    </row>
    <row r="1595" spans="3:3" x14ac:dyDescent="0.3">
      <c r="C1595"/>
    </row>
    <row r="1596" spans="3:3" x14ac:dyDescent="0.3">
      <c r="C1596"/>
    </row>
    <row r="1597" spans="3:3" x14ac:dyDescent="0.3">
      <c r="C1597"/>
    </row>
    <row r="1598" spans="3:3" x14ac:dyDescent="0.3">
      <c r="C1598"/>
    </row>
    <row r="1599" spans="3:3" x14ac:dyDescent="0.3">
      <c r="C1599"/>
    </row>
    <row r="1600" spans="3:3" x14ac:dyDescent="0.3">
      <c r="C1600"/>
    </row>
    <row r="1601" spans="3:3" x14ac:dyDescent="0.3">
      <c r="C1601"/>
    </row>
    <row r="1602" spans="3:3" x14ac:dyDescent="0.3">
      <c r="C1602"/>
    </row>
    <row r="1603" spans="3:3" x14ac:dyDescent="0.3">
      <c r="C1603"/>
    </row>
    <row r="1604" spans="3:3" x14ac:dyDescent="0.3">
      <c r="C1604"/>
    </row>
    <row r="1605" spans="3:3" x14ac:dyDescent="0.3">
      <c r="C1605"/>
    </row>
    <row r="1606" spans="3:3" x14ac:dyDescent="0.3">
      <c r="C1606"/>
    </row>
    <row r="1607" spans="3:3" x14ac:dyDescent="0.3">
      <c r="C1607"/>
    </row>
    <row r="1608" spans="3:3" x14ac:dyDescent="0.3">
      <c r="C1608"/>
    </row>
    <row r="1609" spans="3:3" x14ac:dyDescent="0.3">
      <c r="C1609"/>
    </row>
    <row r="1610" spans="3:3" x14ac:dyDescent="0.3">
      <c r="C1610"/>
    </row>
    <row r="1611" spans="3:3" x14ac:dyDescent="0.3">
      <c r="C1611"/>
    </row>
    <row r="1612" spans="3:3" x14ac:dyDescent="0.3">
      <c r="C1612"/>
    </row>
    <row r="1613" spans="3:3" x14ac:dyDescent="0.3">
      <c r="C1613"/>
    </row>
    <row r="1614" spans="3:3" x14ac:dyDescent="0.3">
      <c r="C1614"/>
    </row>
    <row r="1615" spans="3:3" x14ac:dyDescent="0.3">
      <c r="C1615"/>
    </row>
    <row r="1616" spans="3:3" x14ac:dyDescent="0.3">
      <c r="C1616"/>
    </row>
    <row r="1617" spans="3:3" x14ac:dyDescent="0.3">
      <c r="C1617"/>
    </row>
    <row r="1618" spans="3:3" x14ac:dyDescent="0.3">
      <c r="C1618"/>
    </row>
    <row r="1619" spans="3:3" x14ac:dyDescent="0.3">
      <c r="C1619"/>
    </row>
    <row r="1620" spans="3:3" x14ac:dyDescent="0.3">
      <c r="C1620"/>
    </row>
    <row r="1621" spans="3:3" x14ac:dyDescent="0.3">
      <c r="C1621"/>
    </row>
    <row r="1622" spans="3:3" x14ac:dyDescent="0.3">
      <c r="C1622"/>
    </row>
    <row r="1623" spans="3:3" x14ac:dyDescent="0.3">
      <c r="C1623"/>
    </row>
    <row r="1624" spans="3:3" x14ac:dyDescent="0.3">
      <c r="C1624"/>
    </row>
    <row r="1625" spans="3:3" x14ac:dyDescent="0.3">
      <c r="C1625"/>
    </row>
    <row r="1626" spans="3:3" x14ac:dyDescent="0.3">
      <c r="C1626"/>
    </row>
    <row r="1627" spans="3:3" x14ac:dyDescent="0.3">
      <c r="C1627"/>
    </row>
    <row r="1628" spans="3:3" x14ac:dyDescent="0.3">
      <c r="C1628"/>
    </row>
    <row r="1629" spans="3:3" x14ac:dyDescent="0.3">
      <c r="C1629"/>
    </row>
    <row r="1630" spans="3:3" x14ac:dyDescent="0.3">
      <c r="C1630"/>
    </row>
    <row r="1631" spans="3:3" x14ac:dyDescent="0.3">
      <c r="C1631"/>
    </row>
    <row r="1632" spans="3:3" x14ac:dyDescent="0.3">
      <c r="C1632"/>
    </row>
    <row r="1633" spans="3:3" x14ac:dyDescent="0.3">
      <c r="C1633"/>
    </row>
    <row r="1634" spans="3:3" x14ac:dyDescent="0.3">
      <c r="C1634"/>
    </row>
    <row r="1635" spans="3:3" x14ac:dyDescent="0.3">
      <c r="C1635"/>
    </row>
    <row r="1636" spans="3:3" x14ac:dyDescent="0.3">
      <c r="C1636"/>
    </row>
    <row r="1637" spans="3:3" x14ac:dyDescent="0.3">
      <c r="C1637"/>
    </row>
    <row r="1638" spans="3:3" x14ac:dyDescent="0.3">
      <c r="C1638"/>
    </row>
    <row r="1639" spans="3:3" x14ac:dyDescent="0.3">
      <c r="C1639"/>
    </row>
    <row r="1640" spans="3:3" x14ac:dyDescent="0.3">
      <c r="C1640"/>
    </row>
    <row r="1641" spans="3:3" x14ac:dyDescent="0.3">
      <c r="C1641"/>
    </row>
    <row r="1642" spans="3:3" x14ac:dyDescent="0.3">
      <c r="C1642"/>
    </row>
    <row r="1643" spans="3:3" x14ac:dyDescent="0.3">
      <c r="C1643"/>
    </row>
    <row r="1644" spans="3:3" x14ac:dyDescent="0.3">
      <c r="C1644"/>
    </row>
    <row r="1645" spans="3:3" x14ac:dyDescent="0.3">
      <c r="C1645"/>
    </row>
    <row r="1646" spans="3:3" x14ac:dyDescent="0.3">
      <c r="C1646"/>
    </row>
    <row r="1647" spans="3:3" x14ac:dyDescent="0.3">
      <c r="C1647"/>
    </row>
    <row r="1648" spans="3:3" x14ac:dyDescent="0.3">
      <c r="C1648"/>
    </row>
    <row r="1649" spans="3:3" x14ac:dyDescent="0.3">
      <c r="C1649"/>
    </row>
    <row r="1650" spans="3:3" x14ac:dyDescent="0.3">
      <c r="C1650"/>
    </row>
    <row r="1651" spans="3:3" x14ac:dyDescent="0.3">
      <c r="C1651"/>
    </row>
    <row r="1652" spans="3:3" x14ac:dyDescent="0.3">
      <c r="C1652"/>
    </row>
    <row r="1653" spans="3:3" x14ac:dyDescent="0.3">
      <c r="C1653"/>
    </row>
    <row r="1654" spans="3:3" x14ac:dyDescent="0.3">
      <c r="C1654"/>
    </row>
    <row r="1655" spans="3:3" x14ac:dyDescent="0.3">
      <c r="C1655"/>
    </row>
    <row r="1656" spans="3:3" x14ac:dyDescent="0.3">
      <c r="C1656"/>
    </row>
    <row r="1657" spans="3:3" x14ac:dyDescent="0.3">
      <c r="C1657"/>
    </row>
    <row r="1658" spans="3:3" x14ac:dyDescent="0.3">
      <c r="C1658"/>
    </row>
    <row r="1659" spans="3:3" x14ac:dyDescent="0.3">
      <c r="C1659"/>
    </row>
    <row r="1660" spans="3:3" x14ac:dyDescent="0.3">
      <c r="C1660"/>
    </row>
    <row r="1661" spans="3:3" x14ac:dyDescent="0.3">
      <c r="C1661"/>
    </row>
    <row r="1662" spans="3:3" x14ac:dyDescent="0.3">
      <c r="C1662"/>
    </row>
    <row r="1663" spans="3:3" x14ac:dyDescent="0.3">
      <c r="C1663"/>
    </row>
    <row r="1664" spans="3:3" x14ac:dyDescent="0.3">
      <c r="C1664"/>
    </row>
    <row r="1665" spans="3:3" x14ac:dyDescent="0.3">
      <c r="C1665"/>
    </row>
    <row r="1666" spans="3:3" x14ac:dyDescent="0.3">
      <c r="C1666"/>
    </row>
    <row r="1667" spans="3:3" x14ac:dyDescent="0.3">
      <c r="C1667"/>
    </row>
    <row r="1668" spans="3:3" x14ac:dyDescent="0.3">
      <c r="C1668"/>
    </row>
    <row r="1669" spans="3:3" x14ac:dyDescent="0.3">
      <c r="C1669"/>
    </row>
    <row r="1670" spans="3:3" x14ac:dyDescent="0.3">
      <c r="C1670"/>
    </row>
    <row r="1671" spans="3:3" x14ac:dyDescent="0.3">
      <c r="C1671"/>
    </row>
    <row r="1672" spans="3:3" x14ac:dyDescent="0.3">
      <c r="C1672"/>
    </row>
    <row r="1673" spans="3:3" x14ac:dyDescent="0.3">
      <c r="C1673"/>
    </row>
    <row r="1674" spans="3:3" x14ac:dyDescent="0.3">
      <c r="C1674"/>
    </row>
    <row r="1675" spans="3:3" x14ac:dyDescent="0.3">
      <c r="C1675"/>
    </row>
    <row r="1676" spans="3:3" x14ac:dyDescent="0.3">
      <c r="C1676"/>
    </row>
    <row r="1677" spans="3:3" x14ac:dyDescent="0.3">
      <c r="C1677"/>
    </row>
    <row r="1678" spans="3:3" x14ac:dyDescent="0.3">
      <c r="C1678"/>
    </row>
    <row r="1679" spans="3:3" x14ac:dyDescent="0.3">
      <c r="C1679"/>
    </row>
    <row r="1680" spans="3:3" x14ac:dyDescent="0.3">
      <c r="C1680"/>
    </row>
    <row r="1681" spans="3:3" x14ac:dyDescent="0.3">
      <c r="C1681"/>
    </row>
    <row r="1682" spans="3:3" x14ac:dyDescent="0.3">
      <c r="C1682"/>
    </row>
    <row r="1683" spans="3:3" x14ac:dyDescent="0.3">
      <c r="C1683"/>
    </row>
    <row r="1684" spans="3:3" x14ac:dyDescent="0.3">
      <c r="C1684"/>
    </row>
    <row r="1685" spans="3:3" x14ac:dyDescent="0.3">
      <c r="C1685"/>
    </row>
    <row r="1686" spans="3:3" x14ac:dyDescent="0.3">
      <c r="C1686"/>
    </row>
    <row r="1687" spans="3:3" x14ac:dyDescent="0.3">
      <c r="C1687"/>
    </row>
    <row r="1688" spans="3:3" x14ac:dyDescent="0.3">
      <c r="C1688"/>
    </row>
    <row r="1689" spans="3:3" x14ac:dyDescent="0.3">
      <c r="C1689"/>
    </row>
    <row r="1690" spans="3:3" x14ac:dyDescent="0.3">
      <c r="C1690"/>
    </row>
    <row r="1691" spans="3:3" x14ac:dyDescent="0.3">
      <c r="C1691"/>
    </row>
    <row r="1692" spans="3:3" x14ac:dyDescent="0.3">
      <c r="C1692"/>
    </row>
    <row r="1693" spans="3:3" x14ac:dyDescent="0.3">
      <c r="C1693"/>
    </row>
    <row r="1694" spans="3:3" x14ac:dyDescent="0.3">
      <c r="C1694"/>
    </row>
    <row r="1695" spans="3:3" x14ac:dyDescent="0.3">
      <c r="C1695"/>
    </row>
    <row r="1696" spans="3:3" x14ac:dyDescent="0.3">
      <c r="C1696"/>
    </row>
    <row r="1697" spans="3:3" x14ac:dyDescent="0.3">
      <c r="C1697"/>
    </row>
    <row r="1698" spans="3:3" x14ac:dyDescent="0.3">
      <c r="C1698"/>
    </row>
    <row r="1699" spans="3:3" x14ac:dyDescent="0.3">
      <c r="C1699"/>
    </row>
    <row r="1700" spans="3:3" x14ac:dyDescent="0.3">
      <c r="C1700"/>
    </row>
    <row r="1701" spans="3:3" x14ac:dyDescent="0.3">
      <c r="C1701"/>
    </row>
    <row r="1702" spans="3:3" x14ac:dyDescent="0.3">
      <c r="C1702"/>
    </row>
    <row r="1703" spans="3:3" x14ac:dyDescent="0.3">
      <c r="C1703"/>
    </row>
    <row r="1704" spans="3:3" x14ac:dyDescent="0.3">
      <c r="C1704"/>
    </row>
    <row r="1705" spans="3:3" x14ac:dyDescent="0.3">
      <c r="C1705"/>
    </row>
    <row r="1706" spans="3:3" x14ac:dyDescent="0.3">
      <c r="C1706"/>
    </row>
    <row r="1707" spans="3:3" x14ac:dyDescent="0.3">
      <c r="C1707"/>
    </row>
    <row r="1708" spans="3:3" x14ac:dyDescent="0.3">
      <c r="C1708"/>
    </row>
    <row r="1709" spans="3:3" x14ac:dyDescent="0.3">
      <c r="C1709"/>
    </row>
    <row r="1710" spans="3:3" x14ac:dyDescent="0.3">
      <c r="C1710"/>
    </row>
    <row r="1711" spans="3:3" x14ac:dyDescent="0.3">
      <c r="C1711"/>
    </row>
    <row r="1712" spans="3:3" x14ac:dyDescent="0.3">
      <c r="C1712"/>
    </row>
    <row r="1713" spans="3:3" x14ac:dyDescent="0.3">
      <c r="C1713"/>
    </row>
    <row r="1714" spans="3:3" x14ac:dyDescent="0.3">
      <c r="C1714"/>
    </row>
    <row r="1715" spans="3:3" x14ac:dyDescent="0.3">
      <c r="C1715"/>
    </row>
    <row r="1716" spans="3:3" x14ac:dyDescent="0.3">
      <c r="C1716"/>
    </row>
    <row r="1717" spans="3:3" x14ac:dyDescent="0.3">
      <c r="C1717"/>
    </row>
    <row r="1718" spans="3:3" x14ac:dyDescent="0.3">
      <c r="C1718"/>
    </row>
    <row r="1719" spans="3:3" x14ac:dyDescent="0.3">
      <c r="C1719"/>
    </row>
    <row r="1720" spans="3:3" x14ac:dyDescent="0.3">
      <c r="C1720"/>
    </row>
    <row r="1721" spans="3:3" x14ac:dyDescent="0.3">
      <c r="C1721"/>
    </row>
    <row r="1722" spans="3:3" x14ac:dyDescent="0.3">
      <c r="C1722"/>
    </row>
    <row r="1723" spans="3:3" x14ac:dyDescent="0.3">
      <c r="C1723"/>
    </row>
    <row r="1724" spans="3:3" x14ac:dyDescent="0.3">
      <c r="C1724"/>
    </row>
    <row r="1725" spans="3:3" x14ac:dyDescent="0.3">
      <c r="C1725"/>
    </row>
    <row r="1726" spans="3:3" x14ac:dyDescent="0.3">
      <c r="C1726"/>
    </row>
    <row r="1727" spans="3:3" x14ac:dyDescent="0.3">
      <c r="C1727"/>
    </row>
    <row r="1728" spans="3:3" x14ac:dyDescent="0.3">
      <c r="C1728"/>
    </row>
    <row r="1729" spans="3:3" x14ac:dyDescent="0.3">
      <c r="C1729"/>
    </row>
    <row r="1730" spans="3:3" x14ac:dyDescent="0.3">
      <c r="C1730"/>
    </row>
    <row r="1731" spans="3:3" x14ac:dyDescent="0.3">
      <c r="C1731"/>
    </row>
    <row r="1732" spans="3:3" x14ac:dyDescent="0.3">
      <c r="C1732"/>
    </row>
    <row r="1733" spans="3:3" x14ac:dyDescent="0.3">
      <c r="C1733"/>
    </row>
    <row r="1734" spans="3:3" x14ac:dyDescent="0.3">
      <c r="C1734"/>
    </row>
    <row r="1735" spans="3:3" x14ac:dyDescent="0.3">
      <c r="C1735"/>
    </row>
    <row r="1736" spans="3:3" x14ac:dyDescent="0.3">
      <c r="C1736"/>
    </row>
    <row r="1737" spans="3:3" x14ac:dyDescent="0.3">
      <c r="C1737"/>
    </row>
    <row r="1738" spans="3:3" x14ac:dyDescent="0.3">
      <c r="C1738"/>
    </row>
    <row r="1739" spans="3:3" x14ac:dyDescent="0.3">
      <c r="C1739"/>
    </row>
    <row r="1740" spans="3:3" x14ac:dyDescent="0.3">
      <c r="C1740"/>
    </row>
    <row r="1741" spans="3:3" x14ac:dyDescent="0.3">
      <c r="C1741"/>
    </row>
    <row r="1742" spans="3:3" x14ac:dyDescent="0.3">
      <c r="C1742"/>
    </row>
    <row r="1743" spans="3:3" x14ac:dyDescent="0.3">
      <c r="C1743"/>
    </row>
    <row r="1744" spans="3:3" x14ac:dyDescent="0.3">
      <c r="C1744"/>
    </row>
    <row r="1745" spans="3:3" x14ac:dyDescent="0.3">
      <c r="C1745"/>
    </row>
    <row r="1746" spans="3:3" x14ac:dyDescent="0.3">
      <c r="C1746"/>
    </row>
    <row r="1747" spans="3:3" x14ac:dyDescent="0.3">
      <c r="C1747"/>
    </row>
    <row r="1748" spans="3:3" x14ac:dyDescent="0.3">
      <c r="C1748"/>
    </row>
    <row r="1749" spans="3:3" x14ac:dyDescent="0.3">
      <c r="C1749"/>
    </row>
    <row r="1750" spans="3:3" x14ac:dyDescent="0.3">
      <c r="C1750"/>
    </row>
    <row r="1751" spans="3:3" x14ac:dyDescent="0.3">
      <c r="C1751"/>
    </row>
    <row r="1752" spans="3:3" x14ac:dyDescent="0.3">
      <c r="C1752"/>
    </row>
    <row r="1753" spans="3:3" x14ac:dyDescent="0.3">
      <c r="C1753"/>
    </row>
    <row r="1754" spans="3:3" x14ac:dyDescent="0.3">
      <c r="C1754"/>
    </row>
    <row r="1755" spans="3:3" x14ac:dyDescent="0.3">
      <c r="C1755"/>
    </row>
    <row r="1756" spans="3:3" x14ac:dyDescent="0.3">
      <c r="C1756"/>
    </row>
    <row r="1757" spans="3:3" x14ac:dyDescent="0.3">
      <c r="C1757"/>
    </row>
    <row r="1758" spans="3:3" x14ac:dyDescent="0.3">
      <c r="C1758"/>
    </row>
    <row r="1759" spans="3:3" x14ac:dyDescent="0.3">
      <c r="C1759"/>
    </row>
    <row r="1760" spans="3:3" x14ac:dyDescent="0.3">
      <c r="C1760"/>
    </row>
    <row r="1761" spans="3:3" x14ac:dyDescent="0.3">
      <c r="C1761"/>
    </row>
    <row r="1762" spans="3:3" x14ac:dyDescent="0.3">
      <c r="C1762"/>
    </row>
    <row r="1763" spans="3:3" x14ac:dyDescent="0.3">
      <c r="C1763"/>
    </row>
    <row r="1764" spans="3:3" x14ac:dyDescent="0.3">
      <c r="C1764"/>
    </row>
    <row r="1765" spans="3:3" x14ac:dyDescent="0.3">
      <c r="C1765"/>
    </row>
    <row r="1766" spans="3:3" x14ac:dyDescent="0.3">
      <c r="C1766"/>
    </row>
    <row r="1767" spans="3:3" x14ac:dyDescent="0.3">
      <c r="C1767"/>
    </row>
    <row r="1768" spans="3:3" x14ac:dyDescent="0.3">
      <c r="C1768"/>
    </row>
    <row r="1769" spans="3:3" x14ac:dyDescent="0.3">
      <c r="C1769"/>
    </row>
    <row r="1770" spans="3:3" x14ac:dyDescent="0.3">
      <c r="C1770"/>
    </row>
    <row r="1771" spans="3:3" x14ac:dyDescent="0.3">
      <c r="C1771"/>
    </row>
    <row r="1772" spans="3:3" x14ac:dyDescent="0.3">
      <c r="C1772"/>
    </row>
    <row r="1773" spans="3:3" x14ac:dyDescent="0.3">
      <c r="C1773"/>
    </row>
    <row r="1774" spans="3:3" x14ac:dyDescent="0.3">
      <c r="C1774"/>
    </row>
    <row r="1775" spans="3:3" x14ac:dyDescent="0.3">
      <c r="C1775"/>
    </row>
    <row r="1776" spans="3:3" x14ac:dyDescent="0.3">
      <c r="C1776"/>
    </row>
    <row r="1777" spans="3:3" x14ac:dyDescent="0.3">
      <c r="C1777"/>
    </row>
    <row r="1778" spans="3:3" x14ac:dyDescent="0.3">
      <c r="C1778"/>
    </row>
    <row r="1779" spans="3:3" x14ac:dyDescent="0.3">
      <c r="C1779"/>
    </row>
    <row r="1780" spans="3:3" x14ac:dyDescent="0.3">
      <c r="C1780"/>
    </row>
    <row r="1781" spans="3:3" x14ac:dyDescent="0.3">
      <c r="C1781"/>
    </row>
    <row r="1782" spans="3:3" x14ac:dyDescent="0.3">
      <c r="C1782"/>
    </row>
    <row r="1783" spans="3:3" x14ac:dyDescent="0.3">
      <c r="C1783"/>
    </row>
    <row r="1784" spans="3:3" x14ac:dyDescent="0.3">
      <c r="C1784"/>
    </row>
    <row r="1785" spans="3:3" x14ac:dyDescent="0.3">
      <c r="C1785"/>
    </row>
    <row r="1786" spans="3:3" x14ac:dyDescent="0.3">
      <c r="C1786"/>
    </row>
    <row r="1787" spans="3:3" x14ac:dyDescent="0.3">
      <c r="C1787"/>
    </row>
    <row r="1788" spans="3:3" x14ac:dyDescent="0.3">
      <c r="C1788"/>
    </row>
    <row r="1789" spans="3:3" x14ac:dyDescent="0.3">
      <c r="C1789"/>
    </row>
    <row r="1790" spans="3:3" x14ac:dyDescent="0.3">
      <c r="C1790"/>
    </row>
    <row r="1791" spans="3:3" x14ac:dyDescent="0.3">
      <c r="C1791"/>
    </row>
    <row r="1792" spans="3:3" x14ac:dyDescent="0.3">
      <c r="C1792"/>
    </row>
    <row r="1793" spans="3:3" x14ac:dyDescent="0.3">
      <c r="C1793"/>
    </row>
    <row r="1794" spans="3:3" x14ac:dyDescent="0.3">
      <c r="C1794"/>
    </row>
    <row r="1795" spans="3:3" x14ac:dyDescent="0.3">
      <c r="C1795"/>
    </row>
    <row r="1796" spans="3:3" x14ac:dyDescent="0.3">
      <c r="C1796"/>
    </row>
    <row r="1797" spans="3:3" x14ac:dyDescent="0.3">
      <c r="C1797"/>
    </row>
    <row r="1798" spans="3:3" x14ac:dyDescent="0.3">
      <c r="C1798"/>
    </row>
    <row r="1799" spans="3:3" x14ac:dyDescent="0.3">
      <c r="C1799"/>
    </row>
    <row r="1800" spans="3:3" x14ac:dyDescent="0.3">
      <c r="C1800"/>
    </row>
    <row r="1801" spans="3:3" x14ac:dyDescent="0.3">
      <c r="C1801"/>
    </row>
    <row r="1802" spans="3:3" x14ac:dyDescent="0.3">
      <c r="C1802"/>
    </row>
    <row r="1803" spans="3:3" x14ac:dyDescent="0.3">
      <c r="C1803"/>
    </row>
    <row r="1804" spans="3:3" x14ac:dyDescent="0.3">
      <c r="C1804"/>
    </row>
    <row r="1805" spans="3:3" x14ac:dyDescent="0.3">
      <c r="C1805"/>
    </row>
    <row r="1806" spans="3:3" x14ac:dyDescent="0.3">
      <c r="C1806"/>
    </row>
    <row r="1807" spans="3:3" x14ac:dyDescent="0.3">
      <c r="C1807"/>
    </row>
    <row r="1808" spans="3:3" x14ac:dyDescent="0.3">
      <c r="C1808"/>
    </row>
    <row r="1809" spans="3:3" x14ac:dyDescent="0.3">
      <c r="C1809"/>
    </row>
    <row r="1810" spans="3:3" x14ac:dyDescent="0.3">
      <c r="C1810"/>
    </row>
    <row r="1811" spans="3:3" x14ac:dyDescent="0.3">
      <c r="C1811"/>
    </row>
    <row r="1812" spans="3:3" x14ac:dyDescent="0.3">
      <c r="C1812"/>
    </row>
    <row r="1813" spans="3:3" x14ac:dyDescent="0.3">
      <c r="C1813"/>
    </row>
    <row r="1814" spans="3:3" x14ac:dyDescent="0.3">
      <c r="C1814"/>
    </row>
    <row r="1815" spans="3:3" x14ac:dyDescent="0.3">
      <c r="C1815"/>
    </row>
    <row r="1816" spans="3:3" x14ac:dyDescent="0.3">
      <c r="C1816"/>
    </row>
    <row r="1817" spans="3:3" x14ac:dyDescent="0.3">
      <c r="C1817"/>
    </row>
    <row r="1818" spans="3:3" x14ac:dyDescent="0.3">
      <c r="C1818"/>
    </row>
    <row r="1819" spans="3:3" x14ac:dyDescent="0.3">
      <c r="C1819"/>
    </row>
    <row r="1820" spans="3:3" x14ac:dyDescent="0.3">
      <c r="C1820"/>
    </row>
    <row r="1821" spans="3:3" x14ac:dyDescent="0.3">
      <c r="C1821"/>
    </row>
    <row r="1822" spans="3:3" x14ac:dyDescent="0.3">
      <c r="C1822"/>
    </row>
    <row r="1823" spans="3:3" x14ac:dyDescent="0.3">
      <c r="C1823"/>
    </row>
    <row r="1824" spans="3:3" x14ac:dyDescent="0.3">
      <c r="C1824"/>
    </row>
    <row r="1825" spans="3:3" x14ac:dyDescent="0.3">
      <c r="C1825"/>
    </row>
    <row r="1826" spans="3:3" x14ac:dyDescent="0.3">
      <c r="C1826"/>
    </row>
    <row r="1827" spans="3:3" x14ac:dyDescent="0.3">
      <c r="C1827"/>
    </row>
    <row r="1828" spans="3:3" x14ac:dyDescent="0.3">
      <c r="C1828"/>
    </row>
    <row r="1829" spans="3:3" x14ac:dyDescent="0.3">
      <c r="C1829"/>
    </row>
    <row r="1830" spans="3:3" x14ac:dyDescent="0.3">
      <c r="C1830"/>
    </row>
    <row r="1831" spans="3:3" x14ac:dyDescent="0.3">
      <c r="C1831"/>
    </row>
    <row r="1832" spans="3:3" x14ac:dyDescent="0.3">
      <c r="C1832"/>
    </row>
    <row r="1833" spans="3:3" x14ac:dyDescent="0.3">
      <c r="C1833"/>
    </row>
    <row r="1834" spans="3:3" x14ac:dyDescent="0.3">
      <c r="C1834"/>
    </row>
    <row r="1835" spans="3:3" x14ac:dyDescent="0.3">
      <c r="C1835"/>
    </row>
    <row r="1836" spans="3:3" x14ac:dyDescent="0.3">
      <c r="C1836"/>
    </row>
    <row r="1837" spans="3:3" x14ac:dyDescent="0.3">
      <c r="C1837"/>
    </row>
    <row r="1838" spans="3:3" x14ac:dyDescent="0.3">
      <c r="C1838"/>
    </row>
    <row r="1839" spans="3:3" x14ac:dyDescent="0.3">
      <c r="C1839"/>
    </row>
    <row r="1840" spans="3:3" x14ac:dyDescent="0.3">
      <c r="C1840"/>
    </row>
    <row r="1841" spans="3:3" x14ac:dyDescent="0.3">
      <c r="C1841"/>
    </row>
    <row r="1842" spans="3:3" x14ac:dyDescent="0.3">
      <c r="C1842"/>
    </row>
    <row r="1843" spans="3:3" x14ac:dyDescent="0.3">
      <c r="C1843"/>
    </row>
    <row r="1844" spans="3:3" x14ac:dyDescent="0.3">
      <c r="C1844"/>
    </row>
    <row r="1845" spans="3:3" x14ac:dyDescent="0.3">
      <c r="C1845"/>
    </row>
    <row r="1846" spans="3:3" x14ac:dyDescent="0.3">
      <c r="C1846"/>
    </row>
    <row r="1847" spans="3:3" x14ac:dyDescent="0.3">
      <c r="C1847"/>
    </row>
    <row r="1848" spans="3:3" x14ac:dyDescent="0.3">
      <c r="C1848"/>
    </row>
    <row r="1849" spans="3:3" x14ac:dyDescent="0.3">
      <c r="C1849"/>
    </row>
    <row r="1850" spans="3:3" x14ac:dyDescent="0.3">
      <c r="C1850"/>
    </row>
    <row r="1851" spans="3:3" x14ac:dyDescent="0.3">
      <c r="C1851"/>
    </row>
    <row r="1852" spans="3:3" x14ac:dyDescent="0.3">
      <c r="C1852"/>
    </row>
    <row r="1853" spans="3:3" x14ac:dyDescent="0.3">
      <c r="C1853"/>
    </row>
    <row r="1854" spans="3:3" x14ac:dyDescent="0.3">
      <c r="C1854"/>
    </row>
    <row r="1855" spans="3:3" x14ac:dyDescent="0.3">
      <c r="C1855"/>
    </row>
    <row r="1856" spans="3:3" x14ac:dyDescent="0.3">
      <c r="C1856"/>
    </row>
    <row r="1857" spans="3:3" x14ac:dyDescent="0.3">
      <c r="C1857"/>
    </row>
    <row r="1858" spans="3:3" x14ac:dyDescent="0.3">
      <c r="C1858"/>
    </row>
    <row r="1859" spans="3:3" x14ac:dyDescent="0.3">
      <c r="C1859"/>
    </row>
    <row r="1860" spans="3:3" x14ac:dyDescent="0.3">
      <c r="C1860"/>
    </row>
    <row r="1861" spans="3:3" x14ac:dyDescent="0.3">
      <c r="C1861"/>
    </row>
    <row r="1862" spans="3:3" x14ac:dyDescent="0.3">
      <c r="C1862"/>
    </row>
    <row r="1863" spans="3:3" x14ac:dyDescent="0.3">
      <c r="C1863"/>
    </row>
    <row r="1864" spans="3:3" x14ac:dyDescent="0.3">
      <c r="C1864"/>
    </row>
    <row r="1865" spans="3:3" x14ac:dyDescent="0.3">
      <c r="C1865"/>
    </row>
    <row r="1866" spans="3:3" x14ac:dyDescent="0.3">
      <c r="C1866"/>
    </row>
    <row r="1867" spans="3:3" x14ac:dyDescent="0.3">
      <c r="C1867"/>
    </row>
    <row r="1868" spans="3:3" x14ac:dyDescent="0.3">
      <c r="C1868"/>
    </row>
    <row r="1869" spans="3:3" x14ac:dyDescent="0.3">
      <c r="C1869"/>
    </row>
    <row r="1870" spans="3:3" x14ac:dyDescent="0.3">
      <c r="C1870"/>
    </row>
    <row r="1871" spans="3:3" x14ac:dyDescent="0.3">
      <c r="C1871"/>
    </row>
    <row r="1872" spans="3:3" x14ac:dyDescent="0.3">
      <c r="C1872"/>
    </row>
    <row r="1873" spans="3:3" x14ac:dyDescent="0.3">
      <c r="C1873"/>
    </row>
    <row r="1874" spans="3:3" x14ac:dyDescent="0.3">
      <c r="C1874"/>
    </row>
    <row r="1875" spans="3:3" x14ac:dyDescent="0.3">
      <c r="C1875"/>
    </row>
    <row r="1876" spans="3:3" x14ac:dyDescent="0.3">
      <c r="C1876"/>
    </row>
    <row r="1877" spans="3:3" x14ac:dyDescent="0.3">
      <c r="C1877"/>
    </row>
    <row r="1878" spans="3:3" x14ac:dyDescent="0.3">
      <c r="C1878"/>
    </row>
    <row r="1879" spans="3:3" x14ac:dyDescent="0.3">
      <c r="C1879"/>
    </row>
    <row r="1880" spans="3:3" x14ac:dyDescent="0.3">
      <c r="C1880"/>
    </row>
    <row r="1881" spans="3:3" x14ac:dyDescent="0.3">
      <c r="C1881"/>
    </row>
    <row r="1882" spans="3:3" x14ac:dyDescent="0.3">
      <c r="C1882"/>
    </row>
    <row r="1883" spans="3:3" x14ac:dyDescent="0.3">
      <c r="C1883"/>
    </row>
    <row r="1884" spans="3:3" x14ac:dyDescent="0.3">
      <c r="C1884"/>
    </row>
    <row r="1885" spans="3:3" x14ac:dyDescent="0.3">
      <c r="C1885"/>
    </row>
    <row r="1886" spans="3:3" x14ac:dyDescent="0.3">
      <c r="C1886"/>
    </row>
    <row r="1887" spans="3:3" x14ac:dyDescent="0.3">
      <c r="C1887"/>
    </row>
    <row r="1888" spans="3:3" x14ac:dyDescent="0.3">
      <c r="C1888"/>
    </row>
    <row r="1889" spans="3:3" x14ac:dyDescent="0.3">
      <c r="C1889"/>
    </row>
    <row r="1890" spans="3:3" x14ac:dyDescent="0.3">
      <c r="C1890"/>
    </row>
    <row r="1891" spans="3:3" x14ac:dyDescent="0.3">
      <c r="C1891"/>
    </row>
    <row r="1892" spans="3:3" x14ac:dyDescent="0.3">
      <c r="C1892"/>
    </row>
    <row r="1893" spans="3:3" x14ac:dyDescent="0.3">
      <c r="C1893"/>
    </row>
    <row r="1894" spans="3:3" x14ac:dyDescent="0.3">
      <c r="C1894"/>
    </row>
    <row r="1895" spans="3:3" x14ac:dyDescent="0.3">
      <c r="C1895"/>
    </row>
    <row r="1896" spans="3:3" x14ac:dyDescent="0.3">
      <c r="C1896"/>
    </row>
    <row r="1897" spans="3:3" x14ac:dyDescent="0.3">
      <c r="C1897"/>
    </row>
    <row r="1898" spans="3:3" x14ac:dyDescent="0.3">
      <c r="C1898"/>
    </row>
    <row r="1899" spans="3:3" x14ac:dyDescent="0.3">
      <c r="C1899"/>
    </row>
    <row r="1900" spans="3:3" x14ac:dyDescent="0.3">
      <c r="C1900"/>
    </row>
    <row r="1901" spans="3:3" x14ac:dyDescent="0.3">
      <c r="C1901"/>
    </row>
    <row r="1902" spans="3:3" x14ac:dyDescent="0.3">
      <c r="C1902"/>
    </row>
    <row r="1903" spans="3:3" x14ac:dyDescent="0.3">
      <c r="C1903"/>
    </row>
    <row r="1904" spans="3:3" x14ac:dyDescent="0.3">
      <c r="C1904"/>
    </row>
    <row r="1905" spans="3:3" x14ac:dyDescent="0.3">
      <c r="C1905"/>
    </row>
    <row r="1906" spans="3:3" x14ac:dyDescent="0.3">
      <c r="C1906"/>
    </row>
    <row r="1907" spans="3:3" x14ac:dyDescent="0.3">
      <c r="C1907"/>
    </row>
    <row r="1908" spans="3:3" x14ac:dyDescent="0.3">
      <c r="C1908"/>
    </row>
    <row r="1909" spans="3:3" x14ac:dyDescent="0.3">
      <c r="C1909"/>
    </row>
    <row r="1910" spans="3:3" x14ac:dyDescent="0.3">
      <c r="C1910"/>
    </row>
    <row r="1911" spans="3:3" x14ac:dyDescent="0.3">
      <c r="C1911"/>
    </row>
    <row r="1912" spans="3:3" x14ac:dyDescent="0.3">
      <c r="C1912"/>
    </row>
    <row r="1913" spans="3:3" x14ac:dyDescent="0.3">
      <c r="C1913"/>
    </row>
    <row r="1914" spans="3:3" x14ac:dyDescent="0.3">
      <c r="C1914"/>
    </row>
    <row r="1915" spans="3:3" x14ac:dyDescent="0.3">
      <c r="C1915"/>
    </row>
    <row r="1916" spans="3:3" x14ac:dyDescent="0.3">
      <c r="C1916"/>
    </row>
    <row r="1917" spans="3:3" x14ac:dyDescent="0.3">
      <c r="C1917"/>
    </row>
    <row r="1918" spans="3:3" x14ac:dyDescent="0.3">
      <c r="C1918"/>
    </row>
    <row r="1919" spans="3:3" x14ac:dyDescent="0.3">
      <c r="C1919"/>
    </row>
    <row r="1920" spans="3:3" x14ac:dyDescent="0.3">
      <c r="C1920"/>
    </row>
    <row r="1921" spans="3:3" x14ac:dyDescent="0.3">
      <c r="C1921"/>
    </row>
    <row r="1922" spans="3:3" x14ac:dyDescent="0.3">
      <c r="C1922"/>
    </row>
    <row r="1923" spans="3:3" x14ac:dyDescent="0.3">
      <c r="C1923"/>
    </row>
    <row r="1924" spans="3:3" x14ac:dyDescent="0.3">
      <c r="C1924"/>
    </row>
    <row r="1925" spans="3:3" x14ac:dyDescent="0.3">
      <c r="C1925"/>
    </row>
    <row r="1926" spans="3:3" x14ac:dyDescent="0.3">
      <c r="C1926"/>
    </row>
    <row r="1927" spans="3:3" x14ac:dyDescent="0.3">
      <c r="C1927"/>
    </row>
    <row r="1928" spans="3:3" x14ac:dyDescent="0.3">
      <c r="C1928"/>
    </row>
    <row r="1929" spans="3:3" x14ac:dyDescent="0.3">
      <c r="C1929"/>
    </row>
    <row r="1930" spans="3:3" x14ac:dyDescent="0.3">
      <c r="C1930"/>
    </row>
    <row r="1931" spans="3:3" x14ac:dyDescent="0.3">
      <c r="C1931"/>
    </row>
    <row r="1932" spans="3:3" x14ac:dyDescent="0.3">
      <c r="C1932"/>
    </row>
    <row r="1933" spans="3:3" x14ac:dyDescent="0.3">
      <c r="C1933"/>
    </row>
    <row r="1934" spans="3:3" x14ac:dyDescent="0.3">
      <c r="C1934"/>
    </row>
    <row r="1935" spans="3:3" x14ac:dyDescent="0.3">
      <c r="C1935"/>
    </row>
    <row r="1936" spans="3:3" x14ac:dyDescent="0.3">
      <c r="C1936"/>
    </row>
    <row r="1937" spans="3:3" x14ac:dyDescent="0.3">
      <c r="C1937"/>
    </row>
    <row r="1938" spans="3:3" x14ac:dyDescent="0.3">
      <c r="C1938"/>
    </row>
    <row r="1939" spans="3:3" x14ac:dyDescent="0.3">
      <c r="C1939"/>
    </row>
    <row r="1940" spans="3:3" x14ac:dyDescent="0.3">
      <c r="C1940"/>
    </row>
    <row r="1941" spans="3:3" x14ac:dyDescent="0.3">
      <c r="C1941"/>
    </row>
    <row r="1942" spans="3:3" x14ac:dyDescent="0.3">
      <c r="C1942"/>
    </row>
    <row r="1943" spans="3:3" x14ac:dyDescent="0.3">
      <c r="C1943"/>
    </row>
    <row r="1944" spans="3:3" x14ac:dyDescent="0.3">
      <c r="C1944"/>
    </row>
    <row r="1945" spans="3:3" x14ac:dyDescent="0.3">
      <c r="C1945"/>
    </row>
    <row r="1946" spans="3:3" x14ac:dyDescent="0.3">
      <c r="C1946"/>
    </row>
    <row r="1947" spans="3:3" x14ac:dyDescent="0.3">
      <c r="C1947"/>
    </row>
    <row r="1948" spans="3:3" x14ac:dyDescent="0.3">
      <c r="C1948"/>
    </row>
    <row r="1949" spans="3:3" x14ac:dyDescent="0.3">
      <c r="C1949"/>
    </row>
    <row r="1950" spans="3:3" x14ac:dyDescent="0.3">
      <c r="C1950"/>
    </row>
    <row r="1951" spans="3:3" x14ac:dyDescent="0.3">
      <c r="C1951"/>
    </row>
    <row r="1952" spans="3:3" x14ac:dyDescent="0.3">
      <c r="C1952"/>
    </row>
    <row r="1953" spans="3:3" x14ac:dyDescent="0.3">
      <c r="C1953"/>
    </row>
    <row r="1954" spans="3:3" x14ac:dyDescent="0.3">
      <c r="C1954"/>
    </row>
    <row r="1955" spans="3:3" x14ac:dyDescent="0.3">
      <c r="C1955"/>
    </row>
    <row r="1956" spans="3:3" x14ac:dyDescent="0.3">
      <c r="C1956"/>
    </row>
    <row r="1957" spans="3:3" x14ac:dyDescent="0.3">
      <c r="C1957"/>
    </row>
    <row r="1958" spans="3:3" x14ac:dyDescent="0.3">
      <c r="C1958"/>
    </row>
    <row r="1959" spans="3:3" x14ac:dyDescent="0.3">
      <c r="C1959"/>
    </row>
    <row r="1960" spans="3:3" x14ac:dyDescent="0.3">
      <c r="C1960"/>
    </row>
    <row r="1961" spans="3:3" x14ac:dyDescent="0.3">
      <c r="C1961"/>
    </row>
    <row r="1962" spans="3:3" x14ac:dyDescent="0.3">
      <c r="C1962"/>
    </row>
    <row r="1963" spans="3:3" x14ac:dyDescent="0.3">
      <c r="C1963"/>
    </row>
    <row r="1964" spans="3:3" x14ac:dyDescent="0.3">
      <c r="C1964"/>
    </row>
    <row r="1965" spans="3:3" x14ac:dyDescent="0.3">
      <c r="C1965"/>
    </row>
    <row r="1966" spans="3:3" x14ac:dyDescent="0.3">
      <c r="C1966"/>
    </row>
    <row r="1967" spans="3:3" x14ac:dyDescent="0.3">
      <c r="C1967"/>
    </row>
    <row r="1968" spans="3:3" x14ac:dyDescent="0.3">
      <c r="C1968"/>
    </row>
    <row r="1969" spans="3:3" x14ac:dyDescent="0.3">
      <c r="C1969"/>
    </row>
    <row r="1970" spans="3:3" x14ac:dyDescent="0.3">
      <c r="C1970"/>
    </row>
    <row r="1971" spans="3:3" x14ac:dyDescent="0.3">
      <c r="C1971"/>
    </row>
    <row r="1972" spans="3:3" x14ac:dyDescent="0.3">
      <c r="C1972"/>
    </row>
    <row r="1973" spans="3:3" x14ac:dyDescent="0.3">
      <c r="C1973"/>
    </row>
    <row r="1974" spans="3:3" x14ac:dyDescent="0.3">
      <c r="C1974"/>
    </row>
    <row r="1975" spans="3:3" x14ac:dyDescent="0.3">
      <c r="C1975"/>
    </row>
    <row r="1976" spans="3:3" x14ac:dyDescent="0.3">
      <c r="C1976"/>
    </row>
    <row r="1977" spans="3:3" x14ac:dyDescent="0.3">
      <c r="C1977"/>
    </row>
    <row r="1978" spans="3:3" x14ac:dyDescent="0.3">
      <c r="C1978"/>
    </row>
    <row r="1979" spans="3:3" x14ac:dyDescent="0.3">
      <c r="C1979"/>
    </row>
    <row r="1980" spans="3:3" x14ac:dyDescent="0.3">
      <c r="C1980"/>
    </row>
    <row r="1981" spans="3:3" x14ac:dyDescent="0.3">
      <c r="C1981"/>
    </row>
    <row r="1982" spans="3:3" x14ac:dyDescent="0.3">
      <c r="C1982"/>
    </row>
    <row r="1983" spans="3:3" x14ac:dyDescent="0.3">
      <c r="C1983"/>
    </row>
    <row r="1984" spans="3:3" x14ac:dyDescent="0.3">
      <c r="C1984"/>
    </row>
    <row r="1985" spans="3:3" x14ac:dyDescent="0.3">
      <c r="C1985"/>
    </row>
    <row r="1986" spans="3:3" x14ac:dyDescent="0.3">
      <c r="C1986"/>
    </row>
    <row r="1987" spans="3:3" x14ac:dyDescent="0.3">
      <c r="C1987"/>
    </row>
    <row r="1988" spans="3:3" x14ac:dyDescent="0.3">
      <c r="C1988"/>
    </row>
    <row r="1989" spans="3:3" x14ac:dyDescent="0.3">
      <c r="C1989"/>
    </row>
    <row r="1990" spans="3:3" x14ac:dyDescent="0.3">
      <c r="C1990"/>
    </row>
    <row r="1991" spans="3:3" x14ac:dyDescent="0.3">
      <c r="C1991"/>
    </row>
    <row r="1992" spans="3:3" x14ac:dyDescent="0.3">
      <c r="C1992"/>
    </row>
    <row r="1993" spans="3:3" x14ac:dyDescent="0.3">
      <c r="C1993"/>
    </row>
    <row r="1994" spans="3:3" x14ac:dyDescent="0.3">
      <c r="C1994"/>
    </row>
    <row r="1995" spans="3:3" x14ac:dyDescent="0.3">
      <c r="C1995"/>
    </row>
    <row r="1996" spans="3:3" x14ac:dyDescent="0.3">
      <c r="C1996"/>
    </row>
    <row r="1997" spans="3:3" x14ac:dyDescent="0.3">
      <c r="C1997"/>
    </row>
    <row r="1998" spans="3:3" x14ac:dyDescent="0.3">
      <c r="C1998"/>
    </row>
    <row r="1999" spans="3:3" x14ac:dyDescent="0.3">
      <c r="C1999"/>
    </row>
    <row r="2000" spans="3:3" x14ac:dyDescent="0.3">
      <c r="C2000"/>
    </row>
    <row r="2001" spans="3:3" x14ac:dyDescent="0.3">
      <c r="C2001"/>
    </row>
    <row r="2002" spans="3:3" x14ac:dyDescent="0.3">
      <c r="C2002"/>
    </row>
    <row r="2003" spans="3:3" x14ac:dyDescent="0.3">
      <c r="C2003"/>
    </row>
    <row r="2004" spans="3:3" x14ac:dyDescent="0.3">
      <c r="C2004"/>
    </row>
    <row r="2005" spans="3:3" x14ac:dyDescent="0.3">
      <c r="C2005"/>
    </row>
    <row r="2006" spans="3:3" x14ac:dyDescent="0.3">
      <c r="C2006"/>
    </row>
    <row r="2007" spans="3:3" x14ac:dyDescent="0.3">
      <c r="C2007"/>
    </row>
    <row r="2008" spans="3:3" x14ac:dyDescent="0.3">
      <c r="C2008"/>
    </row>
    <row r="2009" spans="3:3" x14ac:dyDescent="0.3">
      <c r="C2009"/>
    </row>
    <row r="2010" spans="3:3" x14ac:dyDescent="0.3">
      <c r="C2010"/>
    </row>
    <row r="2011" spans="3:3" x14ac:dyDescent="0.3">
      <c r="C2011"/>
    </row>
    <row r="2012" spans="3:3" x14ac:dyDescent="0.3">
      <c r="C2012"/>
    </row>
    <row r="2013" spans="3:3" x14ac:dyDescent="0.3">
      <c r="C2013"/>
    </row>
    <row r="2014" spans="3:3" x14ac:dyDescent="0.3">
      <c r="C2014"/>
    </row>
    <row r="2015" spans="3:3" x14ac:dyDescent="0.3">
      <c r="C2015"/>
    </row>
    <row r="2016" spans="3:3" x14ac:dyDescent="0.3">
      <c r="C2016"/>
    </row>
    <row r="2017" spans="3:3" x14ac:dyDescent="0.3">
      <c r="C2017"/>
    </row>
    <row r="2018" spans="3:3" x14ac:dyDescent="0.3">
      <c r="C2018"/>
    </row>
    <row r="2019" spans="3:3" x14ac:dyDescent="0.3">
      <c r="C2019"/>
    </row>
    <row r="2020" spans="3:3" x14ac:dyDescent="0.3">
      <c r="C2020"/>
    </row>
    <row r="2021" spans="3:3" x14ac:dyDescent="0.3">
      <c r="C2021"/>
    </row>
    <row r="2022" spans="3:3" x14ac:dyDescent="0.3">
      <c r="C2022"/>
    </row>
    <row r="2023" spans="3:3" x14ac:dyDescent="0.3">
      <c r="C2023"/>
    </row>
    <row r="2024" spans="3:3" x14ac:dyDescent="0.3">
      <c r="C2024"/>
    </row>
    <row r="2025" spans="3:3" x14ac:dyDescent="0.3">
      <c r="C2025"/>
    </row>
    <row r="2026" spans="3:3" x14ac:dyDescent="0.3">
      <c r="C2026"/>
    </row>
    <row r="2027" spans="3:3" x14ac:dyDescent="0.3">
      <c r="C2027"/>
    </row>
    <row r="2028" spans="3:3" x14ac:dyDescent="0.3">
      <c r="C2028"/>
    </row>
    <row r="2029" spans="3:3" x14ac:dyDescent="0.3">
      <c r="C2029"/>
    </row>
    <row r="2030" spans="3:3" x14ac:dyDescent="0.3">
      <c r="C2030"/>
    </row>
    <row r="2031" spans="3:3" x14ac:dyDescent="0.3">
      <c r="C2031"/>
    </row>
    <row r="2032" spans="3:3" x14ac:dyDescent="0.3">
      <c r="C2032"/>
    </row>
    <row r="2033" spans="3:3" x14ac:dyDescent="0.3">
      <c r="C2033"/>
    </row>
    <row r="2034" spans="3:3" x14ac:dyDescent="0.3">
      <c r="C2034"/>
    </row>
    <row r="2035" spans="3:3" x14ac:dyDescent="0.3">
      <c r="C2035"/>
    </row>
    <row r="2036" spans="3:3" x14ac:dyDescent="0.3">
      <c r="C2036"/>
    </row>
    <row r="2037" spans="3:3" x14ac:dyDescent="0.3">
      <c r="C2037"/>
    </row>
    <row r="2038" spans="3:3" x14ac:dyDescent="0.3">
      <c r="C2038"/>
    </row>
    <row r="2039" spans="3:3" x14ac:dyDescent="0.3">
      <c r="C2039"/>
    </row>
    <row r="2040" spans="3:3" x14ac:dyDescent="0.3">
      <c r="C2040"/>
    </row>
    <row r="2041" spans="3:3" x14ac:dyDescent="0.3">
      <c r="C2041"/>
    </row>
    <row r="2042" spans="3:3" x14ac:dyDescent="0.3">
      <c r="C2042"/>
    </row>
    <row r="2043" spans="3:3" x14ac:dyDescent="0.3">
      <c r="C2043"/>
    </row>
    <row r="2044" spans="3:3" x14ac:dyDescent="0.3">
      <c r="C2044"/>
    </row>
    <row r="2045" spans="3:3" x14ac:dyDescent="0.3">
      <c r="C2045"/>
    </row>
    <row r="2046" spans="3:3" x14ac:dyDescent="0.3">
      <c r="C2046"/>
    </row>
    <row r="2047" spans="3:3" x14ac:dyDescent="0.3">
      <c r="C2047"/>
    </row>
    <row r="2048" spans="3:3" x14ac:dyDescent="0.3">
      <c r="C2048"/>
    </row>
    <row r="2049" spans="3:3" x14ac:dyDescent="0.3">
      <c r="C2049"/>
    </row>
    <row r="2050" spans="3:3" x14ac:dyDescent="0.3">
      <c r="C2050"/>
    </row>
    <row r="2051" spans="3:3" x14ac:dyDescent="0.3">
      <c r="C2051"/>
    </row>
    <row r="2052" spans="3:3" x14ac:dyDescent="0.3">
      <c r="C2052"/>
    </row>
    <row r="2053" spans="3:3" x14ac:dyDescent="0.3">
      <c r="C2053"/>
    </row>
    <row r="2054" spans="3:3" x14ac:dyDescent="0.3">
      <c r="C2054"/>
    </row>
    <row r="2055" spans="3:3" x14ac:dyDescent="0.3">
      <c r="C2055"/>
    </row>
    <row r="2056" spans="3:3" x14ac:dyDescent="0.3">
      <c r="C2056"/>
    </row>
    <row r="2057" spans="3:3" x14ac:dyDescent="0.3">
      <c r="C2057"/>
    </row>
    <row r="2058" spans="3:3" x14ac:dyDescent="0.3">
      <c r="C2058"/>
    </row>
    <row r="2059" spans="3:3" x14ac:dyDescent="0.3">
      <c r="C2059"/>
    </row>
    <row r="2060" spans="3:3" x14ac:dyDescent="0.3">
      <c r="C2060"/>
    </row>
    <row r="2061" spans="3:3" x14ac:dyDescent="0.3">
      <c r="C2061"/>
    </row>
    <row r="2062" spans="3:3" x14ac:dyDescent="0.3">
      <c r="C2062"/>
    </row>
    <row r="2063" spans="3:3" x14ac:dyDescent="0.3">
      <c r="C2063"/>
    </row>
    <row r="2064" spans="3:3" x14ac:dyDescent="0.3">
      <c r="C2064"/>
    </row>
    <row r="2065" spans="3:3" x14ac:dyDescent="0.3">
      <c r="C2065"/>
    </row>
    <row r="2066" spans="3:3" x14ac:dyDescent="0.3">
      <c r="C2066"/>
    </row>
    <row r="2067" spans="3:3" x14ac:dyDescent="0.3">
      <c r="C2067"/>
    </row>
    <row r="2068" spans="3:3" x14ac:dyDescent="0.3">
      <c r="C2068"/>
    </row>
    <row r="2069" spans="3:3" x14ac:dyDescent="0.3">
      <c r="C2069"/>
    </row>
    <row r="2070" spans="3:3" x14ac:dyDescent="0.3">
      <c r="C2070"/>
    </row>
    <row r="2071" spans="3:3" x14ac:dyDescent="0.3">
      <c r="C2071"/>
    </row>
    <row r="2072" spans="3:3" x14ac:dyDescent="0.3">
      <c r="C2072"/>
    </row>
    <row r="2073" spans="3:3" x14ac:dyDescent="0.3">
      <c r="C2073"/>
    </row>
    <row r="2074" spans="3:3" x14ac:dyDescent="0.3">
      <c r="C2074"/>
    </row>
    <row r="2075" spans="3:3" x14ac:dyDescent="0.3">
      <c r="C2075"/>
    </row>
    <row r="2076" spans="3:3" x14ac:dyDescent="0.3">
      <c r="C2076"/>
    </row>
    <row r="2077" spans="3:3" x14ac:dyDescent="0.3">
      <c r="C2077"/>
    </row>
    <row r="2078" spans="3:3" x14ac:dyDescent="0.3">
      <c r="C2078"/>
    </row>
    <row r="2079" spans="3:3" x14ac:dyDescent="0.3">
      <c r="C2079"/>
    </row>
    <row r="2080" spans="3:3" x14ac:dyDescent="0.3">
      <c r="C2080"/>
    </row>
    <row r="2081" spans="3:3" x14ac:dyDescent="0.3">
      <c r="C2081"/>
    </row>
    <row r="2082" spans="3:3" x14ac:dyDescent="0.3">
      <c r="C2082"/>
    </row>
    <row r="2083" spans="3:3" x14ac:dyDescent="0.3">
      <c r="C2083"/>
    </row>
    <row r="2084" spans="3:3" x14ac:dyDescent="0.3">
      <c r="C2084"/>
    </row>
    <row r="2085" spans="3:3" x14ac:dyDescent="0.3">
      <c r="C2085"/>
    </row>
    <row r="2086" spans="3:3" x14ac:dyDescent="0.3">
      <c r="C2086"/>
    </row>
    <row r="2087" spans="3:3" x14ac:dyDescent="0.3">
      <c r="C2087"/>
    </row>
    <row r="2088" spans="3:3" x14ac:dyDescent="0.3">
      <c r="C2088"/>
    </row>
    <row r="2089" spans="3:3" x14ac:dyDescent="0.3">
      <c r="C2089"/>
    </row>
    <row r="2090" spans="3:3" x14ac:dyDescent="0.3">
      <c r="C2090"/>
    </row>
    <row r="2091" spans="3:3" x14ac:dyDescent="0.3">
      <c r="C2091"/>
    </row>
    <row r="2092" spans="3:3" x14ac:dyDescent="0.3">
      <c r="C2092"/>
    </row>
    <row r="2093" spans="3:3" x14ac:dyDescent="0.3">
      <c r="C2093"/>
    </row>
    <row r="2094" spans="3:3" x14ac:dyDescent="0.3">
      <c r="C2094"/>
    </row>
    <row r="2095" spans="3:3" x14ac:dyDescent="0.3">
      <c r="C2095"/>
    </row>
    <row r="2096" spans="3:3" x14ac:dyDescent="0.3">
      <c r="C2096"/>
    </row>
    <row r="2097" spans="3:3" x14ac:dyDescent="0.3">
      <c r="C2097"/>
    </row>
    <row r="2098" spans="3:3" x14ac:dyDescent="0.3">
      <c r="C2098"/>
    </row>
    <row r="2099" spans="3:3" x14ac:dyDescent="0.3">
      <c r="C2099"/>
    </row>
    <row r="2100" spans="3:3" x14ac:dyDescent="0.3">
      <c r="C2100"/>
    </row>
    <row r="2101" spans="3:3" x14ac:dyDescent="0.3">
      <c r="C2101"/>
    </row>
    <row r="2102" spans="3:3" x14ac:dyDescent="0.3">
      <c r="C2102"/>
    </row>
    <row r="2103" spans="3:3" x14ac:dyDescent="0.3">
      <c r="C2103"/>
    </row>
    <row r="2104" spans="3:3" x14ac:dyDescent="0.3">
      <c r="C2104"/>
    </row>
    <row r="2105" spans="3:3" x14ac:dyDescent="0.3">
      <c r="C2105"/>
    </row>
    <row r="2106" spans="3:3" x14ac:dyDescent="0.3">
      <c r="C2106"/>
    </row>
    <row r="2107" spans="3:3" x14ac:dyDescent="0.3">
      <c r="C2107"/>
    </row>
    <row r="2108" spans="3:3" x14ac:dyDescent="0.3">
      <c r="C2108"/>
    </row>
    <row r="2109" spans="3:3" x14ac:dyDescent="0.3">
      <c r="C2109"/>
    </row>
    <row r="2110" spans="3:3" x14ac:dyDescent="0.3">
      <c r="C2110"/>
    </row>
    <row r="2111" spans="3:3" x14ac:dyDescent="0.3">
      <c r="C2111"/>
    </row>
    <row r="2112" spans="3:3" x14ac:dyDescent="0.3">
      <c r="C2112"/>
    </row>
    <row r="2113" spans="3:3" x14ac:dyDescent="0.3">
      <c r="C2113"/>
    </row>
    <row r="2114" spans="3:3" x14ac:dyDescent="0.3">
      <c r="C2114"/>
    </row>
    <row r="2115" spans="3:3" x14ac:dyDescent="0.3">
      <c r="C2115"/>
    </row>
    <row r="2116" spans="3:3" x14ac:dyDescent="0.3">
      <c r="C2116"/>
    </row>
    <row r="2117" spans="3:3" x14ac:dyDescent="0.3">
      <c r="C2117"/>
    </row>
    <row r="2118" spans="3:3" x14ac:dyDescent="0.3">
      <c r="C2118"/>
    </row>
    <row r="2119" spans="3:3" x14ac:dyDescent="0.3">
      <c r="C2119"/>
    </row>
    <row r="2120" spans="3:3" x14ac:dyDescent="0.3">
      <c r="C2120"/>
    </row>
    <row r="2121" spans="3:3" x14ac:dyDescent="0.3">
      <c r="C2121"/>
    </row>
    <row r="2122" spans="3:3" x14ac:dyDescent="0.3">
      <c r="C2122"/>
    </row>
    <row r="2123" spans="3:3" x14ac:dyDescent="0.3">
      <c r="C2123"/>
    </row>
    <row r="2124" spans="3:3" x14ac:dyDescent="0.3">
      <c r="C2124"/>
    </row>
    <row r="2125" spans="3:3" x14ac:dyDescent="0.3">
      <c r="C2125"/>
    </row>
    <row r="2126" spans="3:3" x14ac:dyDescent="0.3">
      <c r="C2126"/>
    </row>
    <row r="2127" spans="3:3" x14ac:dyDescent="0.3">
      <c r="C2127"/>
    </row>
    <row r="2128" spans="3:3" x14ac:dyDescent="0.3">
      <c r="C2128"/>
    </row>
    <row r="2129" spans="3:3" x14ac:dyDescent="0.3">
      <c r="C2129"/>
    </row>
    <row r="2130" spans="3:3" x14ac:dyDescent="0.3">
      <c r="C2130"/>
    </row>
    <row r="2131" spans="3:3" x14ac:dyDescent="0.3">
      <c r="C2131"/>
    </row>
    <row r="2132" spans="3:3" x14ac:dyDescent="0.3">
      <c r="C2132"/>
    </row>
    <row r="2133" spans="3:3" x14ac:dyDescent="0.3">
      <c r="C2133"/>
    </row>
    <row r="2134" spans="3:3" x14ac:dyDescent="0.3">
      <c r="C2134"/>
    </row>
    <row r="2135" spans="3:3" x14ac:dyDescent="0.3">
      <c r="C2135"/>
    </row>
    <row r="2136" spans="3:3" x14ac:dyDescent="0.3">
      <c r="C2136"/>
    </row>
    <row r="2137" spans="3:3" x14ac:dyDescent="0.3">
      <c r="C2137"/>
    </row>
    <row r="2138" spans="3:3" x14ac:dyDescent="0.3">
      <c r="C2138"/>
    </row>
    <row r="2139" spans="3:3" x14ac:dyDescent="0.3">
      <c r="C2139"/>
    </row>
    <row r="2140" spans="3:3" x14ac:dyDescent="0.3">
      <c r="C2140"/>
    </row>
    <row r="2141" spans="3:3" x14ac:dyDescent="0.3">
      <c r="C2141"/>
    </row>
    <row r="2142" spans="3:3" x14ac:dyDescent="0.3">
      <c r="C2142"/>
    </row>
    <row r="2143" spans="3:3" x14ac:dyDescent="0.3">
      <c r="C2143"/>
    </row>
    <row r="2144" spans="3:3" x14ac:dyDescent="0.3">
      <c r="C2144"/>
    </row>
    <row r="2145" spans="3:3" x14ac:dyDescent="0.3">
      <c r="C2145"/>
    </row>
    <row r="2146" spans="3:3" x14ac:dyDescent="0.3">
      <c r="C2146"/>
    </row>
    <row r="2147" spans="3:3" x14ac:dyDescent="0.3">
      <c r="C2147"/>
    </row>
    <row r="2148" spans="3:3" x14ac:dyDescent="0.3">
      <c r="C2148"/>
    </row>
    <row r="2149" spans="3:3" x14ac:dyDescent="0.3">
      <c r="C2149"/>
    </row>
    <row r="2150" spans="3:3" x14ac:dyDescent="0.3">
      <c r="C2150"/>
    </row>
    <row r="2151" spans="3:3" x14ac:dyDescent="0.3">
      <c r="C2151"/>
    </row>
    <row r="2152" spans="3:3" x14ac:dyDescent="0.3">
      <c r="C2152"/>
    </row>
    <row r="2153" spans="3:3" x14ac:dyDescent="0.3">
      <c r="C2153"/>
    </row>
    <row r="2154" spans="3:3" x14ac:dyDescent="0.3">
      <c r="C2154"/>
    </row>
    <row r="2155" spans="3:3" x14ac:dyDescent="0.3">
      <c r="C2155"/>
    </row>
    <row r="2156" spans="3:3" x14ac:dyDescent="0.3">
      <c r="C2156"/>
    </row>
    <row r="2157" spans="3:3" x14ac:dyDescent="0.3">
      <c r="C2157"/>
    </row>
    <row r="2158" spans="3:3" x14ac:dyDescent="0.3">
      <c r="C2158"/>
    </row>
    <row r="2159" spans="3:3" x14ac:dyDescent="0.3">
      <c r="C2159"/>
    </row>
    <row r="2160" spans="3:3" x14ac:dyDescent="0.3">
      <c r="C2160"/>
    </row>
    <row r="2161" spans="3:3" x14ac:dyDescent="0.3">
      <c r="C2161"/>
    </row>
    <row r="2162" spans="3:3" x14ac:dyDescent="0.3">
      <c r="C2162"/>
    </row>
    <row r="2163" spans="3:3" x14ac:dyDescent="0.3">
      <c r="C2163"/>
    </row>
    <row r="2164" spans="3:3" x14ac:dyDescent="0.3">
      <c r="C2164"/>
    </row>
    <row r="2165" spans="3:3" x14ac:dyDescent="0.3">
      <c r="C2165"/>
    </row>
    <row r="2166" spans="3:3" x14ac:dyDescent="0.3">
      <c r="C2166"/>
    </row>
    <row r="2167" spans="3:3" x14ac:dyDescent="0.3">
      <c r="C2167"/>
    </row>
    <row r="2168" spans="3:3" x14ac:dyDescent="0.3">
      <c r="C2168"/>
    </row>
    <row r="2169" spans="3:3" x14ac:dyDescent="0.3">
      <c r="C2169"/>
    </row>
    <row r="2170" spans="3:3" x14ac:dyDescent="0.3">
      <c r="C2170"/>
    </row>
    <row r="2171" spans="3:3" x14ac:dyDescent="0.3">
      <c r="C2171"/>
    </row>
    <row r="2172" spans="3:3" x14ac:dyDescent="0.3">
      <c r="C2172"/>
    </row>
    <row r="2173" spans="3:3" x14ac:dyDescent="0.3">
      <c r="C2173"/>
    </row>
    <row r="2174" spans="3:3" x14ac:dyDescent="0.3">
      <c r="C2174"/>
    </row>
    <row r="2175" spans="3:3" x14ac:dyDescent="0.3">
      <c r="C2175"/>
    </row>
    <row r="2176" spans="3:3" x14ac:dyDescent="0.3">
      <c r="C2176"/>
    </row>
    <row r="2177" spans="3:3" x14ac:dyDescent="0.3">
      <c r="C2177"/>
    </row>
    <row r="2178" spans="3:3" x14ac:dyDescent="0.3">
      <c r="C2178"/>
    </row>
    <row r="2179" spans="3:3" x14ac:dyDescent="0.3">
      <c r="C2179"/>
    </row>
    <row r="2180" spans="3:3" x14ac:dyDescent="0.3">
      <c r="C2180"/>
    </row>
    <row r="2181" spans="3:3" x14ac:dyDescent="0.3">
      <c r="C2181"/>
    </row>
    <row r="2182" spans="3:3" x14ac:dyDescent="0.3">
      <c r="C2182"/>
    </row>
    <row r="2183" spans="3:3" x14ac:dyDescent="0.3">
      <c r="C2183"/>
    </row>
    <row r="2184" spans="3:3" x14ac:dyDescent="0.3">
      <c r="C2184"/>
    </row>
    <row r="2185" spans="3:3" x14ac:dyDescent="0.3">
      <c r="C2185"/>
    </row>
    <row r="2186" spans="3:3" x14ac:dyDescent="0.3">
      <c r="C2186"/>
    </row>
    <row r="2187" spans="3:3" x14ac:dyDescent="0.3">
      <c r="C2187"/>
    </row>
    <row r="2188" spans="3:3" x14ac:dyDescent="0.3">
      <c r="C2188"/>
    </row>
    <row r="2189" spans="3:3" x14ac:dyDescent="0.3">
      <c r="C2189"/>
    </row>
    <row r="2190" spans="3:3" x14ac:dyDescent="0.3">
      <c r="C2190"/>
    </row>
    <row r="2191" spans="3:3" x14ac:dyDescent="0.3">
      <c r="C2191"/>
    </row>
    <row r="2192" spans="3:3" x14ac:dyDescent="0.3">
      <c r="C2192"/>
    </row>
    <row r="2193" spans="3:3" x14ac:dyDescent="0.3">
      <c r="C2193"/>
    </row>
    <row r="2194" spans="3:3" x14ac:dyDescent="0.3">
      <c r="C2194"/>
    </row>
    <row r="2195" spans="3:3" x14ac:dyDescent="0.3">
      <c r="C2195"/>
    </row>
    <row r="2196" spans="3:3" x14ac:dyDescent="0.3">
      <c r="C2196"/>
    </row>
    <row r="2197" spans="3:3" x14ac:dyDescent="0.3">
      <c r="C2197"/>
    </row>
    <row r="2198" spans="3:3" x14ac:dyDescent="0.3">
      <c r="C2198"/>
    </row>
    <row r="2199" spans="3:3" x14ac:dyDescent="0.3">
      <c r="C2199"/>
    </row>
    <row r="2200" spans="3:3" x14ac:dyDescent="0.3">
      <c r="C2200"/>
    </row>
    <row r="2201" spans="3:3" x14ac:dyDescent="0.3">
      <c r="C2201"/>
    </row>
    <row r="2202" spans="3:3" x14ac:dyDescent="0.3">
      <c r="C2202"/>
    </row>
    <row r="2203" spans="3:3" x14ac:dyDescent="0.3">
      <c r="C2203"/>
    </row>
    <row r="2204" spans="3:3" x14ac:dyDescent="0.3">
      <c r="C2204"/>
    </row>
    <row r="2205" spans="3:3" x14ac:dyDescent="0.3">
      <c r="C2205"/>
    </row>
    <row r="2206" spans="3:3" x14ac:dyDescent="0.3">
      <c r="C2206"/>
    </row>
    <row r="2207" spans="3:3" x14ac:dyDescent="0.3">
      <c r="C2207"/>
    </row>
    <row r="2208" spans="3:3" x14ac:dyDescent="0.3">
      <c r="C2208"/>
    </row>
    <row r="2209" spans="3:3" x14ac:dyDescent="0.3">
      <c r="C2209"/>
    </row>
    <row r="2210" spans="3:3" x14ac:dyDescent="0.3">
      <c r="C2210"/>
    </row>
    <row r="2211" spans="3:3" x14ac:dyDescent="0.3">
      <c r="C2211"/>
    </row>
    <row r="2212" spans="3:3" x14ac:dyDescent="0.3">
      <c r="C2212"/>
    </row>
    <row r="2213" spans="3:3" x14ac:dyDescent="0.3">
      <c r="C2213"/>
    </row>
    <row r="2214" spans="3:3" x14ac:dyDescent="0.3">
      <c r="C2214"/>
    </row>
    <row r="2215" spans="3:3" x14ac:dyDescent="0.3">
      <c r="C2215"/>
    </row>
    <row r="2216" spans="3:3" x14ac:dyDescent="0.3">
      <c r="C2216"/>
    </row>
    <row r="2217" spans="3:3" x14ac:dyDescent="0.3">
      <c r="C2217"/>
    </row>
    <row r="2218" spans="3:3" x14ac:dyDescent="0.3">
      <c r="C2218"/>
    </row>
    <row r="2219" spans="3:3" x14ac:dyDescent="0.3">
      <c r="C2219"/>
    </row>
    <row r="2220" spans="3:3" x14ac:dyDescent="0.3">
      <c r="C2220"/>
    </row>
    <row r="2221" spans="3:3" x14ac:dyDescent="0.3">
      <c r="C2221"/>
    </row>
    <row r="2222" spans="3:3" x14ac:dyDescent="0.3">
      <c r="C2222"/>
    </row>
    <row r="2223" spans="3:3" x14ac:dyDescent="0.3">
      <c r="C2223"/>
    </row>
    <row r="2224" spans="3:3" x14ac:dyDescent="0.3">
      <c r="C2224"/>
    </row>
    <row r="2225" spans="3:3" x14ac:dyDescent="0.3">
      <c r="C2225"/>
    </row>
    <row r="2226" spans="3:3" x14ac:dyDescent="0.3">
      <c r="C2226"/>
    </row>
    <row r="2227" spans="3:3" x14ac:dyDescent="0.3">
      <c r="C2227"/>
    </row>
    <row r="2228" spans="3:3" x14ac:dyDescent="0.3">
      <c r="C2228"/>
    </row>
    <row r="2229" spans="3:3" x14ac:dyDescent="0.3">
      <c r="C2229"/>
    </row>
    <row r="2230" spans="3:3" x14ac:dyDescent="0.3">
      <c r="C2230"/>
    </row>
    <row r="2231" spans="3:3" x14ac:dyDescent="0.3">
      <c r="C2231"/>
    </row>
    <row r="2232" spans="3:3" x14ac:dyDescent="0.3">
      <c r="C2232"/>
    </row>
    <row r="2233" spans="3:3" x14ac:dyDescent="0.3">
      <c r="C2233"/>
    </row>
    <row r="2234" spans="3:3" x14ac:dyDescent="0.3">
      <c r="C2234"/>
    </row>
    <row r="2235" spans="3:3" x14ac:dyDescent="0.3">
      <c r="C2235"/>
    </row>
    <row r="2236" spans="3:3" x14ac:dyDescent="0.3">
      <c r="C2236"/>
    </row>
    <row r="2237" spans="3:3" x14ac:dyDescent="0.3">
      <c r="C2237"/>
    </row>
    <row r="2238" spans="3:3" x14ac:dyDescent="0.3">
      <c r="C2238"/>
    </row>
    <row r="2239" spans="3:3" x14ac:dyDescent="0.3">
      <c r="C2239"/>
    </row>
    <row r="2240" spans="3:3" x14ac:dyDescent="0.3">
      <c r="C2240"/>
    </row>
    <row r="2241" spans="3:3" x14ac:dyDescent="0.3">
      <c r="C2241"/>
    </row>
    <row r="2242" spans="3:3" x14ac:dyDescent="0.3">
      <c r="C2242"/>
    </row>
    <row r="2243" spans="3:3" x14ac:dyDescent="0.3">
      <c r="C2243"/>
    </row>
    <row r="2244" spans="3:3" x14ac:dyDescent="0.3">
      <c r="C2244"/>
    </row>
    <row r="2245" spans="3:3" x14ac:dyDescent="0.3">
      <c r="C2245"/>
    </row>
    <row r="2246" spans="3:3" x14ac:dyDescent="0.3">
      <c r="C2246"/>
    </row>
    <row r="2247" spans="3:3" x14ac:dyDescent="0.3">
      <c r="C2247"/>
    </row>
    <row r="2248" spans="3:3" x14ac:dyDescent="0.3">
      <c r="C2248"/>
    </row>
    <row r="2249" spans="3:3" x14ac:dyDescent="0.3">
      <c r="C2249"/>
    </row>
    <row r="2250" spans="3:3" x14ac:dyDescent="0.3">
      <c r="C2250"/>
    </row>
    <row r="2251" spans="3:3" x14ac:dyDescent="0.3">
      <c r="C2251"/>
    </row>
    <row r="2252" spans="3:3" x14ac:dyDescent="0.3">
      <c r="C2252"/>
    </row>
    <row r="2253" spans="3:3" x14ac:dyDescent="0.3">
      <c r="C2253"/>
    </row>
    <row r="2254" spans="3:3" x14ac:dyDescent="0.3">
      <c r="C2254"/>
    </row>
    <row r="2255" spans="3:3" x14ac:dyDescent="0.3">
      <c r="C2255"/>
    </row>
    <row r="2256" spans="3:3" x14ac:dyDescent="0.3">
      <c r="C2256"/>
    </row>
    <row r="2257" spans="3:3" x14ac:dyDescent="0.3">
      <c r="C2257"/>
    </row>
    <row r="2258" spans="3:3" x14ac:dyDescent="0.3">
      <c r="C2258"/>
    </row>
    <row r="2259" spans="3:3" x14ac:dyDescent="0.3">
      <c r="C2259"/>
    </row>
    <row r="2260" spans="3:3" x14ac:dyDescent="0.3">
      <c r="C2260"/>
    </row>
    <row r="2261" spans="3:3" x14ac:dyDescent="0.3">
      <c r="C2261"/>
    </row>
    <row r="2262" spans="3:3" x14ac:dyDescent="0.3">
      <c r="C2262"/>
    </row>
    <row r="2263" spans="3:3" x14ac:dyDescent="0.3">
      <c r="C2263"/>
    </row>
    <row r="2264" spans="3:3" x14ac:dyDescent="0.3">
      <c r="C2264"/>
    </row>
    <row r="2265" spans="3:3" x14ac:dyDescent="0.3">
      <c r="C2265"/>
    </row>
    <row r="2266" spans="3:3" x14ac:dyDescent="0.3">
      <c r="C2266"/>
    </row>
    <row r="2267" spans="3:3" x14ac:dyDescent="0.3">
      <c r="C2267"/>
    </row>
    <row r="2268" spans="3:3" x14ac:dyDescent="0.3">
      <c r="C2268"/>
    </row>
    <row r="2269" spans="3:3" x14ac:dyDescent="0.3">
      <c r="C2269"/>
    </row>
    <row r="2270" spans="3:3" x14ac:dyDescent="0.3">
      <c r="C2270"/>
    </row>
    <row r="2271" spans="3:3" x14ac:dyDescent="0.3">
      <c r="C2271"/>
    </row>
    <row r="2272" spans="3:3" x14ac:dyDescent="0.3">
      <c r="C2272"/>
    </row>
    <row r="2273" spans="3:3" x14ac:dyDescent="0.3">
      <c r="C2273"/>
    </row>
    <row r="2274" spans="3:3" x14ac:dyDescent="0.3">
      <c r="C2274"/>
    </row>
    <row r="2275" spans="3:3" x14ac:dyDescent="0.3">
      <c r="C2275"/>
    </row>
    <row r="2276" spans="3:3" x14ac:dyDescent="0.3">
      <c r="C2276"/>
    </row>
    <row r="2277" spans="3:3" x14ac:dyDescent="0.3">
      <c r="C2277"/>
    </row>
    <row r="2278" spans="3:3" x14ac:dyDescent="0.3">
      <c r="C2278"/>
    </row>
    <row r="2279" spans="3:3" x14ac:dyDescent="0.3">
      <c r="C2279"/>
    </row>
    <row r="2280" spans="3:3" x14ac:dyDescent="0.3">
      <c r="C2280"/>
    </row>
    <row r="2281" spans="3:3" x14ac:dyDescent="0.3">
      <c r="C2281"/>
    </row>
    <row r="2282" spans="3:3" x14ac:dyDescent="0.3">
      <c r="C2282"/>
    </row>
    <row r="2283" spans="3:3" x14ac:dyDescent="0.3">
      <c r="C2283"/>
    </row>
    <row r="2284" spans="3:3" x14ac:dyDescent="0.3">
      <c r="C2284"/>
    </row>
    <row r="2285" spans="3:3" x14ac:dyDescent="0.3">
      <c r="C2285"/>
    </row>
    <row r="2286" spans="3:3" x14ac:dyDescent="0.3">
      <c r="C2286"/>
    </row>
    <row r="2287" spans="3:3" x14ac:dyDescent="0.3">
      <c r="C2287"/>
    </row>
    <row r="2288" spans="3:3" x14ac:dyDescent="0.3">
      <c r="C2288"/>
    </row>
    <row r="2289" spans="3:3" x14ac:dyDescent="0.3">
      <c r="C2289"/>
    </row>
    <row r="2290" spans="3:3" x14ac:dyDescent="0.3">
      <c r="C2290"/>
    </row>
    <row r="2291" spans="3:3" x14ac:dyDescent="0.3">
      <c r="C2291"/>
    </row>
    <row r="2292" spans="3:3" x14ac:dyDescent="0.3">
      <c r="C2292"/>
    </row>
    <row r="2293" spans="3:3" x14ac:dyDescent="0.3">
      <c r="C2293"/>
    </row>
    <row r="2294" spans="3:3" x14ac:dyDescent="0.3">
      <c r="C2294"/>
    </row>
    <row r="2295" spans="3:3" x14ac:dyDescent="0.3">
      <c r="C2295"/>
    </row>
    <row r="2296" spans="3:3" x14ac:dyDescent="0.3">
      <c r="C2296"/>
    </row>
    <row r="2297" spans="3:3" x14ac:dyDescent="0.3">
      <c r="C2297"/>
    </row>
    <row r="2298" spans="3:3" x14ac:dyDescent="0.3">
      <c r="C2298"/>
    </row>
    <row r="2299" spans="3:3" x14ac:dyDescent="0.3">
      <c r="C2299"/>
    </row>
    <row r="2300" spans="3:3" x14ac:dyDescent="0.3">
      <c r="C2300"/>
    </row>
    <row r="2301" spans="3:3" x14ac:dyDescent="0.3">
      <c r="C2301"/>
    </row>
    <row r="2302" spans="3:3" x14ac:dyDescent="0.3">
      <c r="C2302"/>
    </row>
    <row r="2303" spans="3:3" x14ac:dyDescent="0.3">
      <c r="C2303"/>
    </row>
    <row r="2304" spans="3:3" x14ac:dyDescent="0.3">
      <c r="C2304"/>
    </row>
    <row r="2305" spans="3:3" x14ac:dyDescent="0.3">
      <c r="C2305"/>
    </row>
    <row r="2306" spans="3:3" x14ac:dyDescent="0.3">
      <c r="C2306"/>
    </row>
    <row r="2307" spans="3:3" x14ac:dyDescent="0.3">
      <c r="C2307"/>
    </row>
    <row r="2308" spans="3:3" x14ac:dyDescent="0.3">
      <c r="C2308"/>
    </row>
    <row r="2309" spans="3:3" x14ac:dyDescent="0.3">
      <c r="C2309"/>
    </row>
    <row r="2310" spans="3:3" x14ac:dyDescent="0.3">
      <c r="C2310"/>
    </row>
    <row r="2311" spans="3:3" x14ac:dyDescent="0.3">
      <c r="C2311"/>
    </row>
    <row r="2312" spans="3:3" x14ac:dyDescent="0.3">
      <c r="C2312"/>
    </row>
    <row r="2313" spans="3:3" x14ac:dyDescent="0.3">
      <c r="C2313"/>
    </row>
    <row r="2314" spans="3:3" x14ac:dyDescent="0.3">
      <c r="C2314"/>
    </row>
    <row r="2315" spans="3:3" x14ac:dyDescent="0.3">
      <c r="C2315"/>
    </row>
    <row r="2316" spans="3:3" x14ac:dyDescent="0.3">
      <c r="C2316"/>
    </row>
    <row r="2317" spans="3:3" x14ac:dyDescent="0.3">
      <c r="C2317"/>
    </row>
    <row r="2318" spans="3:3" x14ac:dyDescent="0.3">
      <c r="C2318"/>
    </row>
    <row r="2319" spans="3:3" x14ac:dyDescent="0.3">
      <c r="C2319"/>
    </row>
    <row r="2320" spans="3:3" x14ac:dyDescent="0.3">
      <c r="C2320"/>
    </row>
    <row r="2321" spans="3:3" x14ac:dyDescent="0.3">
      <c r="C2321"/>
    </row>
    <row r="2322" spans="3:3" x14ac:dyDescent="0.3">
      <c r="C2322"/>
    </row>
    <row r="2323" spans="3:3" x14ac:dyDescent="0.3">
      <c r="C2323"/>
    </row>
    <row r="2324" spans="3:3" x14ac:dyDescent="0.3">
      <c r="C2324"/>
    </row>
    <row r="2325" spans="3:3" x14ac:dyDescent="0.3">
      <c r="C2325"/>
    </row>
    <row r="2326" spans="3:3" x14ac:dyDescent="0.3">
      <c r="C2326"/>
    </row>
    <row r="2327" spans="3:3" x14ac:dyDescent="0.3">
      <c r="C2327"/>
    </row>
    <row r="2328" spans="3:3" x14ac:dyDescent="0.3">
      <c r="C2328"/>
    </row>
    <row r="2329" spans="3:3" x14ac:dyDescent="0.3">
      <c r="C2329"/>
    </row>
    <row r="2330" spans="3:3" x14ac:dyDescent="0.3">
      <c r="C2330"/>
    </row>
    <row r="2331" spans="3:3" x14ac:dyDescent="0.3">
      <c r="C2331"/>
    </row>
    <row r="2332" spans="3:3" x14ac:dyDescent="0.3">
      <c r="C2332"/>
    </row>
    <row r="2333" spans="3:3" x14ac:dyDescent="0.3">
      <c r="C2333"/>
    </row>
    <row r="2334" spans="3:3" x14ac:dyDescent="0.3">
      <c r="C2334"/>
    </row>
    <row r="2335" spans="3:3" x14ac:dyDescent="0.3">
      <c r="C2335"/>
    </row>
    <row r="2336" spans="3:3" x14ac:dyDescent="0.3">
      <c r="C2336"/>
    </row>
    <row r="2337" spans="3:3" x14ac:dyDescent="0.3">
      <c r="C2337"/>
    </row>
    <row r="2338" spans="3:3" x14ac:dyDescent="0.3">
      <c r="C2338"/>
    </row>
    <row r="2339" spans="3:3" x14ac:dyDescent="0.3">
      <c r="C2339"/>
    </row>
    <row r="2340" spans="3:3" x14ac:dyDescent="0.3">
      <c r="C2340"/>
    </row>
    <row r="2341" spans="3:3" x14ac:dyDescent="0.3">
      <c r="C2341"/>
    </row>
    <row r="2342" spans="3:3" x14ac:dyDescent="0.3">
      <c r="C2342"/>
    </row>
    <row r="2343" spans="3:3" x14ac:dyDescent="0.3">
      <c r="C2343"/>
    </row>
    <row r="2344" spans="3:3" x14ac:dyDescent="0.3">
      <c r="C2344"/>
    </row>
    <row r="2345" spans="3:3" x14ac:dyDescent="0.3">
      <c r="C2345"/>
    </row>
    <row r="2346" spans="3:3" x14ac:dyDescent="0.3">
      <c r="C2346"/>
    </row>
    <row r="2347" spans="3:3" x14ac:dyDescent="0.3">
      <c r="C2347"/>
    </row>
    <row r="2348" spans="3:3" x14ac:dyDescent="0.3">
      <c r="C2348"/>
    </row>
    <row r="2349" spans="3:3" x14ac:dyDescent="0.3">
      <c r="C2349"/>
    </row>
    <row r="2350" spans="3:3" x14ac:dyDescent="0.3">
      <c r="C2350"/>
    </row>
    <row r="2351" spans="3:3" x14ac:dyDescent="0.3">
      <c r="C2351"/>
    </row>
    <row r="2352" spans="3:3" x14ac:dyDescent="0.3">
      <c r="C2352"/>
    </row>
    <row r="2353" spans="3:3" x14ac:dyDescent="0.3">
      <c r="C2353"/>
    </row>
    <row r="2354" spans="3:3" x14ac:dyDescent="0.3">
      <c r="C2354"/>
    </row>
    <row r="2355" spans="3:3" x14ac:dyDescent="0.3">
      <c r="C2355"/>
    </row>
    <row r="2356" spans="3:3" x14ac:dyDescent="0.3">
      <c r="C2356"/>
    </row>
    <row r="2357" spans="3:3" x14ac:dyDescent="0.3">
      <c r="C2357"/>
    </row>
    <row r="2358" spans="3:3" x14ac:dyDescent="0.3">
      <c r="C2358"/>
    </row>
    <row r="2359" spans="3:3" x14ac:dyDescent="0.3">
      <c r="C2359"/>
    </row>
    <row r="2360" spans="3:3" x14ac:dyDescent="0.3">
      <c r="C2360"/>
    </row>
    <row r="2361" spans="3:3" x14ac:dyDescent="0.3">
      <c r="C2361"/>
    </row>
    <row r="2362" spans="3:3" x14ac:dyDescent="0.3">
      <c r="C2362"/>
    </row>
    <row r="2363" spans="3:3" x14ac:dyDescent="0.3">
      <c r="C2363"/>
    </row>
    <row r="2364" spans="3:3" x14ac:dyDescent="0.3">
      <c r="C2364"/>
    </row>
    <row r="2365" spans="3:3" x14ac:dyDescent="0.3">
      <c r="C2365"/>
    </row>
    <row r="2366" spans="3:3" x14ac:dyDescent="0.3">
      <c r="C2366"/>
    </row>
    <row r="2367" spans="3:3" x14ac:dyDescent="0.3">
      <c r="C2367"/>
    </row>
    <row r="2368" spans="3:3" x14ac:dyDescent="0.3">
      <c r="C2368"/>
    </row>
    <row r="2369" spans="3:3" x14ac:dyDescent="0.3">
      <c r="C2369"/>
    </row>
    <row r="2370" spans="3:3" x14ac:dyDescent="0.3">
      <c r="C2370"/>
    </row>
    <row r="2371" spans="3:3" x14ac:dyDescent="0.3">
      <c r="C2371"/>
    </row>
    <row r="2372" spans="3:3" x14ac:dyDescent="0.3">
      <c r="C2372"/>
    </row>
    <row r="2373" spans="3:3" x14ac:dyDescent="0.3">
      <c r="C2373"/>
    </row>
    <row r="2374" spans="3:3" x14ac:dyDescent="0.3">
      <c r="C2374"/>
    </row>
    <row r="2375" spans="3:3" x14ac:dyDescent="0.3">
      <c r="C2375"/>
    </row>
    <row r="2376" spans="3:3" x14ac:dyDescent="0.3">
      <c r="C2376"/>
    </row>
    <row r="2377" spans="3:3" x14ac:dyDescent="0.3">
      <c r="C2377"/>
    </row>
    <row r="2378" spans="3:3" x14ac:dyDescent="0.3">
      <c r="C2378"/>
    </row>
    <row r="2379" spans="3:3" x14ac:dyDescent="0.3">
      <c r="C2379"/>
    </row>
    <row r="2380" spans="3:3" x14ac:dyDescent="0.3">
      <c r="C2380"/>
    </row>
    <row r="2381" spans="3:3" x14ac:dyDescent="0.3">
      <c r="C2381"/>
    </row>
    <row r="2382" spans="3:3" x14ac:dyDescent="0.3">
      <c r="C2382"/>
    </row>
    <row r="2383" spans="3:3" x14ac:dyDescent="0.3">
      <c r="C2383"/>
    </row>
    <row r="2384" spans="3:3" x14ac:dyDescent="0.3">
      <c r="C2384"/>
    </row>
    <row r="2385" spans="3:3" x14ac:dyDescent="0.3">
      <c r="C2385"/>
    </row>
    <row r="2386" spans="3:3" x14ac:dyDescent="0.3">
      <c r="C2386"/>
    </row>
    <row r="2387" spans="3:3" x14ac:dyDescent="0.3">
      <c r="C2387"/>
    </row>
    <row r="2388" spans="3:3" x14ac:dyDescent="0.3">
      <c r="C2388"/>
    </row>
    <row r="2389" spans="3:3" x14ac:dyDescent="0.3">
      <c r="C2389"/>
    </row>
    <row r="2390" spans="3:3" x14ac:dyDescent="0.3">
      <c r="C2390"/>
    </row>
    <row r="2391" spans="3:3" x14ac:dyDescent="0.3">
      <c r="C2391"/>
    </row>
    <row r="2392" spans="3:3" x14ac:dyDescent="0.3">
      <c r="C2392"/>
    </row>
    <row r="2393" spans="3:3" x14ac:dyDescent="0.3">
      <c r="C2393"/>
    </row>
    <row r="2394" spans="3:3" x14ac:dyDescent="0.3">
      <c r="C2394"/>
    </row>
    <row r="2395" spans="3:3" x14ac:dyDescent="0.3">
      <c r="C2395"/>
    </row>
    <row r="2396" spans="3:3" x14ac:dyDescent="0.3">
      <c r="C2396"/>
    </row>
    <row r="2397" spans="3:3" x14ac:dyDescent="0.3">
      <c r="C2397"/>
    </row>
    <row r="2398" spans="3:3" x14ac:dyDescent="0.3">
      <c r="C2398"/>
    </row>
    <row r="2399" spans="3:3" x14ac:dyDescent="0.3">
      <c r="C2399"/>
    </row>
    <row r="2400" spans="3:3" x14ac:dyDescent="0.3">
      <c r="C2400"/>
    </row>
    <row r="2401" spans="3:3" x14ac:dyDescent="0.3">
      <c r="C2401"/>
    </row>
    <row r="2402" spans="3:3" x14ac:dyDescent="0.3">
      <c r="C2402"/>
    </row>
    <row r="2403" spans="3:3" x14ac:dyDescent="0.3">
      <c r="C2403"/>
    </row>
    <row r="2404" spans="3:3" x14ac:dyDescent="0.3">
      <c r="C2404"/>
    </row>
    <row r="2405" spans="3:3" x14ac:dyDescent="0.3">
      <c r="C2405"/>
    </row>
    <row r="2406" spans="3:3" x14ac:dyDescent="0.3">
      <c r="C2406"/>
    </row>
    <row r="2407" spans="3:3" x14ac:dyDescent="0.3">
      <c r="C2407"/>
    </row>
    <row r="2408" spans="3:3" x14ac:dyDescent="0.3">
      <c r="C2408"/>
    </row>
    <row r="2409" spans="3:3" x14ac:dyDescent="0.3">
      <c r="C2409"/>
    </row>
    <row r="2410" spans="3:3" x14ac:dyDescent="0.3">
      <c r="C2410"/>
    </row>
    <row r="2411" spans="3:3" x14ac:dyDescent="0.3">
      <c r="C2411"/>
    </row>
    <row r="2412" spans="3:3" x14ac:dyDescent="0.3">
      <c r="C2412"/>
    </row>
    <row r="2413" spans="3:3" x14ac:dyDescent="0.3">
      <c r="C2413"/>
    </row>
    <row r="2414" spans="3:3" x14ac:dyDescent="0.3">
      <c r="C2414"/>
    </row>
    <row r="2415" spans="3:3" x14ac:dyDescent="0.3">
      <c r="C2415"/>
    </row>
    <row r="2416" spans="3:3" x14ac:dyDescent="0.3">
      <c r="C2416"/>
    </row>
    <row r="2417" spans="3:3" x14ac:dyDescent="0.3">
      <c r="C2417"/>
    </row>
    <row r="2418" spans="3:3" x14ac:dyDescent="0.3">
      <c r="C2418"/>
    </row>
    <row r="2419" spans="3:3" x14ac:dyDescent="0.3">
      <c r="C2419"/>
    </row>
    <row r="2420" spans="3:3" x14ac:dyDescent="0.3">
      <c r="C2420"/>
    </row>
    <row r="2421" spans="3:3" x14ac:dyDescent="0.3">
      <c r="C2421"/>
    </row>
    <row r="2422" spans="3:3" x14ac:dyDescent="0.3">
      <c r="C2422"/>
    </row>
    <row r="2423" spans="3:3" x14ac:dyDescent="0.3">
      <c r="C2423"/>
    </row>
    <row r="2424" spans="3:3" x14ac:dyDescent="0.3">
      <c r="C2424"/>
    </row>
    <row r="2425" spans="3:3" x14ac:dyDescent="0.3">
      <c r="C2425"/>
    </row>
    <row r="2426" spans="3:3" x14ac:dyDescent="0.3">
      <c r="C2426"/>
    </row>
    <row r="2427" spans="3:3" x14ac:dyDescent="0.3">
      <c r="C2427"/>
    </row>
    <row r="2428" spans="3:3" x14ac:dyDescent="0.3">
      <c r="C2428"/>
    </row>
    <row r="2429" spans="3:3" x14ac:dyDescent="0.3">
      <c r="C2429"/>
    </row>
    <row r="2430" spans="3:3" x14ac:dyDescent="0.3">
      <c r="C2430"/>
    </row>
    <row r="2431" spans="3:3" x14ac:dyDescent="0.3">
      <c r="C2431"/>
    </row>
    <row r="2432" spans="3:3" x14ac:dyDescent="0.3">
      <c r="C2432"/>
    </row>
    <row r="2433" spans="3:3" x14ac:dyDescent="0.3">
      <c r="C2433"/>
    </row>
    <row r="2434" spans="3:3" x14ac:dyDescent="0.3">
      <c r="C2434"/>
    </row>
    <row r="2435" spans="3:3" x14ac:dyDescent="0.3">
      <c r="C2435"/>
    </row>
    <row r="2436" spans="3:3" x14ac:dyDescent="0.3">
      <c r="C2436"/>
    </row>
    <row r="2437" spans="3:3" x14ac:dyDescent="0.3">
      <c r="C2437"/>
    </row>
    <row r="2438" spans="3:3" x14ac:dyDescent="0.3">
      <c r="C2438"/>
    </row>
    <row r="2439" spans="3:3" x14ac:dyDescent="0.3">
      <c r="C2439"/>
    </row>
    <row r="2440" spans="3:3" x14ac:dyDescent="0.3">
      <c r="C2440"/>
    </row>
    <row r="2441" spans="3:3" x14ac:dyDescent="0.3">
      <c r="C2441"/>
    </row>
    <row r="2442" spans="3:3" x14ac:dyDescent="0.3">
      <c r="C2442"/>
    </row>
    <row r="2443" spans="3:3" x14ac:dyDescent="0.3">
      <c r="C2443"/>
    </row>
    <row r="2444" spans="3:3" x14ac:dyDescent="0.3">
      <c r="C2444"/>
    </row>
    <row r="2445" spans="3:3" x14ac:dyDescent="0.3">
      <c r="C2445"/>
    </row>
    <row r="2446" spans="3:3" x14ac:dyDescent="0.3">
      <c r="C2446"/>
    </row>
    <row r="2447" spans="3:3" x14ac:dyDescent="0.3">
      <c r="C2447"/>
    </row>
    <row r="2448" spans="3:3" x14ac:dyDescent="0.3">
      <c r="C2448"/>
    </row>
    <row r="2449" spans="3:3" x14ac:dyDescent="0.3">
      <c r="C2449"/>
    </row>
    <row r="2450" spans="3:3" x14ac:dyDescent="0.3">
      <c r="C2450"/>
    </row>
    <row r="2451" spans="3:3" x14ac:dyDescent="0.3">
      <c r="C2451"/>
    </row>
    <row r="2452" spans="3:3" x14ac:dyDescent="0.3">
      <c r="C2452"/>
    </row>
    <row r="2453" spans="3:3" x14ac:dyDescent="0.3">
      <c r="C2453"/>
    </row>
    <row r="2454" spans="3:3" x14ac:dyDescent="0.3">
      <c r="C2454"/>
    </row>
    <row r="2455" spans="3:3" x14ac:dyDescent="0.3">
      <c r="C2455"/>
    </row>
    <row r="2456" spans="3:3" x14ac:dyDescent="0.3">
      <c r="C2456"/>
    </row>
    <row r="2457" spans="3:3" x14ac:dyDescent="0.3">
      <c r="C2457"/>
    </row>
    <row r="2458" spans="3:3" x14ac:dyDescent="0.3">
      <c r="C2458"/>
    </row>
    <row r="2459" spans="3:3" x14ac:dyDescent="0.3">
      <c r="C2459"/>
    </row>
    <row r="2460" spans="3:3" x14ac:dyDescent="0.3">
      <c r="C2460"/>
    </row>
    <row r="2461" spans="3:3" x14ac:dyDescent="0.3">
      <c r="C2461"/>
    </row>
    <row r="2462" spans="3:3" x14ac:dyDescent="0.3">
      <c r="C2462"/>
    </row>
    <row r="2463" spans="3:3" x14ac:dyDescent="0.3">
      <c r="C2463"/>
    </row>
    <row r="2464" spans="3:3" x14ac:dyDescent="0.3">
      <c r="C2464"/>
    </row>
    <row r="2465" spans="3:3" x14ac:dyDescent="0.3">
      <c r="C2465"/>
    </row>
    <row r="2466" spans="3:3" x14ac:dyDescent="0.3">
      <c r="C2466"/>
    </row>
    <row r="2467" spans="3:3" x14ac:dyDescent="0.3">
      <c r="C2467"/>
    </row>
    <row r="2468" spans="3:3" x14ac:dyDescent="0.3">
      <c r="C2468"/>
    </row>
    <row r="2469" spans="3:3" x14ac:dyDescent="0.3">
      <c r="C2469"/>
    </row>
    <row r="2470" spans="3:3" x14ac:dyDescent="0.3">
      <c r="C2470"/>
    </row>
    <row r="2471" spans="3:3" x14ac:dyDescent="0.3">
      <c r="C2471"/>
    </row>
    <row r="2472" spans="3:3" x14ac:dyDescent="0.3">
      <c r="C2472"/>
    </row>
    <row r="2473" spans="3:3" x14ac:dyDescent="0.3">
      <c r="C2473"/>
    </row>
    <row r="2474" spans="3:3" x14ac:dyDescent="0.3">
      <c r="C2474"/>
    </row>
    <row r="2475" spans="3:3" x14ac:dyDescent="0.3">
      <c r="C2475"/>
    </row>
    <row r="2476" spans="3:3" x14ac:dyDescent="0.3">
      <c r="C2476"/>
    </row>
    <row r="2477" spans="3:3" x14ac:dyDescent="0.3">
      <c r="C2477"/>
    </row>
    <row r="2478" spans="3:3" x14ac:dyDescent="0.3">
      <c r="C2478"/>
    </row>
    <row r="2479" spans="3:3" x14ac:dyDescent="0.3">
      <c r="C2479"/>
    </row>
    <row r="2480" spans="3:3" x14ac:dyDescent="0.3">
      <c r="C2480"/>
    </row>
    <row r="2481" spans="3:3" x14ac:dyDescent="0.3">
      <c r="C2481"/>
    </row>
    <row r="2482" spans="3:3" x14ac:dyDescent="0.3">
      <c r="C2482"/>
    </row>
    <row r="2483" spans="3:3" x14ac:dyDescent="0.3">
      <c r="C2483"/>
    </row>
    <row r="2484" spans="3:3" x14ac:dyDescent="0.3">
      <c r="C2484"/>
    </row>
    <row r="2485" spans="3:3" x14ac:dyDescent="0.3">
      <c r="C2485"/>
    </row>
    <row r="2486" spans="3:3" x14ac:dyDescent="0.3">
      <c r="C2486"/>
    </row>
    <row r="2487" spans="3:3" x14ac:dyDescent="0.3">
      <c r="C2487"/>
    </row>
    <row r="2488" spans="3:3" x14ac:dyDescent="0.3">
      <c r="C2488"/>
    </row>
    <row r="2489" spans="3:3" x14ac:dyDescent="0.3">
      <c r="C2489"/>
    </row>
    <row r="2490" spans="3:3" x14ac:dyDescent="0.3">
      <c r="C2490"/>
    </row>
    <row r="2491" spans="3:3" x14ac:dyDescent="0.3">
      <c r="C2491"/>
    </row>
    <row r="2492" spans="3:3" x14ac:dyDescent="0.3">
      <c r="C2492"/>
    </row>
    <row r="2493" spans="3:3" x14ac:dyDescent="0.3">
      <c r="C2493"/>
    </row>
    <row r="2494" spans="3:3" x14ac:dyDescent="0.3">
      <c r="C2494"/>
    </row>
    <row r="2495" spans="3:3" x14ac:dyDescent="0.3">
      <c r="C2495"/>
    </row>
    <row r="2496" spans="3:3" x14ac:dyDescent="0.3">
      <c r="C2496"/>
    </row>
    <row r="2497" spans="3:3" x14ac:dyDescent="0.3">
      <c r="C2497"/>
    </row>
    <row r="2498" spans="3:3" x14ac:dyDescent="0.3">
      <c r="C2498"/>
    </row>
    <row r="2499" spans="3:3" x14ac:dyDescent="0.3">
      <c r="C2499"/>
    </row>
    <row r="2500" spans="3:3" x14ac:dyDescent="0.3">
      <c r="C2500"/>
    </row>
    <row r="2501" spans="3:3" x14ac:dyDescent="0.3">
      <c r="C2501"/>
    </row>
    <row r="2502" spans="3:3" x14ac:dyDescent="0.3">
      <c r="C2502"/>
    </row>
    <row r="2503" spans="3:3" x14ac:dyDescent="0.3">
      <c r="C2503"/>
    </row>
    <row r="2504" spans="3:3" x14ac:dyDescent="0.3">
      <c r="C2504"/>
    </row>
    <row r="2505" spans="3:3" x14ac:dyDescent="0.3">
      <c r="C2505"/>
    </row>
    <row r="2506" spans="3:3" x14ac:dyDescent="0.3">
      <c r="C2506"/>
    </row>
    <row r="2507" spans="3:3" x14ac:dyDescent="0.3">
      <c r="C2507"/>
    </row>
    <row r="2508" spans="3:3" x14ac:dyDescent="0.3">
      <c r="C2508"/>
    </row>
    <row r="2509" spans="3:3" x14ac:dyDescent="0.3">
      <c r="C2509"/>
    </row>
    <row r="2510" spans="3:3" x14ac:dyDescent="0.3">
      <c r="C2510"/>
    </row>
    <row r="2511" spans="3:3" x14ac:dyDescent="0.3">
      <c r="C2511"/>
    </row>
    <row r="2512" spans="3:3" x14ac:dyDescent="0.3">
      <c r="C2512"/>
    </row>
    <row r="2513" spans="3:3" x14ac:dyDescent="0.3">
      <c r="C2513"/>
    </row>
    <row r="2514" spans="3:3" x14ac:dyDescent="0.3">
      <c r="C2514"/>
    </row>
    <row r="2515" spans="3:3" x14ac:dyDescent="0.3">
      <c r="C2515"/>
    </row>
    <row r="2516" spans="3:3" x14ac:dyDescent="0.3">
      <c r="C2516"/>
    </row>
    <row r="2517" spans="3:3" x14ac:dyDescent="0.3">
      <c r="C2517"/>
    </row>
    <row r="2518" spans="3:3" x14ac:dyDescent="0.3">
      <c r="C2518"/>
    </row>
    <row r="2519" spans="3:3" x14ac:dyDescent="0.3">
      <c r="C2519"/>
    </row>
    <row r="2520" spans="3:3" x14ac:dyDescent="0.3">
      <c r="C2520"/>
    </row>
    <row r="2521" spans="3:3" x14ac:dyDescent="0.3">
      <c r="C2521"/>
    </row>
    <row r="2522" spans="3:3" x14ac:dyDescent="0.3">
      <c r="C2522"/>
    </row>
    <row r="2523" spans="3:3" x14ac:dyDescent="0.3">
      <c r="C2523"/>
    </row>
    <row r="2524" spans="3:3" x14ac:dyDescent="0.3">
      <c r="C2524"/>
    </row>
    <row r="2525" spans="3:3" x14ac:dyDescent="0.3">
      <c r="C2525"/>
    </row>
    <row r="2526" spans="3:3" x14ac:dyDescent="0.3">
      <c r="C2526"/>
    </row>
    <row r="2527" spans="3:3" x14ac:dyDescent="0.3">
      <c r="C2527"/>
    </row>
    <row r="2528" spans="3:3" x14ac:dyDescent="0.3">
      <c r="C2528"/>
    </row>
    <row r="2529" spans="3:3" x14ac:dyDescent="0.3">
      <c r="C2529"/>
    </row>
    <row r="2530" spans="3:3" x14ac:dyDescent="0.3">
      <c r="C2530"/>
    </row>
    <row r="2531" spans="3:3" x14ac:dyDescent="0.3">
      <c r="C2531"/>
    </row>
    <row r="2532" spans="3:3" x14ac:dyDescent="0.3">
      <c r="C2532"/>
    </row>
    <row r="2533" spans="3:3" x14ac:dyDescent="0.3">
      <c r="C2533"/>
    </row>
    <row r="2534" spans="3:3" x14ac:dyDescent="0.3">
      <c r="C2534"/>
    </row>
    <row r="2535" spans="3:3" x14ac:dyDescent="0.3">
      <c r="C2535"/>
    </row>
    <row r="2536" spans="3:3" x14ac:dyDescent="0.3">
      <c r="C2536"/>
    </row>
    <row r="2537" spans="3:3" x14ac:dyDescent="0.3">
      <c r="C2537"/>
    </row>
    <row r="2538" spans="3:3" x14ac:dyDescent="0.3">
      <c r="C2538"/>
    </row>
    <row r="2539" spans="3:3" x14ac:dyDescent="0.3">
      <c r="C2539"/>
    </row>
    <row r="2540" spans="3:3" x14ac:dyDescent="0.3">
      <c r="C2540"/>
    </row>
    <row r="2541" spans="3:3" x14ac:dyDescent="0.3">
      <c r="C2541"/>
    </row>
    <row r="2542" spans="3:3" x14ac:dyDescent="0.3">
      <c r="C2542"/>
    </row>
    <row r="2543" spans="3:3" x14ac:dyDescent="0.3">
      <c r="C2543"/>
    </row>
    <row r="2544" spans="3:3" x14ac:dyDescent="0.3">
      <c r="C2544"/>
    </row>
    <row r="2545" spans="3:3" x14ac:dyDescent="0.3">
      <c r="C2545"/>
    </row>
    <row r="2546" spans="3:3" x14ac:dyDescent="0.3">
      <c r="C2546"/>
    </row>
    <row r="2547" spans="3:3" x14ac:dyDescent="0.3">
      <c r="C2547"/>
    </row>
    <row r="2548" spans="3:3" x14ac:dyDescent="0.3">
      <c r="C2548"/>
    </row>
    <row r="2549" spans="3:3" x14ac:dyDescent="0.3">
      <c r="C2549"/>
    </row>
    <row r="2550" spans="3:3" x14ac:dyDescent="0.3">
      <c r="C2550"/>
    </row>
    <row r="2551" spans="3:3" x14ac:dyDescent="0.3">
      <c r="C2551"/>
    </row>
    <row r="2552" spans="3:3" x14ac:dyDescent="0.3">
      <c r="C2552"/>
    </row>
    <row r="2553" spans="3:3" x14ac:dyDescent="0.3">
      <c r="C2553"/>
    </row>
    <row r="2554" spans="3:3" x14ac:dyDescent="0.3">
      <c r="C2554"/>
    </row>
    <row r="2555" spans="3:3" x14ac:dyDescent="0.3">
      <c r="C2555"/>
    </row>
    <row r="2556" spans="3:3" x14ac:dyDescent="0.3">
      <c r="C2556"/>
    </row>
    <row r="2557" spans="3:3" x14ac:dyDescent="0.3">
      <c r="C2557"/>
    </row>
    <row r="2558" spans="3:3" x14ac:dyDescent="0.3">
      <c r="C2558"/>
    </row>
    <row r="2559" spans="3:3" x14ac:dyDescent="0.3">
      <c r="C2559"/>
    </row>
    <row r="2560" spans="3:3" x14ac:dyDescent="0.3">
      <c r="C2560"/>
    </row>
    <row r="2561" spans="3:3" x14ac:dyDescent="0.3">
      <c r="C2561"/>
    </row>
    <row r="2562" spans="3:3" x14ac:dyDescent="0.3">
      <c r="C2562"/>
    </row>
    <row r="2563" spans="3:3" x14ac:dyDescent="0.3">
      <c r="C2563"/>
    </row>
    <row r="2564" spans="3:3" x14ac:dyDescent="0.3">
      <c r="C2564"/>
    </row>
    <row r="2565" spans="3:3" x14ac:dyDescent="0.3">
      <c r="C2565"/>
    </row>
    <row r="2566" spans="3:3" x14ac:dyDescent="0.3">
      <c r="C2566"/>
    </row>
    <row r="2567" spans="3:3" x14ac:dyDescent="0.3">
      <c r="C2567"/>
    </row>
    <row r="2568" spans="3:3" x14ac:dyDescent="0.3">
      <c r="C2568"/>
    </row>
    <row r="2569" spans="3:3" x14ac:dyDescent="0.3">
      <c r="C2569"/>
    </row>
    <row r="2570" spans="3:3" x14ac:dyDescent="0.3">
      <c r="C2570"/>
    </row>
    <row r="2571" spans="3:3" x14ac:dyDescent="0.3">
      <c r="C2571"/>
    </row>
    <row r="2572" spans="3:3" x14ac:dyDescent="0.3">
      <c r="C2572"/>
    </row>
    <row r="2573" spans="3:3" x14ac:dyDescent="0.3">
      <c r="C2573"/>
    </row>
    <row r="2574" spans="3:3" x14ac:dyDescent="0.3">
      <c r="C2574"/>
    </row>
    <row r="2575" spans="3:3" x14ac:dyDescent="0.3">
      <c r="C2575"/>
    </row>
    <row r="2576" spans="3:3" x14ac:dyDescent="0.3">
      <c r="C2576"/>
    </row>
    <row r="2577" spans="3:3" x14ac:dyDescent="0.3">
      <c r="C2577"/>
    </row>
    <row r="2578" spans="3:3" x14ac:dyDescent="0.3">
      <c r="C2578"/>
    </row>
    <row r="2579" spans="3:3" x14ac:dyDescent="0.3">
      <c r="C2579"/>
    </row>
    <row r="2580" spans="3:3" x14ac:dyDescent="0.3">
      <c r="C2580"/>
    </row>
    <row r="2581" spans="3:3" x14ac:dyDescent="0.3">
      <c r="C2581"/>
    </row>
    <row r="2582" spans="3:3" x14ac:dyDescent="0.3">
      <c r="C2582"/>
    </row>
    <row r="2583" spans="3:3" x14ac:dyDescent="0.3">
      <c r="C2583"/>
    </row>
    <row r="2584" spans="3:3" x14ac:dyDescent="0.3">
      <c r="C2584"/>
    </row>
    <row r="2585" spans="3:3" x14ac:dyDescent="0.3">
      <c r="C2585"/>
    </row>
    <row r="2586" spans="3:3" x14ac:dyDescent="0.3">
      <c r="C2586"/>
    </row>
    <row r="2587" spans="3:3" x14ac:dyDescent="0.3">
      <c r="C2587"/>
    </row>
    <row r="2588" spans="3:3" x14ac:dyDescent="0.3">
      <c r="C2588"/>
    </row>
    <row r="2589" spans="3:3" x14ac:dyDescent="0.3">
      <c r="C2589"/>
    </row>
    <row r="2590" spans="3:3" x14ac:dyDescent="0.3">
      <c r="C2590"/>
    </row>
    <row r="2591" spans="3:3" x14ac:dyDescent="0.3">
      <c r="C2591"/>
    </row>
    <row r="2592" spans="3:3" x14ac:dyDescent="0.3">
      <c r="C2592"/>
    </row>
    <row r="2593" spans="3:3" x14ac:dyDescent="0.3">
      <c r="C2593"/>
    </row>
    <row r="2594" spans="3:3" x14ac:dyDescent="0.3">
      <c r="C2594"/>
    </row>
    <row r="2595" spans="3:3" x14ac:dyDescent="0.3">
      <c r="C2595"/>
    </row>
    <row r="2596" spans="3:3" x14ac:dyDescent="0.3">
      <c r="C2596"/>
    </row>
    <row r="2597" spans="3:3" x14ac:dyDescent="0.3">
      <c r="C2597"/>
    </row>
    <row r="2598" spans="3:3" x14ac:dyDescent="0.3">
      <c r="C2598"/>
    </row>
    <row r="2599" spans="3:3" x14ac:dyDescent="0.3">
      <c r="C2599"/>
    </row>
    <row r="2600" spans="3:3" x14ac:dyDescent="0.3">
      <c r="C2600"/>
    </row>
    <row r="2601" spans="3:3" x14ac:dyDescent="0.3">
      <c r="C2601"/>
    </row>
    <row r="2602" spans="3:3" x14ac:dyDescent="0.3">
      <c r="C2602"/>
    </row>
    <row r="2603" spans="3:3" x14ac:dyDescent="0.3">
      <c r="C2603"/>
    </row>
    <row r="2604" spans="3:3" x14ac:dyDescent="0.3">
      <c r="C2604"/>
    </row>
    <row r="2605" spans="3:3" x14ac:dyDescent="0.3">
      <c r="C2605"/>
    </row>
    <row r="2606" spans="3:3" x14ac:dyDescent="0.3">
      <c r="C2606"/>
    </row>
    <row r="2607" spans="3:3" x14ac:dyDescent="0.3">
      <c r="C2607"/>
    </row>
    <row r="2608" spans="3:3" x14ac:dyDescent="0.3">
      <c r="C2608"/>
    </row>
    <row r="2609" spans="3:3" x14ac:dyDescent="0.3">
      <c r="C2609"/>
    </row>
    <row r="2610" spans="3:3" x14ac:dyDescent="0.3">
      <c r="C2610"/>
    </row>
    <row r="2611" spans="3:3" x14ac:dyDescent="0.3">
      <c r="C2611"/>
    </row>
    <row r="2612" spans="3:3" x14ac:dyDescent="0.3">
      <c r="C2612"/>
    </row>
    <row r="2613" spans="3:3" x14ac:dyDescent="0.3">
      <c r="C2613"/>
    </row>
    <row r="2614" spans="3:3" x14ac:dyDescent="0.3">
      <c r="C2614"/>
    </row>
    <row r="2615" spans="3:3" x14ac:dyDescent="0.3">
      <c r="C2615"/>
    </row>
    <row r="2616" spans="3:3" x14ac:dyDescent="0.3">
      <c r="C2616"/>
    </row>
    <row r="2617" spans="3:3" x14ac:dyDescent="0.3">
      <c r="C2617"/>
    </row>
    <row r="2618" spans="3:3" x14ac:dyDescent="0.3">
      <c r="C2618"/>
    </row>
    <row r="2619" spans="3:3" x14ac:dyDescent="0.3">
      <c r="C2619"/>
    </row>
    <row r="2620" spans="3:3" x14ac:dyDescent="0.3">
      <c r="C2620"/>
    </row>
    <row r="2621" spans="3:3" x14ac:dyDescent="0.3">
      <c r="C2621"/>
    </row>
    <row r="2622" spans="3:3" x14ac:dyDescent="0.3">
      <c r="C2622"/>
    </row>
    <row r="2623" spans="3:3" x14ac:dyDescent="0.3">
      <c r="C2623"/>
    </row>
    <row r="2624" spans="3:3" x14ac:dyDescent="0.3">
      <c r="C2624"/>
    </row>
    <row r="2625" spans="3:3" x14ac:dyDescent="0.3">
      <c r="C2625"/>
    </row>
    <row r="2626" spans="3:3" x14ac:dyDescent="0.3">
      <c r="C2626"/>
    </row>
    <row r="2627" spans="3:3" x14ac:dyDescent="0.3">
      <c r="C2627"/>
    </row>
    <row r="2628" spans="3:3" x14ac:dyDescent="0.3">
      <c r="C2628"/>
    </row>
    <row r="2629" spans="3:3" x14ac:dyDescent="0.3">
      <c r="C2629"/>
    </row>
    <row r="2630" spans="3:3" x14ac:dyDescent="0.3">
      <c r="C2630"/>
    </row>
    <row r="2631" spans="3:3" x14ac:dyDescent="0.3">
      <c r="C2631"/>
    </row>
    <row r="2632" spans="3:3" x14ac:dyDescent="0.3">
      <c r="C2632"/>
    </row>
    <row r="2633" spans="3:3" x14ac:dyDescent="0.3">
      <c r="C2633"/>
    </row>
    <row r="2634" spans="3:3" x14ac:dyDescent="0.3">
      <c r="C2634"/>
    </row>
    <row r="2635" spans="3:3" x14ac:dyDescent="0.3">
      <c r="C2635"/>
    </row>
    <row r="2636" spans="3:3" x14ac:dyDescent="0.3">
      <c r="C2636"/>
    </row>
    <row r="2637" spans="3:3" x14ac:dyDescent="0.3">
      <c r="C2637"/>
    </row>
    <row r="2638" spans="3:3" x14ac:dyDescent="0.3">
      <c r="C2638"/>
    </row>
    <row r="2639" spans="3:3" x14ac:dyDescent="0.3">
      <c r="C2639"/>
    </row>
    <row r="2640" spans="3:3" x14ac:dyDescent="0.3">
      <c r="C2640"/>
    </row>
    <row r="2641" spans="3:3" x14ac:dyDescent="0.3">
      <c r="C2641"/>
    </row>
    <row r="2642" spans="3:3" x14ac:dyDescent="0.3">
      <c r="C2642"/>
    </row>
    <row r="2643" spans="3:3" x14ac:dyDescent="0.3">
      <c r="C2643"/>
    </row>
    <row r="2644" spans="3:3" x14ac:dyDescent="0.3">
      <c r="C2644"/>
    </row>
    <row r="2645" spans="3:3" x14ac:dyDescent="0.3">
      <c r="C2645"/>
    </row>
    <row r="2646" spans="3:3" x14ac:dyDescent="0.3">
      <c r="C2646"/>
    </row>
    <row r="2647" spans="3:3" x14ac:dyDescent="0.3">
      <c r="C2647"/>
    </row>
    <row r="2648" spans="3:3" x14ac:dyDescent="0.3">
      <c r="C2648"/>
    </row>
    <row r="2649" spans="3:3" x14ac:dyDescent="0.3">
      <c r="C2649"/>
    </row>
    <row r="2650" spans="3:3" x14ac:dyDescent="0.3">
      <c r="C2650"/>
    </row>
    <row r="2651" spans="3:3" x14ac:dyDescent="0.3">
      <c r="C2651"/>
    </row>
    <row r="2652" spans="3:3" x14ac:dyDescent="0.3">
      <c r="C2652"/>
    </row>
    <row r="2653" spans="3:3" x14ac:dyDescent="0.3">
      <c r="C2653"/>
    </row>
    <row r="2654" spans="3:3" x14ac:dyDescent="0.3">
      <c r="C2654"/>
    </row>
    <row r="2655" spans="3:3" x14ac:dyDescent="0.3">
      <c r="C2655"/>
    </row>
    <row r="2656" spans="3:3" x14ac:dyDescent="0.3">
      <c r="C2656"/>
    </row>
    <row r="2657" spans="3:3" x14ac:dyDescent="0.3">
      <c r="C2657"/>
    </row>
    <row r="2658" spans="3:3" x14ac:dyDescent="0.3">
      <c r="C2658"/>
    </row>
    <row r="2659" spans="3:3" x14ac:dyDescent="0.3">
      <c r="C2659"/>
    </row>
    <row r="2660" spans="3:3" x14ac:dyDescent="0.3">
      <c r="C2660"/>
    </row>
    <row r="2661" spans="3:3" x14ac:dyDescent="0.3">
      <c r="C2661"/>
    </row>
    <row r="2662" spans="3:3" x14ac:dyDescent="0.3">
      <c r="C2662"/>
    </row>
    <row r="2663" spans="3:3" x14ac:dyDescent="0.3">
      <c r="C2663"/>
    </row>
    <row r="2664" spans="3:3" x14ac:dyDescent="0.3">
      <c r="C2664"/>
    </row>
    <row r="2665" spans="3:3" x14ac:dyDescent="0.3">
      <c r="C2665"/>
    </row>
    <row r="2666" spans="3:3" x14ac:dyDescent="0.3">
      <c r="C2666"/>
    </row>
    <row r="2667" spans="3:3" x14ac:dyDescent="0.3">
      <c r="C2667"/>
    </row>
    <row r="2668" spans="3:3" x14ac:dyDescent="0.3">
      <c r="C2668"/>
    </row>
    <row r="2669" spans="3:3" x14ac:dyDescent="0.3">
      <c r="C2669"/>
    </row>
    <row r="2670" spans="3:3" x14ac:dyDescent="0.3">
      <c r="C2670"/>
    </row>
    <row r="2671" spans="3:3" x14ac:dyDescent="0.3">
      <c r="C2671"/>
    </row>
    <row r="2672" spans="3:3" x14ac:dyDescent="0.3">
      <c r="C2672"/>
    </row>
    <row r="2673" spans="3:3" x14ac:dyDescent="0.3">
      <c r="C2673"/>
    </row>
    <row r="2674" spans="3:3" x14ac:dyDescent="0.3">
      <c r="C2674"/>
    </row>
    <row r="2675" spans="3:3" x14ac:dyDescent="0.3">
      <c r="C2675"/>
    </row>
    <row r="2676" spans="3:3" x14ac:dyDescent="0.3">
      <c r="C2676"/>
    </row>
    <row r="2677" spans="3:3" x14ac:dyDescent="0.3">
      <c r="C2677"/>
    </row>
    <row r="2678" spans="3:3" x14ac:dyDescent="0.3">
      <c r="C2678"/>
    </row>
    <row r="2679" spans="3:3" x14ac:dyDescent="0.3">
      <c r="C2679"/>
    </row>
    <row r="2680" spans="3:3" x14ac:dyDescent="0.3">
      <c r="C2680"/>
    </row>
    <row r="2681" spans="3:3" x14ac:dyDescent="0.3">
      <c r="C2681"/>
    </row>
    <row r="2682" spans="3:3" x14ac:dyDescent="0.3">
      <c r="C2682"/>
    </row>
    <row r="2683" spans="3:3" x14ac:dyDescent="0.3">
      <c r="C2683"/>
    </row>
    <row r="2684" spans="3:3" x14ac:dyDescent="0.3">
      <c r="C2684"/>
    </row>
    <row r="2685" spans="3:3" x14ac:dyDescent="0.3">
      <c r="C2685"/>
    </row>
    <row r="2686" spans="3:3" x14ac:dyDescent="0.3">
      <c r="C2686"/>
    </row>
    <row r="2687" spans="3:3" x14ac:dyDescent="0.3">
      <c r="C2687"/>
    </row>
    <row r="2688" spans="3:3" x14ac:dyDescent="0.3">
      <c r="C2688"/>
    </row>
    <row r="2689" spans="3:3" x14ac:dyDescent="0.3">
      <c r="C2689"/>
    </row>
    <row r="2690" spans="3:3" x14ac:dyDescent="0.3">
      <c r="C2690"/>
    </row>
    <row r="2691" spans="3:3" x14ac:dyDescent="0.3">
      <c r="C2691"/>
    </row>
    <row r="2692" spans="3:3" x14ac:dyDescent="0.3">
      <c r="C2692"/>
    </row>
    <row r="2693" spans="3:3" x14ac:dyDescent="0.3">
      <c r="C2693"/>
    </row>
    <row r="2694" spans="3:3" x14ac:dyDescent="0.3">
      <c r="C2694"/>
    </row>
    <row r="2695" spans="3:3" x14ac:dyDescent="0.3">
      <c r="C2695"/>
    </row>
    <row r="2696" spans="3:3" x14ac:dyDescent="0.3">
      <c r="C2696"/>
    </row>
    <row r="2697" spans="3:3" x14ac:dyDescent="0.3">
      <c r="C2697"/>
    </row>
    <row r="2698" spans="3:3" x14ac:dyDescent="0.3">
      <c r="C2698"/>
    </row>
    <row r="2699" spans="3:3" x14ac:dyDescent="0.3">
      <c r="C2699"/>
    </row>
    <row r="2700" spans="3:3" x14ac:dyDescent="0.3">
      <c r="C2700"/>
    </row>
    <row r="2701" spans="3:3" x14ac:dyDescent="0.3">
      <c r="C2701"/>
    </row>
    <row r="2702" spans="3:3" x14ac:dyDescent="0.3">
      <c r="C2702"/>
    </row>
    <row r="2703" spans="3:3" x14ac:dyDescent="0.3">
      <c r="C2703"/>
    </row>
    <row r="2704" spans="3:3" x14ac:dyDescent="0.3">
      <c r="C2704"/>
    </row>
    <row r="2705" spans="3:3" x14ac:dyDescent="0.3">
      <c r="C2705"/>
    </row>
    <row r="2706" spans="3:3" x14ac:dyDescent="0.3">
      <c r="C2706"/>
    </row>
    <row r="2707" spans="3:3" x14ac:dyDescent="0.3">
      <c r="C2707"/>
    </row>
    <row r="2708" spans="3:3" x14ac:dyDescent="0.3">
      <c r="C2708"/>
    </row>
    <row r="2709" spans="3:3" x14ac:dyDescent="0.3">
      <c r="C2709"/>
    </row>
    <row r="2710" spans="3:3" x14ac:dyDescent="0.3">
      <c r="C2710"/>
    </row>
    <row r="2711" spans="3:3" x14ac:dyDescent="0.3">
      <c r="C2711"/>
    </row>
    <row r="2712" spans="3:3" x14ac:dyDescent="0.3">
      <c r="C2712"/>
    </row>
    <row r="2713" spans="3:3" x14ac:dyDescent="0.3">
      <c r="C2713"/>
    </row>
    <row r="2714" spans="3:3" x14ac:dyDescent="0.3">
      <c r="C2714"/>
    </row>
    <row r="2715" spans="3:3" x14ac:dyDescent="0.3">
      <c r="C2715"/>
    </row>
    <row r="2716" spans="3:3" x14ac:dyDescent="0.3">
      <c r="C2716"/>
    </row>
    <row r="2717" spans="3:3" x14ac:dyDescent="0.3">
      <c r="C2717"/>
    </row>
    <row r="2718" spans="3:3" x14ac:dyDescent="0.3">
      <c r="C2718"/>
    </row>
    <row r="2719" spans="3:3" x14ac:dyDescent="0.3">
      <c r="C2719"/>
    </row>
    <row r="2720" spans="3:3" x14ac:dyDescent="0.3">
      <c r="C2720"/>
    </row>
    <row r="2721" spans="3:3" x14ac:dyDescent="0.3">
      <c r="C2721"/>
    </row>
    <row r="2722" spans="3:3" x14ac:dyDescent="0.3">
      <c r="C2722"/>
    </row>
    <row r="2723" spans="3:3" x14ac:dyDescent="0.3">
      <c r="C2723"/>
    </row>
    <row r="2724" spans="3:3" x14ac:dyDescent="0.3">
      <c r="C2724"/>
    </row>
    <row r="2725" spans="3:3" x14ac:dyDescent="0.3">
      <c r="C2725"/>
    </row>
    <row r="2726" spans="3:3" x14ac:dyDescent="0.3">
      <c r="C2726"/>
    </row>
    <row r="2727" spans="3:3" x14ac:dyDescent="0.3">
      <c r="C2727"/>
    </row>
    <row r="2728" spans="3:3" x14ac:dyDescent="0.3">
      <c r="C2728"/>
    </row>
    <row r="2729" spans="3:3" x14ac:dyDescent="0.3">
      <c r="C2729"/>
    </row>
    <row r="2730" spans="3:3" x14ac:dyDescent="0.3">
      <c r="C2730"/>
    </row>
    <row r="2731" spans="3:3" x14ac:dyDescent="0.3">
      <c r="C2731"/>
    </row>
    <row r="2732" spans="3:3" x14ac:dyDescent="0.3">
      <c r="C2732"/>
    </row>
    <row r="2733" spans="3:3" x14ac:dyDescent="0.3">
      <c r="C2733"/>
    </row>
    <row r="2734" spans="3:3" x14ac:dyDescent="0.3">
      <c r="C2734"/>
    </row>
    <row r="2735" spans="3:3" x14ac:dyDescent="0.3">
      <c r="C2735"/>
    </row>
    <row r="2736" spans="3:3" x14ac:dyDescent="0.3">
      <c r="C2736"/>
    </row>
    <row r="2737" spans="3:3" x14ac:dyDescent="0.3">
      <c r="C2737"/>
    </row>
    <row r="2738" spans="3:3" x14ac:dyDescent="0.3">
      <c r="C2738"/>
    </row>
    <row r="2739" spans="3:3" x14ac:dyDescent="0.3">
      <c r="C2739"/>
    </row>
    <row r="2740" spans="3:3" x14ac:dyDescent="0.3">
      <c r="C2740"/>
    </row>
    <row r="2741" spans="3:3" x14ac:dyDescent="0.3">
      <c r="C2741"/>
    </row>
    <row r="2742" spans="3:3" x14ac:dyDescent="0.3">
      <c r="C2742"/>
    </row>
    <row r="2743" spans="3:3" x14ac:dyDescent="0.3">
      <c r="C2743"/>
    </row>
    <row r="2744" spans="3:3" x14ac:dyDescent="0.3">
      <c r="C2744"/>
    </row>
    <row r="2745" spans="3:3" x14ac:dyDescent="0.3">
      <c r="C2745"/>
    </row>
    <row r="2746" spans="3:3" x14ac:dyDescent="0.3">
      <c r="C2746"/>
    </row>
    <row r="2747" spans="3:3" x14ac:dyDescent="0.3">
      <c r="C2747"/>
    </row>
    <row r="2748" spans="3:3" x14ac:dyDescent="0.3">
      <c r="C2748"/>
    </row>
    <row r="2749" spans="3:3" x14ac:dyDescent="0.3">
      <c r="C2749"/>
    </row>
    <row r="2750" spans="3:3" x14ac:dyDescent="0.3">
      <c r="C2750"/>
    </row>
    <row r="2751" spans="3:3" x14ac:dyDescent="0.3">
      <c r="C2751"/>
    </row>
    <row r="2752" spans="3:3" x14ac:dyDescent="0.3">
      <c r="C2752"/>
    </row>
    <row r="2753" spans="3:3" x14ac:dyDescent="0.3">
      <c r="C2753"/>
    </row>
    <row r="2754" spans="3:3" x14ac:dyDescent="0.3">
      <c r="C2754"/>
    </row>
    <row r="2755" spans="3:3" x14ac:dyDescent="0.3">
      <c r="C2755"/>
    </row>
    <row r="2756" spans="3:3" x14ac:dyDescent="0.3">
      <c r="C2756"/>
    </row>
    <row r="2757" spans="3:3" x14ac:dyDescent="0.3">
      <c r="C2757"/>
    </row>
    <row r="2758" spans="3:3" x14ac:dyDescent="0.3">
      <c r="C2758"/>
    </row>
    <row r="2759" spans="3:3" x14ac:dyDescent="0.3">
      <c r="C2759"/>
    </row>
    <row r="2760" spans="3:3" x14ac:dyDescent="0.3">
      <c r="C2760"/>
    </row>
    <row r="2761" spans="3:3" x14ac:dyDescent="0.3">
      <c r="C2761"/>
    </row>
    <row r="2762" spans="3:3" x14ac:dyDescent="0.3">
      <c r="C2762"/>
    </row>
    <row r="2763" spans="3:3" x14ac:dyDescent="0.3">
      <c r="C2763"/>
    </row>
    <row r="2764" spans="3:3" x14ac:dyDescent="0.3">
      <c r="C2764"/>
    </row>
    <row r="2765" spans="3:3" x14ac:dyDescent="0.3">
      <c r="C2765"/>
    </row>
    <row r="2766" spans="3:3" x14ac:dyDescent="0.3">
      <c r="C2766"/>
    </row>
    <row r="2767" spans="3:3" x14ac:dyDescent="0.3">
      <c r="C2767"/>
    </row>
    <row r="2768" spans="3:3" x14ac:dyDescent="0.3">
      <c r="C2768"/>
    </row>
    <row r="2769" spans="3:3" x14ac:dyDescent="0.3">
      <c r="C2769"/>
    </row>
    <row r="2770" spans="3:3" x14ac:dyDescent="0.3">
      <c r="C2770"/>
    </row>
    <row r="2771" spans="3:3" x14ac:dyDescent="0.3">
      <c r="C2771"/>
    </row>
    <row r="2772" spans="3:3" x14ac:dyDescent="0.3">
      <c r="C2772"/>
    </row>
    <row r="2773" spans="3:3" x14ac:dyDescent="0.3">
      <c r="C2773"/>
    </row>
    <row r="2774" spans="3:3" x14ac:dyDescent="0.3">
      <c r="C2774"/>
    </row>
    <row r="2775" spans="3:3" x14ac:dyDescent="0.3">
      <c r="C2775"/>
    </row>
    <row r="2776" spans="3:3" x14ac:dyDescent="0.3">
      <c r="C2776"/>
    </row>
    <row r="2777" spans="3:3" x14ac:dyDescent="0.3">
      <c r="C2777"/>
    </row>
    <row r="2778" spans="3:3" x14ac:dyDescent="0.3">
      <c r="C2778"/>
    </row>
    <row r="2779" spans="3:3" x14ac:dyDescent="0.3">
      <c r="C2779"/>
    </row>
    <row r="2780" spans="3:3" x14ac:dyDescent="0.3">
      <c r="C2780"/>
    </row>
    <row r="2781" spans="3:3" x14ac:dyDescent="0.3">
      <c r="C2781"/>
    </row>
    <row r="2782" spans="3:3" x14ac:dyDescent="0.3">
      <c r="C2782"/>
    </row>
    <row r="2783" spans="3:3" x14ac:dyDescent="0.3">
      <c r="C2783"/>
    </row>
    <row r="2784" spans="3:3" x14ac:dyDescent="0.3">
      <c r="C2784"/>
    </row>
    <row r="2785" spans="3:3" x14ac:dyDescent="0.3">
      <c r="C2785"/>
    </row>
    <row r="2786" spans="3:3" x14ac:dyDescent="0.3">
      <c r="C2786"/>
    </row>
    <row r="2787" spans="3:3" x14ac:dyDescent="0.3">
      <c r="C2787"/>
    </row>
    <row r="2788" spans="3:3" x14ac:dyDescent="0.3">
      <c r="C2788"/>
    </row>
    <row r="2789" spans="3:3" x14ac:dyDescent="0.3">
      <c r="C2789"/>
    </row>
    <row r="2790" spans="3:3" x14ac:dyDescent="0.3">
      <c r="C2790"/>
    </row>
    <row r="2791" spans="3:3" x14ac:dyDescent="0.3">
      <c r="C2791"/>
    </row>
    <row r="2792" spans="3:3" x14ac:dyDescent="0.3">
      <c r="C2792"/>
    </row>
    <row r="2793" spans="3:3" x14ac:dyDescent="0.3">
      <c r="C2793"/>
    </row>
    <row r="2794" spans="3:3" x14ac:dyDescent="0.3">
      <c r="C2794"/>
    </row>
    <row r="2795" spans="3:3" x14ac:dyDescent="0.3">
      <c r="C2795"/>
    </row>
    <row r="2796" spans="3:3" x14ac:dyDescent="0.3">
      <c r="C2796"/>
    </row>
    <row r="2797" spans="3:3" x14ac:dyDescent="0.3">
      <c r="C2797"/>
    </row>
    <row r="2798" spans="3:3" x14ac:dyDescent="0.3">
      <c r="C2798"/>
    </row>
    <row r="2799" spans="3:3" x14ac:dyDescent="0.3">
      <c r="C2799"/>
    </row>
    <row r="2800" spans="3:3" x14ac:dyDescent="0.3">
      <c r="C2800"/>
    </row>
    <row r="2801" spans="3:3" x14ac:dyDescent="0.3">
      <c r="C2801"/>
    </row>
    <row r="2802" spans="3:3" x14ac:dyDescent="0.3">
      <c r="C2802"/>
    </row>
    <row r="2803" spans="3:3" x14ac:dyDescent="0.3">
      <c r="C2803"/>
    </row>
    <row r="2804" spans="3:3" x14ac:dyDescent="0.3">
      <c r="C2804"/>
    </row>
    <row r="2805" spans="3:3" x14ac:dyDescent="0.3">
      <c r="C2805"/>
    </row>
    <row r="2806" spans="3:3" x14ac:dyDescent="0.3">
      <c r="C2806"/>
    </row>
    <row r="2807" spans="3:3" x14ac:dyDescent="0.3">
      <c r="C2807"/>
    </row>
    <row r="2808" spans="3:3" x14ac:dyDescent="0.3">
      <c r="C2808"/>
    </row>
    <row r="2809" spans="3:3" x14ac:dyDescent="0.3">
      <c r="C2809"/>
    </row>
    <row r="2810" spans="3:3" x14ac:dyDescent="0.3">
      <c r="C2810"/>
    </row>
    <row r="2811" spans="3:3" x14ac:dyDescent="0.3">
      <c r="C2811"/>
    </row>
    <row r="2812" spans="3:3" x14ac:dyDescent="0.3">
      <c r="C2812"/>
    </row>
    <row r="2813" spans="3:3" x14ac:dyDescent="0.3">
      <c r="C2813"/>
    </row>
    <row r="2814" spans="3:3" x14ac:dyDescent="0.3">
      <c r="C2814"/>
    </row>
    <row r="2815" spans="3:3" x14ac:dyDescent="0.3">
      <c r="C2815"/>
    </row>
    <row r="2816" spans="3:3" x14ac:dyDescent="0.3">
      <c r="C2816"/>
    </row>
    <row r="2817" spans="3:3" x14ac:dyDescent="0.3">
      <c r="C2817"/>
    </row>
    <row r="2818" spans="3:3" x14ac:dyDescent="0.3">
      <c r="C2818"/>
    </row>
    <row r="2819" spans="3:3" x14ac:dyDescent="0.3">
      <c r="C2819"/>
    </row>
    <row r="2820" spans="3:3" x14ac:dyDescent="0.3">
      <c r="C2820"/>
    </row>
    <row r="2821" spans="3:3" x14ac:dyDescent="0.3">
      <c r="C2821"/>
    </row>
    <row r="2822" spans="3:3" x14ac:dyDescent="0.3">
      <c r="C2822"/>
    </row>
    <row r="2823" spans="3:3" x14ac:dyDescent="0.3">
      <c r="C2823"/>
    </row>
    <row r="2824" spans="3:3" x14ac:dyDescent="0.3">
      <c r="C2824"/>
    </row>
    <row r="2825" spans="3:3" x14ac:dyDescent="0.3">
      <c r="C2825"/>
    </row>
    <row r="2826" spans="3:3" x14ac:dyDescent="0.3">
      <c r="C2826"/>
    </row>
    <row r="2827" spans="3:3" x14ac:dyDescent="0.3">
      <c r="C2827"/>
    </row>
    <row r="2828" spans="3:3" x14ac:dyDescent="0.3">
      <c r="C2828"/>
    </row>
    <row r="2829" spans="3:3" x14ac:dyDescent="0.3">
      <c r="C2829"/>
    </row>
    <row r="2830" spans="3:3" x14ac:dyDescent="0.3">
      <c r="C2830"/>
    </row>
    <row r="2831" spans="3:3" x14ac:dyDescent="0.3">
      <c r="C2831"/>
    </row>
    <row r="2832" spans="3:3" x14ac:dyDescent="0.3">
      <c r="C2832"/>
    </row>
    <row r="2833" spans="3:3" x14ac:dyDescent="0.3">
      <c r="C2833"/>
    </row>
    <row r="2834" spans="3:3" x14ac:dyDescent="0.3">
      <c r="C2834"/>
    </row>
    <row r="2835" spans="3:3" x14ac:dyDescent="0.3">
      <c r="C2835"/>
    </row>
    <row r="2836" spans="3:3" x14ac:dyDescent="0.3">
      <c r="C2836"/>
    </row>
    <row r="2837" spans="3:3" x14ac:dyDescent="0.3">
      <c r="C2837"/>
    </row>
    <row r="2838" spans="3:3" x14ac:dyDescent="0.3">
      <c r="C2838"/>
    </row>
    <row r="2839" spans="3:3" x14ac:dyDescent="0.3">
      <c r="C2839"/>
    </row>
    <row r="2840" spans="3:3" x14ac:dyDescent="0.3">
      <c r="C2840"/>
    </row>
    <row r="2841" spans="3:3" x14ac:dyDescent="0.3">
      <c r="C2841"/>
    </row>
    <row r="2842" spans="3:3" x14ac:dyDescent="0.3">
      <c r="C2842"/>
    </row>
    <row r="2843" spans="3:3" x14ac:dyDescent="0.3">
      <c r="C2843"/>
    </row>
    <row r="2844" spans="3:3" x14ac:dyDescent="0.3">
      <c r="C2844"/>
    </row>
    <row r="2845" spans="3:3" x14ac:dyDescent="0.3">
      <c r="C2845"/>
    </row>
    <row r="2846" spans="3:3" x14ac:dyDescent="0.3">
      <c r="C2846"/>
    </row>
    <row r="2847" spans="3:3" x14ac:dyDescent="0.3">
      <c r="C2847"/>
    </row>
    <row r="2848" spans="3:3" x14ac:dyDescent="0.3">
      <c r="C2848"/>
    </row>
    <row r="2849" spans="3:3" x14ac:dyDescent="0.3">
      <c r="C2849"/>
    </row>
    <row r="2850" spans="3:3" x14ac:dyDescent="0.3">
      <c r="C2850"/>
    </row>
    <row r="2851" spans="3:3" x14ac:dyDescent="0.3">
      <c r="C2851"/>
    </row>
    <row r="2852" spans="3:3" x14ac:dyDescent="0.3">
      <c r="C2852"/>
    </row>
    <row r="2853" spans="3:3" x14ac:dyDescent="0.3">
      <c r="C2853"/>
    </row>
    <row r="2854" spans="3:3" x14ac:dyDescent="0.3">
      <c r="C2854"/>
    </row>
    <row r="2855" spans="3:3" x14ac:dyDescent="0.3">
      <c r="C2855"/>
    </row>
    <row r="2856" spans="3:3" x14ac:dyDescent="0.3">
      <c r="C2856"/>
    </row>
    <row r="2857" spans="3:3" x14ac:dyDescent="0.3">
      <c r="C2857"/>
    </row>
    <row r="2858" spans="3:3" x14ac:dyDescent="0.3">
      <c r="C2858"/>
    </row>
    <row r="2859" spans="3:3" x14ac:dyDescent="0.3">
      <c r="C2859"/>
    </row>
    <row r="2860" spans="3:3" x14ac:dyDescent="0.3">
      <c r="C2860"/>
    </row>
    <row r="2861" spans="3:3" x14ac:dyDescent="0.3">
      <c r="C2861"/>
    </row>
    <row r="2862" spans="3:3" x14ac:dyDescent="0.3">
      <c r="C2862"/>
    </row>
    <row r="2863" spans="3:3" x14ac:dyDescent="0.3">
      <c r="C2863"/>
    </row>
    <row r="2864" spans="3:3" x14ac:dyDescent="0.3">
      <c r="C2864"/>
    </row>
    <row r="2865" spans="3:3" x14ac:dyDescent="0.3">
      <c r="C2865"/>
    </row>
    <row r="2866" spans="3:3" x14ac:dyDescent="0.3">
      <c r="C2866"/>
    </row>
    <row r="2867" spans="3:3" x14ac:dyDescent="0.3">
      <c r="C2867"/>
    </row>
    <row r="2868" spans="3:3" x14ac:dyDescent="0.3">
      <c r="C2868"/>
    </row>
    <row r="2869" spans="3:3" x14ac:dyDescent="0.3">
      <c r="C2869"/>
    </row>
    <row r="2870" spans="3:3" x14ac:dyDescent="0.3">
      <c r="C2870"/>
    </row>
    <row r="2871" spans="3:3" x14ac:dyDescent="0.3">
      <c r="C2871"/>
    </row>
    <row r="2872" spans="3:3" x14ac:dyDescent="0.3">
      <c r="C2872"/>
    </row>
    <row r="2873" spans="3:3" x14ac:dyDescent="0.3">
      <c r="C2873"/>
    </row>
    <row r="2874" spans="3:3" x14ac:dyDescent="0.3">
      <c r="C2874"/>
    </row>
    <row r="2875" spans="3:3" x14ac:dyDescent="0.3">
      <c r="C2875"/>
    </row>
    <row r="2876" spans="3:3" x14ac:dyDescent="0.3">
      <c r="C2876"/>
    </row>
    <row r="2877" spans="3:3" x14ac:dyDescent="0.3">
      <c r="C2877"/>
    </row>
    <row r="2878" spans="3:3" x14ac:dyDescent="0.3">
      <c r="C2878"/>
    </row>
    <row r="2879" spans="3:3" x14ac:dyDescent="0.3">
      <c r="C2879"/>
    </row>
    <row r="2880" spans="3:3" x14ac:dyDescent="0.3">
      <c r="C2880"/>
    </row>
    <row r="2881" spans="3:3" x14ac:dyDescent="0.3">
      <c r="C2881"/>
    </row>
    <row r="2882" spans="3:3" x14ac:dyDescent="0.3">
      <c r="C2882"/>
    </row>
    <row r="2883" spans="3:3" x14ac:dyDescent="0.3">
      <c r="C2883"/>
    </row>
    <row r="2884" spans="3:3" x14ac:dyDescent="0.3">
      <c r="C2884"/>
    </row>
    <row r="2885" spans="3:3" x14ac:dyDescent="0.3">
      <c r="C2885"/>
    </row>
    <row r="2886" spans="3:3" x14ac:dyDescent="0.3">
      <c r="C2886"/>
    </row>
    <row r="2887" spans="3:3" x14ac:dyDescent="0.3">
      <c r="C2887"/>
    </row>
    <row r="2888" spans="3:3" x14ac:dyDescent="0.3">
      <c r="C2888"/>
    </row>
    <row r="2889" spans="3:3" x14ac:dyDescent="0.3">
      <c r="C2889"/>
    </row>
    <row r="2890" spans="3:3" x14ac:dyDescent="0.3">
      <c r="C2890"/>
    </row>
    <row r="2891" spans="3:3" x14ac:dyDescent="0.3">
      <c r="C2891"/>
    </row>
    <row r="2892" spans="3:3" x14ac:dyDescent="0.3">
      <c r="C2892"/>
    </row>
    <row r="2893" spans="3:3" x14ac:dyDescent="0.3">
      <c r="C2893"/>
    </row>
    <row r="2894" spans="3:3" x14ac:dyDescent="0.3">
      <c r="C2894"/>
    </row>
    <row r="2895" spans="3:3" x14ac:dyDescent="0.3">
      <c r="C2895"/>
    </row>
    <row r="2896" spans="3:3" x14ac:dyDescent="0.3">
      <c r="C2896"/>
    </row>
    <row r="2897" spans="3:3" x14ac:dyDescent="0.3">
      <c r="C2897"/>
    </row>
    <row r="2898" spans="3:3" x14ac:dyDescent="0.3">
      <c r="C2898"/>
    </row>
    <row r="2899" spans="3:3" x14ac:dyDescent="0.3">
      <c r="C2899"/>
    </row>
    <row r="2900" spans="3:3" x14ac:dyDescent="0.3">
      <c r="C2900"/>
    </row>
    <row r="2901" spans="3:3" x14ac:dyDescent="0.3">
      <c r="C2901"/>
    </row>
    <row r="2902" spans="3:3" x14ac:dyDescent="0.3">
      <c r="C2902"/>
    </row>
    <row r="2903" spans="3:3" x14ac:dyDescent="0.3">
      <c r="C2903"/>
    </row>
    <row r="2904" spans="3:3" x14ac:dyDescent="0.3">
      <c r="C2904"/>
    </row>
    <row r="2905" spans="3:3" x14ac:dyDescent="0.3">
      <c r="C2905"/>
    </row>
    <row r="2906" spans="3:3" x14ac:dyDescent="0.3">
      <c r="C2906"/>
    </row>
    <row r="2907" spans="3:3" x14ac:dyDescent="0.3">
      <c r="C2907"/>
    </row>
    <row r="2908" spans="3:3" x14ac:dyDescent="0.3">
      <c r="C2908"/>
    </row>
    <row r="2909" spans="3:3" x14ac:dyDescent="0.3">
      <c r="C2909"/>
    </row>
    <row r="2910" spans="3:3" x14ac:dyDescent="0.3">
      <c r="C2910"/>
    </row>
    <row r="2911" spans="3:3" x14ac:dyDescent="0.3">
      <c r="C2911"/>
    </row>
    <row r="2912" spans="3:3" x14ac:dyDescent="0.3">
      <c r="C2912"/>
    </row>
    <row r="2913" spans="3:3" x14ac:dyDescent="0.3">
      <c r="C2913"/>
    </row>
    <row r="2914" spans="3:3" x14ac:dyDescent="0.3">
      <c r="C2914"/>
    </row>
    <row r="2915" spans="3:3" x14ac:dyDescent="0.3">
      <c r="C2915"/>
    </row>
    <row r="2916" spans="3:3" x14ac:dyDescent="0.3">
      <c r="C2916"/>
    </row>
    <row r="2917" spans="3:3" x14ac:dyDescent="0.3">
      <c r="C2917"/>
    </row>
    <row r="2918" spans="3:3" x14ac:dyDescent="0.3">
      <c r="C2918"/>
    </row>
    <row r="2919" spans="3:3" x14ac:dyDescent="0.3">
      <c r="C2919"/>
    </row>
    <row r="2920" spans="3:3" x14ac:dyDescent="0.3">
      <c r="C2920"/>
    </row>
    <row r="2921" spans="3:3" x14ac:dyDescent="0.3">
      <c r="C2921"/>
    </row>
    <row r="2922" spans="3:3" x14ac:dyDescent="0.3">
      <c r="C2922"/>
    </row>
    <row r="2923" spans="3:3" x14ac:dyDescent="0.3">
      <c r="C2923"/>
    </row>
    <row r="2924" spans="3:3" x14ac:dyDescent="0.3">
      <c r="C2924"/>
    </row>
    <row r="2925" spans="3:3" x14ac:dyDescent="0.3">
      <c r="C2925"/>
    </row>
    <row r="2926" spans="3:3" x14ac:dyDescent="0.3">
      <c r="C2926"/>
    </row>
    <row r="2927" spans="3:3" x14ac:dyDescent="0.3">
      <c r="C2927"/>
    </row>
    <row r="2928" spans="3:3" x14ac:dyDescent="0.3">
      <c r="C2928"/>
    </row>
    <row r="2929" spans="3:3" x14ac:dyDescent="0.3">
      <c r="C2929"/>
    </row>
    <row r="2930" spans="3:3" x14ac:dyDescent="0.3">
      <c r="C2930"/>
    </row>
    <row r="2931" spans="3:3" x14ac:dyDescent="0.3">
      <c r="C2931"/>
    </row>
    <row r="2932" spans="3:3" x14ac:dyDescent="0.3">
      <c r="C2932"/>
    </row>
    <row r="2933" spans="3:3" x14ac:dyDescent="0.3">
      <c r="C2933"/>
    </row>
    <row r="2934" spans="3:3" x14ac:dyDescent="0.3">
      <c r="C2934"/>
    </row>
    <row r="2935" spans="3:3" x14ac:dyDescent="0.3">
      <c r="C2935"/>
    </row>
    <row r="2936" spans="3:3" x14ac:dyDescent="0.3">
      <c r="C2936"/>
    </row>
    <row r="2937" spans="3:3" x14ac:dyDescent="0.3">
      <c r="C2937"/>
    </row>
    <row r="2938" spans="3:3" x14ac:dyDescent="0.3">
      <c r="C2938"/>
    </row>
    <row r="2939" spans="3:3" x14ac:dyDescent="0.3">
      <c r="C2939"/>
    </row>
    <row r="2940" spans="3:3" x14ac:dyDescent="0.3">
      <c r="C2940"/>
    </row>
    <row r="2941" spans="3:3" x14ac:dyDescent="0.3">
      <c r="C2941"/>
    </row>
    <row r="2942" spans="3:3" x14ac:dyDescent="0.3">
      <c r="C2942"/>
    </row>
    <row r="2943" spans="3:3" x14ac:dyDescent="0.3">
      <c r="C2943"/>
    </row>
    <row r="2944" spans="3:3" x14ac:dyDescent="0.3">
      <c r="C2944"/>
    </row>
    <row r="2945" spans="3:3" x14ac:dyDescent="0.3">
      <c r="C2945"/>
    </row>
    <row r="2946" spans="3:3" x14ac:dyDescent="0.3">
      <c r="C2946"/>
    </row>
    <row r="2947" spans="3:3" x14ac:dyDescent="0.3">
      <c r="C2947"/>
    </row>
    <row r="2948" spans="3:3" x14ac:dyDescent="0.3">
      <c r="C2948"/>
    </row>
    <row r="2949" spans="3:3" x14ac:dyDescent="0.3">
      <c r="C2949"/>
    </row>
    <row r="2950" spans="3:3" x14ac:dyDescent="0.3">
      <c r="C2950"/>
    </row>
    <row r="2951" spans="3:3" x14ac:dyDescent="0.3">
      <c r="C2951"/>
    </row>
    <row r="2952" spans="3:3" x14ac:dyDescent="0.3">
      <c r="C2952"/>
    </row>
    <row r="2953" spans="3:3" x14ac:dyDescent="0.3">
      <c r="C2953"/>
    </row>
    <row r="2954" spans="3:3" x14ac:dyDescent="0.3">
      <c r="C2954"/>
    </row>
    <row r="2955" spans="3:3" x14ac:dyDescent="0.3">
      <c r="C2955"/>
    </row>
    <row r="2956" spans="3:3" x14ac:dyDescent="0.3">
      <c r="C2956"/>
    </row>
    <row r="2957" spans="3:3" x14ac:dyDescent="0.3">
      <c r="C2957"/>
    </row>
    <row r="2958" spans="3:3" x14ac:dyDescent="0.3">
      <c r="C2958"/>
    </row>
    <row r="2959" spans="3:3" x14ac:dyDescent="0.3">
      <c r="C2959"/>
    </row>
    <row r="2960" spans="3:3" x14ac:dyDescent="0.3">
      <c r="C2960"/>
    </row>
    <row r="2961" spans="3:3" x14ac:dyDescent="0.3">
      <c r="C2961"/>
    </row>
    <row r="2962" spans="3:3" x14ac:dyDescent="0.3">
      <c r="C2962"/>
    </row>
    <row r="2963" spans="3:3" x14ac:dyDescent="0.3">
      <c r="C2963"/>
    </row>
    <row r="2964" spans="3:3" x14ac:dyDescent="0.3">
      <c r="C2964"/>
    </row>
    <row r="2965" spans="3:3" x14ac:dyDescent="0.3">
      <c r="C2965"/>
    </row>
    <row r="2966" spans="3:3" x14ac:dyDescent="0.3">
      <c r="C2966"/>
    </row>
    <row r="2967" spans="3:3" x14ac:dyDescent="0.3">
      <c r="C2967"/>
    </row>
    <row r="2968" spans="3:3" x14ac:dyDescent="0.3">
      <c r="C2968"/>
    </row>
    <row r="2969" spans="3:3" x14ac:dyDescent="0.3">
      <c r="C2969"/>
    </row>
    <row r="2970" spans="3:3" x14ac:dyDescent="0.3">
      <c r="C2970"/>
    </row>
    <row r="2971" spans="3:3" x14ac:dyDescent="0.3">
      <c r="C2971"/>
    </row>
    <row r="2972" spans="3:3" x14ac:dyDescent="0.3">
      <c r="C2972"/>
    </row>
    <row r="2973" spans="3:3" x14ac:dyDescent="0.3">
      <c r="C2973"/>
    </row>
    <row r="2974" spans="3:3" x14ac:dyDescent="0.3">
      <c r="C2974"/>
    </row>
    <row r="2975" spans="3:3" x14ac:dyDescent="0.3">
      <c r="C2975"/>
    </row>
    <row r="2976" spans="3:3" x14ac:dyDescent="0.3">
      <c r="C2976"/>
    </row>
    <row r="2977" spans="3:3" x14ac:dyDescent="0.3">
      <c r="C2977"/>
    </row>
    <row r="2978" spans="3:3" x14ac:dyDescent="0.3">
      <c r="C2978"/>
    </row>
    <row r="2979" spans="3:3" x14ac:dyDescent="0.3">
      <c r="C2979"/>
    </row>
    <row r="2980" spans="3:3" x14ac:dyDescent="0.3">
      <c r="C2980"/>
    </row>
    <row r="2981" spans="3:3" x14ac:dyDescent="0.3">
      <c r="C2981"/>
    </row>
    <row r="2982" spans="3:3" x14ac:dyDescent="0.3">
      <c r="C2982"/>
    </row>
    <row r="2983" spans="3:3" x14ac:dyDescent="0.3">
      <c r="C2983"/>
    </row>
    <row r="2984" spans="3:3" x14ac:dyDescent="0.3">
      <c r="C2984"/>
    </row>
    <row r="2985" spans="3:3" x14ac:dyDescent="0.3">
      <c r="C2985"/>
    </row>
    <row r="2986" spans="3:3" x14ac:dyDescent="0.3">
      <c r="C2986"/>
    </row>
    <row r="2987" spans="3:3" x14ac:dyDescent="0.3">
      <c r="C2987"/>
    </row>
    <row r="2988" spans="3:3" x14ac:dyDescent="0.3">
      <c r="C2988"/>
    </row>
    <row r="2989" spans="3:3" x14ac:dyDescent="0.3">
      <c r="C2989"/>
    </row>
    <row r="2990" spans="3:3" x14ac:dyDescent="0.3">
      <c r="C2990"/>
    </row>
    <row r="2991" spans="3:3" x14ac:dyDescent="0.3">
      <c r="C2991"/>
    </row>
    <row r="2992" spans="3:3" x14ac:dyDescent="0.3">
      <c r="C2992"/>
    </row>
    <row r="2993" spans="3:3" x14ac:dyDescent="0.3">
      <c r="C2993"/>
    </row>
    <row r="2994" spans="3:3" x14ac:dyDescent="0.3">
      <c r="C2994"/>
    </row>
    <row r="2995" spans="3:3" x14ac:dyDescent="0.3">
      <c r="C2995"/>
    </row>
    <row r="2996" spans="3:3" x14ac:dyDescent="0.3">
      <c r="C2996"/>
    </row>
    <row r="2997" spans="3:3" x14ac:dyDescent="0.3">
      <c r="C2997"/>
    </row>
    <row r="2998" spans="3:3" x14ac:dyDescent="0.3">
      <c r="C2998"/>
    </row>
    <row r="2999" spans="3:3" x14ac:dyDescent="0.3">
      <c r="C2999"/>
    </row>
    <row r="3000" spans="3:3" x14ac:dyDescent="0.3">
      <c r="C3000"/>
    </row>
    <row r="3001" spans="3:3" x14ac:dyDescent="0.3">
      <c r="C3001"/>
    </row>
    <row r="3002" spans="3:3" x14ac:dyDescent="0.3">
      <c r="C3002"/>
    </row>
    <row r="3003" spans="3:3" x14ac:dyDescent="0.3">
      <c r="C3003"/>
    </row>
    <row r="3004" spans="3:3" x14ac:dyDescent="0.3">
      <c r="C3004"/>
    </row>
    <row r="3005" spans="3:3" x14ac:dyDescent="0.3">
      <c r="C3005"/>
    </row>
    <row r="3006" spans="3:3" x14ac:dyDescent="0.3">
      <c r="C3006"/>
    </row>
    <row r="3007" spans="3:3" x14ac:dyDescent="0.3">
      <c r="C3007"/>
    </row>
    <row r="3008" spans="3:3" x14ac:dyDescent="0.3">
      <c r="C3008"/>
    </row>
    <row r="3009" spans="3:3" x14ac:dyDescent="0.3">
      <c r="C3009"/>
    </row>
    <row r="3010" spans="3:3" x14ac:dyDescent="0.3">
      <c r="C3010"/>
    </row>
    <row r="3011" spans="3:3" x14ac:dyDescent="0.3">
      <c r="C3011"/>
    </row>
    <row r="3012" spans="3:3" x14ac:dyDescent="0.3">
      <c r="C3012"/>
    </row>
    <row r="3013" spans="3:3" x14ac:dyDescent="0.3">
      <c r="C3013"/>
    </row>
    <row r="3014" spans="3:3" x14ac:dyDescent="0.3">
      <c r="C3014"/>
    </row>
    <row r="3015" spans="3:3" x14ac:dyDescent="0.3">
      <c r="C3015"/>
    </row>
    <row r="3016" spans="3:3" x14ac:dyDescent="0.3">
      <c r="C3016"/>
    </row>
    <row r="3017" spans="3:3" x14ac:dyDescent="0.3">
      <c r="C3017"/>
    </row>
    <row r="3018" spans="3:3" x14ac:dyDescent="0.3">
      <c r="C3018"/>
    </row>
    <row r="3019" spans="3:3" x14ac:dyDescent="0.3">
      <c r="C3019"/>
    </row>
    <row r="3020" spans="3:3" x14ac:dyDescent="0.3">
      <c r="C3020"/>
    </row>
    <row r="3021" spans="3:3" x14ac:dyDescent="0.3">
      <c r="C3021"/>
    </row>
    <row r="3022" spans="3:3" x14ac:dyDescent="0.3">
      <c r="C3022"/>
    </row>
    <row r="3023" spans="3:3" x14ac:dyDescent="0.3">
      <c r="C3023"/>
    </row>
    <row r="3024" spans="3:3" x14ac:dyDescent="0.3">
      <c r="C3024"/>
    </row>
    <row r="3025" spans="3:3" x14ac:dyDescent="0.3">
      <c r="C3025"/>
    </row>
    <row r="3026" spans="3:3" x14ac:dyDescent="0.3">
      <c r="C3026"/>
    </row>
    <row r="3027" spans="3:3" x14ac:dyDescent="0.3">
      <c r="C3027"/>
    </row>
    <row r="3028" spans="3:3" x14ac:dyDescent="0.3">
      <c r="C3028"/>
    </row>
    <row r="3029" spans="3:3" x14ac:dyDescent="0.3">
      <c r="C3029"/>
    </row>
    <row r="3030" spans="3:3" x14ac:dyDescent="0.3">
      <c r="C3030"/>
    </row>
    <row r="3031" spans="3:3" x14ac:dyDescent="0.3">
      <c r="C3031"/>
    </row>
    <row r="3032" spans="3:3" x14ac:dyDescent="0.3">
      <c r="C3032"/>
    </row>
    <row r="3033" spans="3:3" x14ac:dyDescent="0.3">
      <c r="C3033"/>
    </row>
    <row r="3034" spans="3:3" x14ac:dyDescent="0.3">
      <c r="C3034"/>
    </row>
    <row r="3035" spans="3:3" x14ac:dyDescent="0.3">
      <c r="C3035"/>
    </row>
    <row r="3036" spans="3:3" x14ac:dyDescent="0.3">
      <c r="C3036"/>
    </row>
    <row r="3037" spans="3:3" x14ac:dyDescent="0.3">
      <c r="C3037"/>
    </row>
    <row r="3038" spans="3:3" x14ac:dyDescent="0.3">
      <c r="C3038"/>
    </row>
    <row r="3039" spans="3:3" x14ac:dyDescent="0.3">
      <c r="C3039"/>
    </row>
    <row r="3040" spans="3:3" x14ac:dyDescent="0.3">
      <c r="C3040"/>
    </row>
    <row r="3041" spans="3:3" x14ac:dyDescent="0.3">
      <c r="C3041"/>
    </row>
    <row r="3042" spans="3:3" x14ac:dyDescent="0.3">
      <c r="C3042"/>
    </row>
    <row r="3043" spans="3:3" x14ac:dyDescent="0.3">
      <c r="C3043"/>
    </row>
    <row r="3044" spans="3:3" x14ac:dyDescent="0.3">
      <c r="C3044"/>
    </row>
    <row r="3045" spans="3:3" x14ac:dyDescent="0.3">
      <c r="C3045"/>
    </row>
    <row r="3046" spans="3:3" x14ac:dyDescent="0.3">
      <c r="C3046"/>
    </row>
    <row r="3047" spans="3:3" x14ac:dyDescent="0.3">
      <c r="C3047"/>
    </row>
    <row r="3048" spans="3:3" x14ac:dyDescent="0.3">
      <c r="C3048"/>
    </row>
    <row r="3049" spans="3:3" x14ac:dyDescent="0.3">
      <c r="C3049"/>
    </row>
    <row r="3050" spans="3:3" x14ac:dyDescent="0.3">
      <c r="C3050"/>
    </row>
    <row r="3051" spans="3:3" x14ac:dyDescent="0.3">
      <c r="C3051"/>
    </row>
    <row r="3052" spans="3:3" x14ac:dyDescent="0.3">
      <c r="C3052"/>
    </row>
    <row r="3053" spans="3:3" x14ac:dyDescent="0.3">
      <c r="C3053"/>
    </row>
    <row r="3054" spans="3:3" x14ac:dyDescent="0.3">
      <c r="C3054"/>
    </row>
    <row r="3055" spans="3:3" x14ac:dyDescent="0.3">
      <c r="C3055"/>
    </row>
    <row r="3056" spans="3:3" x14ac:dyDescent="0.3">
      <c r="C3056"/>
    </row>
    <row r="3057" spans="3:3" x14ac:dyDescent="0.3">
      <c r="C3057"/>
    </row>
    <row r="3058" spans="3:3" x14ac:dyDescent="0.3">
      <c r="C3058"/>
    </row>
    <row r="3059" spans="3:3" x14ac:dyDescent="0.3">
      <c r="C3059"/>
    </row>
    <row r="3060" spans="3:3" x14ac:dyDescent="0.3">
      <c r="C3060"/>
    </row>
    <row r="3061" spans="3:3" x14ac:dyDescent="0.3">
      <c r="C3061"/>
    </row>
    <row r="3062" spans="3:3" x14ac:dyDescent="0.3">
      <c r="C3062"/>
    </row>
    <row r="3063" spans="3:3" x14ac:dyDescent="0.3">
      <c r="C3063"/>
    </row>
    <row r="3064" spans="3:3" x14ac:dyDescent="0.3">
      <c r="C3064"/>
    </row>
    <row r="3065" spans="3:3" x14ac:dyDescent="0.3">
      <c r="C3065"/>
    </row>
    <row r="3066" spans="3:3" x14ac:dyDescent="0.3">
      <c r="C3066"/>
    </row>
    <row r="3067" spans="3:3" x14ac:dyDescent="0.3">
      <c r="C3067"/>
    </row>
    <row r="3068" spans="3:3" x14ac:dyDescent="0.3">
      <c r="C3068"/>
    </row>
    <row r="3069" spans="3:3" x14ac:dyDescent="0.3">
      <c r="C3069"/>
    </row>
    <row r="3070" spans="3:3" x14ac:dyDescent="0.3">
      <c r="C3070"/>
    </row>
    <row r="3071" spans="3:3" x14ac:dyDescent="0.3">
      <c r="C3071"/>
    </row>
    <row r="3072" spans="3:3" x14ac:dyDescent="0.3">
      <c r="C3072"/>
    </row>
    <row r="3073" spans="3:3" x14ac:dyDescent="0.3">
      <c r="C3073"/>
    </row>
    <row r="3074" spans="3:3" x14ac:dyDescent="0.3">
      <c r="C3074"/>
    </row>
    <row r="3075" spans="3:3" x14ac:dyDescent="0.3">
      <c r="C3075"/>
    </row>
    <row r="3076" spans="3:3" x14ac:dyDescent="0.3">
      <c r="C3076"/>
    </row>
    <row r="3077" spans="3:3" x14ac:dyDescent="0.3">
      <c r="C3077"/>
    </row>
    <row r="3078" spans="3:3" x14ac:dyDescent="0.3">
      <c r="C3078"/>
    </row>
    <row r="3079" spans="3:3" x14ac:dyDescent="0.3">
      <c r="C3079"/>
    </row>
    <row r="3080" spans="3:3" x14ac:dyDescent="0.3">
      <c r="C3080"/>
    </row>
    <row r="3081" spans="3:3" x14ac:dyDescent="0.3">
      <c r="C3081"/>
    </row>
    <row r="3082" spans="3:3" x14ac:dyDescent="0.3">
      <c r="C3082"/>
    </row>
    <row r="3083" spans="3:3" x14ac:dyDescent="0.3">
      <c r="C3083"/>
    </row>
    <row r="3084" spans="3:3" x14ac:dyDescent="0.3">
      <c r="C3084"/>
    </row>
    <row r="3085" spans="3:3" x14ac:dyDescent="0.3">
      <c r="C3085"/>
    </row>
    <row r="3086" spans="3:3" x14ac:dyDescent="0.3">
      <c r="C3086"/>
    </row>
    <row r="3087" spans="3:3" x14ac:dyDescent="0.3">
      <c r="C3087"/>
    </row>
    <row r="3088" spans="3:3" x14ac:dyDescent="0.3">
      <c r="C3088"/>
    </row>
    <row r="3089" spans="3:3" x14ac:dyDescent="0.3">
      <c r="C3089"/>
    </row>
    <row r="3090" spans="3:3" x14ac:dyDescent="0.3">
      <c r="C3090"/>
    </row>
    <row r="3091" spans="3:3" x14ac:dyDescent="0.3">
      <c r="C3091"/>
    </row>
    <row r="3092" spans="3:3" x14ac:dyDescent="0.3">
      <c r="C3092"/>
    </row>
    <row r="3093" spans="3:3" x14ac:dyDescent="0.3">
      <c r="C3093"/>
    </row>
    <row r="3094" spans="3:3" x14ac:dyDescent="0.3">
      <c r="C3094"/>
    </row>
    <row r="3095" spans="3:3" x14ac:dyDescent="0.3">
      <c r="C3095"/>
    </row>
    <row r="3096" spans="3:3" x14ac:dyDescent="0.3">
      <c r="C3096"/>
    </row>
    <row r="3097" spans="3:3" x14ac:dyDescent="0.3">
      <c r="C3097"/>
    </row>
    <row r="3098" spans="3:3" x14ac:dyDescent="0.3">
      <c r="C3098"/>
    </row>
    <row r="3099" spans="3:3" x14ac:dyDescent="0.3">
      <c r="C3099"/>
    </row>
    <row r="3100" spans="3:3" x14ac:dyDescent="0.3">
      <c r="C3100"/>
    </row>
    <row r="3101" spans="3:3" x14ac:dyDescent="0.3">
      <c r="C3101"/>
    </row>
    <row r="3102" spans="3:3" x14ac:dyDescent="0.3">
      <c r="C3102"/>
    </row>
    <row r="3103" spans="3:3" x14ac:dyDescent="0.3">
      <c r="C3103"/>
    </row>
    <row r="3104" spans="3:3" x14ac:dyDescent="0.3">
      <c r="C3104"/>
    </row>
    <row r="3105" spans="3:3" x14ac:dyDescent="0.3">
      <c r="C3105"/>
    </row>
    <row r="3106" spans="3:3" x14ac:dyDescent="0.3">
      <c r="C3106"/>
    </row>
    <row r="3107" spans="3:3" x14ac:dyDescent="0.3">
      <c r="C3107"/>
    </row>
    <row r="3108" spans="3:3" x14ac:dyDescent="0.3">
      <c r="C3108"/>
    </row>
    <row r="3109" spans="3:3" x14ac:dyDescent="0.3">
      <c r="C3109"/>
    </row>
    <row r="3110" spans="3:3" x14ac:dyDescent="0.3">
      <c r="C3110"/>
    </row>
    <row r="3111" spans="3:3" x14ac:dyDescent="0.3">
      <c r="C3111"/>
    </row>
    <row r="3112" spans="3:3" x14ac:dyDescent="0.3">
      <c r="C3112"/>
    </row>
    <row r="3113" spans="3:3" x14ac:dyDescent="0.3">
      <c r="C3113"/>
    </row>
    <row r="3114" spans="3:3" x14ac:dyDescent="0.3">
      <c r="C3114"/>
    </row>
    <row r="3115" spans="3:3" x14ac:dyDescent="0.3">
      <c r="C3115"/>
    </row>
    <row r="3116" spans="3:3" x14ac:dyDescent="0.3">
      <c r="C3116"/>
    </row>
    <row r="3117" spans="3:3" x14ac:dyDescent="0.3">
      <c r="C3117"/>
    </row>
    <row r="3118" spans="3:3" x14ac:dyDescent="0.3">
      <c r="C3118"/>
    </row>
    <row r="3119" spans="3:3" x14ac:dyDescent="0.3">
      <c r="C3119"/>
    </row>
    <row r="3120" spans="3:3" x14ac:dyDescent="0.3">
      <c r="C3120"/>
    </row>
    <row r="3121" spans="3:3" x14ac:dyDescent="0.3">
      <c r="C3121"/>
    </row>
    <row r="3122" spans="3:3" x14ac:dyDescent="0.3">
      <c r="C3122"/>
    </row>
    <row r="3123" spans="3:3" x14ac:dyDescent="0.3">
      <c r="C3123"/>
    </row>
    <row r="3124" spans="3:3" x14ac:dyDescent="0.3">
      <c r="C3124"/>
    </row>
    <row r="3125" spans="3:3" x14ac:dyDescent="0.3">
      <c r="C3125"/>
    </row>
    <row r="3126" spans="3:3" x14ac:dyDescent="0.3">
      <c r="C3126"/>
    </row>
    <row r="3127" spans="3:3" x14ac:dyDescent="0.3">
      <c r="C3127"/>
    </row>
    <row r="3128" spans="3:3" x14ac:dyDescent="0.3">
      <c r="C3128"/>
    </row>
    <row r="3129" spans="3:3" x14ac:dyDescent="0.3">
      <c r="C3129"/>
    </row>
    <row r="3130" spans="3:3" x14ac:dyDescent="0.3">
      <c r="C3130"/>
    </row>
    <row r="3131" spans="3:3" x14ac:dyDescent="0.3">
      <c r="C3131"/>
    </row>
    <row r="3132" spans="3:3" x14ac:dyDescent="0.3">
      <c r="C3132"/>
    </row>
    <row r="3133" spans="3:3" x14ac:dyDescent="0.3">
      <c r="C3133"/>
    </row>
    <row r="3134" spans="3:3" x14ac:dyDescent="0.3">
      <c r="C3134"/>
    </row>
    <row r="3135" spans="3:3" x14ac:dyDescent="0.3">
      <c r="C3135"/>
    </row>
    <row r="3136" spans="3:3" x14ac:dyDescent="0.3">
      <c r="C3136"/>
    </row>
    <row r="3137" spans="3:3" x14ac:dyDescent="0.3">
      <c r="C3137"/>
    </row>
    <row r="3138" spans="3:3" x14ac:dyDescent="0.3">
      <c r="C3138"/>
    </row>
    <row r="3139" spans="3:3" x14ac:dyDescent="0.3">
      <c r="C3139"/>
    </row>
    <row r="3140" spans="3:3" x14ac:dyDescent="0.3">
      <c r="C3140"/>
    </row>
    <row r="3141" spans="3:3" x14ac:dyDescent="0.3">
      <c r="C3141"/>
    </row>
    <row r="3142" spans="3:3" x14ac:dyDescent="0.3">
      <c r="C3142"/>
    </row>
    <row r="3143" spans="3:3" x14ac:dyDescent="0.3">
      <c r="C3143"/>
    </row>
    <row r="3144" spans="3:3" x14ac:dyDescent="0.3">
      <c r="C3144"/>
    </row>
    <row r="3145" spans="3:3" x14ac:dyDescent="0.3">
      <c r="C3145"/>
    </row>
    <row r="3146" spans="3:3" x14ac:dyDescent="0.3">
      <c r="C3146"/>
    </row>
    <row r="3147" spans="3:3" x14ac:dyDescent="0.3">
      <c r="C3147"/>
    </row>
    <row r="3148" spans="3:3" x14ac:dyDescent="0.3">
      <c r="C3148"/>
    </row>
    <row r="3149" spans="3:3" x14ac:dyDescent="0.3">
      <c r="C3149"/>
    </row>
    <row r="3150" spans="3:3" x14ac:dyDescent="0.3">
      <c r="C3150"/>
    </row>
    <row r="3151" spans="3:3" x14ac:dyDescent="0.3">
      <c r="C3151"/>
    </row>
    <row r="3152" spans="3:3" x14ac:dyDescent="0.3">
      <c r="C3152"/>
    </row>
    <row r="3153" spans="3:3" x14ac:dyDescent="0.3">
      <c r="C3153"/>
    </row>
    <row r="3154" spans="3:3" x14ac:dyDescent="0.3">
      <c r="C3154"/>
    </row>
    <row r="3155" spans="3:3" x14ac:dyDescent="0.3">
      <c r="C3155"/>
    </row>
    <row r="3156" spans="3:3" x14ac:dyDescent="0.3">
      <c r="C3156"/>
    </row>
    <row r="3157" spans="3:3" x14ac:dyDescent="0.3">
      <c r="C3157"/>
    </row>
    <row r="3158" spans="3:3" x14ac:dyDescent="0.3">
      <c r="C3158"/>
    </row>
    <row r="3159" spans="3:3" x14ac:dyDescent="0.3">
      <c r="C3159"/>
    </row>
    <row r="3160" spans="3:3" x14ac:dyDescent="0.3">
      <c r="C3160"/>
    </row>
    <row r="3161" spans="3:3" x14ac:dyDescent="0.3">
      <c r="C3161"/>
    </row>
    <row r="3162" spans="3:3" x14ac:dyDescent="0.3">
      <c r="C3162"/>
    </row>
    <row r="3163" spans="3:3" x14ac:dyDescent="0.3">
      <c r="C3163"/>
    </row>
    <row r="3164" spans="3:3" x14ac:dyDescent="0.3">
      <c r="C3164"/>
    </row>
    <row r="3165" spans="3:3" x14ac:dyDescent="0.3">
      <c r="C3165"/>
    </row>
    <row r="3166" spans="3:3" x14ac:dyDescent="0.3">
      <c r="C3166"/>
    </row>
    <row r="3167" spans="3:3" x14ac:dyDescent="0.3">
      <c r="C3167"/>
    </row>
    <row r="3168" spans="3:3" x14ac:dyDescent="0.3">
      <c r="C3168"/>
    </row>
    <row r="3169" spans="3:3" x14ac:dyDescent="0.3">
      <c r="C3169"/>
    </row>
    <row r="3170" spans="3:3" x14ac:dyDescent="0.3">
      <c r="C3170"/>
    </row>
    <row r="3171" spans="3:3" x14ac:dyDescent="0.3">
      <c r="C3171"/>
    </row>
    <row r="3172" spans="3:3" x14ac:dyDescent="0.3">
      <c r="C3172"/>
    </row>
    <row r="3173" spans="3:3" x14ac:dyDescent="0.3">
      <c r="C3173"/>
    </row>
    <row r="3174" spans="3:3" x14ac:dyDescent="0.3">
      <c r="C3174"/>
    </row>
    <row r="3175" spans="3:3" x14ac:dyDescent="0.3">
      <c r="C3175"/>
    </row>
    <row r="3176" spans="3:3" x14ac:dyDescent="0.3">
      <c r="C3176"/>
    </row>
    <row r="3177" spans="3:3" x14ac:dyDescent="0.3">
      <c r="C3177"/>
    </row>
    <row r="3178" spans="3:3" x14ac:dyDescent="0.3">
      <c r="C3178"/>
    </row>
    <row r="3179" spans="3:3" x14ac:dyDescent="0.3">
      <c r="C3179"/>
    </row>
    <row r="3180" spans="3:3" x14ac:dyDescent="0.3">
      <c r="C3180"/>
    </row>
    <row r="3181" spans="3:3" x14ac:dyDescent="0.3">
      <c r="C3181"/>
    </row>
    <row r="3182" spans="3:3" x14ac:dyDescent="0.3">
      <c r="C3182"/>
    </row>
    <row r="3183" spans="3:3" x14ac:dyDescent="0.3">
      <c r="C3183"/>
    </row>
    <row r="3184" spans="3:3" x14ac:dyDescent="0.3">
      <c r="C3184"/>
    </row>
    <row r="3185" spans="3:3" x14ac:dyDescent="0.3">
      <c r="C3185"/>
    </row>
    <row r="3186" spans="3:3" x14ac:dyDescent="0.3">
      <c r="C3186"/>
    </row>
    <row r="3187" spans="3:3" x14ac:dyDescent="0.3">
      <c r="C3187"/>
    </row>
    <row r="3188" spans="3:3" x14ac:dyDescent="0.3">
      <c r="C3188"/>
    </row>
    <row r="3189" spans="3:3" x14ac:dyDescent="0.3">
      <c r="C3189"/>
    </row>
    <row r="3190" spans="3:3" x14ac:dyDescent="0.3">
      <c r="C3190"/>
    </row>
    <row r="3191" spans="3:3" x14ac:dyDescent="0.3">
      <c r="C3191"/>
    </row>
    <row r="3192" spans="3:3" x14ac:dyDescent="0.3">
      <c r="C3192"/>
    </row>
    <row r="3193" spans="3:3" x14ac:dyDescent="0.3">
      <c r="C3193"/>
    </row>
    <row r="3194" spans="3:3" x14ac:dyDescent="0.3">
      <c r="C3194"/>
    </row>
    <row r="3195" spans="3:3" x14ac:dyDescent="0.3">
      <c r="C3195"/>
    </row>
    <row r="3196" spans="3:3" x14ac:dyDescent="0.3">
      <c r="C3196"/>
    </row>
    <row r="3197" spans="3:3" x14ac:dyDescent="0.3">
      <c r="C3197"/>
    </row>
    <row r="3198" spans="3:3" x14ac:dyDescent="0.3">
      <c r="C3198"/>
    </row>
    <row r="3199" spans="3:3" x14ac:dyDescent="0.3">
      <c r="C3199"/>
    </row>
    <row r="3200" spans="3:3" x14ac:dyDescent="0.3">
      <c r="C3200"/>
    </row>
    <row r="3201" spans="3:3" x14ac:dyDescent="0.3">
      <c r="C3201"/>
    </row>
    <row r="3202" spans="3:3" x14ac:dyDescent="0.3">
      <c r="C3202"/>
    </row>
    <row r="3203" spans="3:3" x14ac:dyDescent="0.3">
      <c r="C3203"/>
    </row>
    <row r="3204" spans="3:3" x14ac:dyDescent="0.3">
      <c r="C3204"/>
    </row>
    <row r="3205" spans="3:3" x14ac:dyDescent="0.3">
      <c r="C3205"/>
    </row>
    <row r="3206" spans="3:3" x14ac:dyDescent="0.3">
      <c r="C3206"/>
    </row>
    <row r="3207" spans="3:3" x14ac:dyDescent="0.3">
      <c r="C3207"/>
    </row>
    <row r="3208" spans="3:3" x14ac:dyDescent="0.3">
      <c r="C3208"/>
    </row>
    <row r="3209" spans="3:3" x14ac:dyDescent="0.3">
      <c r="C3209"/>
    </row>
    <row r="3210" spans="3:3" x14ac:dyDescent="0.3">
      <c r="C3210"/>
    </row>
    <row r="3211" spans="3:3" x14ac:dyDescent="0.3">
      <c r="C3211"/>
    </row>
    <row r="3212" spans="3:3" x14ac:dyDescent="0.3">
      <c r="C3212"/>
    </row>
    <row r="3213" spans="3:3" x14ac:dyDescent="0.3">
      <c r="C3213"/>
    </row>
    <row r="3214" spans="3:3" x14ac:dyDescent="0.3">
      <c r="C3214"/>
    </row>
    <row r="3215" spans="3:3" x14ac:dyDescent="0.3">
      <c r="C3215"/>
    </row>
    <row r="3216" spans="3:3" x14ac:dyDescent="0.3">
      <c r="C3216"/>
    </row>
    <row r="3217" spans="3:3" x14ac:dyDescent="0.3">
      <c r="C3217"/>
    </row>
    <row r="3218" spans="3:3" x14ac:dyDescent="0.3">
      <c r="C3218"/>
    </row>
    <row r="3219" spans="3:3" x14ac:dyDescent="0.3">
      <c r="C3219"/>
    </row>
    <row r="3220" spans="3:3" x14ac:dyDescent="0.3">
      <c r="C3220"/>
    </row>
    <row r="3221" spans="3:3" x14ac:dyDescent="0.3">
      <c r="C3221"/>
    </row>
    <row r="3222" spans="3:3" x14ac:dyDescent="0.3">
      <c r="C3222"/>
    </row>
    <row r="3223" spans="3:3" x14ac:dyDescent="0.3">
      <c r="C3223"/>
    </row>
    <row r="3224" spans="3:3" x14ac:dyDescent="0.3">
      <c r="C3224"/>
    </row>
    <row r="3225" spans="3:3" x14ac:dyDescent="0.3">
      <c r="C3225"/>
    </row>
    <row r="3226" spans="3:3" x14ac:dyDescent="0.3">
      <c r="C3226"/>
    </row>
    <row r="3227" spans="3:3" x14ac:dyDescent="0.3">
      <c r="C3227"/>
    </row>
    <row r="3228" spans="3:3" x14ac:dyDescent="0.3">
      <c r="C3228"/>
    </row>
    <row r="3229" spans="3:3" x14ac:dyDescent="0.3">
      <c r="C3229"/>
    </row>
    <row r="3230" spans="3:3" x14ac:dyDescent="0.3">
      <c r="C3230"/>
    </row>
    <row r="3231" spans="3:3" x14ac:dyDescent="0.3">
      <c r="C3231"/>
    </row>
    <row r="3232" spans="3:3" x14ac:dyDescent="0.3">
      <c r="C3232"/>
    </row>
    <row r="3233" spans="3:3" x14ac:dyDescent="0.3">
      <c r="C3233"/>
    </row>
    <row r="3234" spans="3:3" x14ac:dyDescent="0.3">
      <c r="C3234"/>
    </row>
    <row r="3235" spans="3:3" x14ac:dyDescent="0.3">
      <c r="C3235"/>
    </row>
    <row r="3236" spans="3:3" x14ac:dyDescent="0.3">
      <c r="C3236"/>
    </row>
    <row r="3237" spans="3:3" x14ac:dyDescent="0.3">
      <c r="C3237"/>
    </row>
    <row r="3238" spans="3:3" x14ac:dyDescent="0.3">
      <c r="C3238"/>
    </row>
    <row r="3239" spans="3:3" x14ac:dyDescent="0.3">
      <c r="C3239"/>
    </row>
    <row r="3240" spans="3:3" x14ac:dyDescent="0.3">
      <c r="C3240"/>
    </row>
    <row r="3241" spans="3:3" x14ac:dyDescent="0.3">
      <c r="C3241"/>
    </row>
    <row r="3242" spans="3:3" x14ac:dyDescent="0.3">
      <c r="C3242"/>
    </row>
    <row r="3243" spans="3:3" x14ac:dyDescent="0.3">
      <c r="C3243"/>
    </row>
    <row r="3244" spans="3:3" x14ac:dyDescent="0.3">
      <c r="C3244"/>
    </row>
    <row r="3245" spans="3:3" x14ac:dyDescent="0.3">
      <c r="C3245"/>
    </row>
    <row r="3246" spans="3:3" x14ac:dyDescent="0.3">
      <c r="C3246"/>
    </row>
    <row r="3247" spans="3:3" x14ac:dyDescent="0.3">
      <c r="C3247"/>
    </row>
    <row r="3248" spans="3:3" x14ac:dyDescent="0.3">
      <c r="C3248"/>
    </row>
    <row r="3249" spans="3:3" x14ac:dyDescent="0.3">
      <c r="C3249"/>
    </row>
    <row r="3250" spans="3:3" x14ac:dyDescent="0.3">
      <c r="C3250"/>
    </row>
    <row r="3251" spans="3:3" x14ac:dyDescent="0.3">
      <c r="C3251"/>
    </row>
    <row r="3252" spans="3:3" x14ac:dyDescent="0.3">
      <c r="C3252"/>
    </row>
    <row r="3253" spans="3:3" x14ac:dyDescent="0.3">
      <c r="C3253"/>
    </row>
    <row r="3254" spans="3:3" x14ac:dyDescent="0.3">
      <c r="C3254"/>
    </row>
    <row r="3255" spans="3:3" x14ac:dyDescent="0.3">
      <c r="C3255"/>
    </row>
    <row r="3256" spans="3:3" x14ac:dyDescent="0.3">
      <c r="C3256"/>
    </row>
    <row r="3257" spans="3:3" x14ac:dyDescent="0.3">
      <c r="C3257"/>
    </row>
    <row r="3258" spans="3:3" x14ac:dyDescent="0.3">
      <c r="C3258"/>
    </row>
    <row r="3259" spans="3:3" x14ac:dyDescent="0.3">
      <c r="C3259"/>
    </row>
    <row r="3260" spans="3:3" x14ac:dyDescent="0.3">
      <c r="C3260"/>
    </row>
    <row r="3261" spans="3:3" x14ac:dyDescent="0.3">
      <c r="C3261"/>
    </row>
    <row r="3262" spans="3:3" x14ac:dyDescent="0.3">
      <c r="C3262"/>
    </row>
    <row r="3263" spans="3:3" x14ac:dyDescent="0.3">
      <c r="C3263"/>
    </row>
    <row r="3264" spans="3:3" x14ac:dyDescent="0.3">
      <c r="C3264"/>
    </row>
    <row r="3265" spans="3:3" x14ac:dyDescent="0.3">
      <c r="C3265"/>
    </row>
    <row r="3266" spans="3:3" x14ac:dyDescent="0.3">
      <c r="C3266"/>
    </row>
    <row r="3267" spans="3:3" x14ac:dyDescent="0.3">
      <c r="C3267"/>
    </row>
    <row r="3268" spans="3:3" x14ac:dyDescent="0.3">
      <c r="C3268"/>
    </row>
    <row r="3269" spans="3:3" x14ac:dyDescent="0.3">
      <c r="C3269"/>
    </row>
    <row r="3270" spans="3:3" x14ac:dyDescent="0.3">
      <c r="C3270"/>
    </row>
    <row r="3271" spans="3:3" x14ac:dyDescent="0.3">
      <c r="C3271"/>
    </row>
    <row r="3272" spans="3:3" x14ac:dyDescent="0.3">
      <c r="C3272"/>
    </row>
    <row r="3273" spans="3:3" x14ac:dyDescent="0.3">
      <c r="C3273"/>
    </row>
    <row r="3274" spans="3:3" x14ac:dyDescent="0.3">
      <c r="C3274"/>
    </row>
    <row r="3275" spans="3:3" x14ac:dyDescent="0.3">
      <c r="C3275"/>
    </row>
    <row r="3276" spans="3:3" x14ac:dyDescent="0.3">
      <c r="C3276"/>
    </row>
    <row r="3277" spans="3:3" x14ac:dyDescent="0.3">
      <c r="C3277"/>
    </row>
    <row r="3278" spans="3:3" x14ac:dyDescent="0.3">
      <c r="C3278"/>
    </row>
    <row r="3279" spans="3:3" x14ac:dyDescent="0.3">
      <c r="C3279"/>
    </row>
    <row r="3280" spans="3:3" x14ac:dyDescent="0.3">
      <c r="C3280"/>
    </row>
    <row r="3281" spans="3:3" x14ac:dyDescent="0.3">
      <c r="C3281"/>
    </row>
    <row r="3282" spans="3:3" x14ac:dyDescent="0.3">
      <c r="C3282"/>
    </row>
    <row r="3283" spans="3:3" x14ac:dyDescent="0.3">
      <c r="C3283"/>
    </row>
    <row r="3284" spans="3:3" x14ac:dyDescent="0.3">
      <c r="C3284"/>
    </row>
    <row r="3285" spans="3:3" x14ac:dyDescent="0.3">
      <c r="C3285"/>
    </row>
    <row r="3286" spans="3:3" x14ac:dyDescent="0.3">
      <c r="C3286"/>
    </row>
    <row r="3287" spans="3:3" x14ac:dyDescent="0.3">
      <c r="C3287"/>
    </row>
    <row r="3288" spans="3:3" x14ac:dyDescent="0.3">
      <c r="C3288"/>
    </row>
    <row r="3289" spans="3:3" x14ac:dyDescent="0.3">
      <c r="C3289"/>
    </row>
    <row r="3290" spans="3:3" x14ac:dyDescent="0.3">
      <c r="C3290"/>
    </row>
    <row r="3291" spans="3:3" x14ac:dyDescent="0.3">
      <c r="C3291"/>
    </row>
    <row r="3292" spans="3:3" x14ac:dyDescent="0.3">
      <c r="C3292"/>
    </row>
    <row r="3293" spans="3:3" x14ac:dyDescent="0.3">
      <c r="C3293"/>
    </row>
    <row r="3294" spans="3:3" x14ac:dyDescent="0.3">
      <c r="C3294"/>
    </row>
    <row r="3295" spans="3:3" x14ac:dyDescent="0.3">
      <c r="C3295"/>
    </row>
    <row r="3296" spans="3:3" x14ac:dyDescent="0.3">
      <c r="C3296"/>
    </row>
    <row r="3297" spans="3:3" x14ac:dyDescent="0.3">
      <c r="C3297"/>
    </row>
    <row r="3298" spans="3:3" x14ac:dyDescent="0.3">
      <c r="C3298"/>
    </row>
    <row r="3299" spans="3:3" x14ac:dyDescent="0.3">
      <c r="C3299"/>
    </row>
    <row r="3300" spans="3:3" x14ac:dyDescent="0.3">
      <c r="C3300"/>
    </row>
    <row r="3301" spans="3:3" x14ac:dyDescent="0.3">
      <c r="C3301"/>
    </row>
    <row r="3302" spans="3:3" x14ac:dyDescent="0.3">
      <c r="C3302"/>
    </row>
    <row r="3303" spans="3:3" x14ac:dyDescent="0.3">
      <c r="C3303"/>
    </row>
    <row r="3304" spans="3:3" x14ac:dyDescent="0.3">
      <c r="C3304"/>
    </row>
    <row r="3305" spans="3:3" x14ac:dyDescent="0.3">
      <c r="C3305"/>
    </row>
    <row r="3306" spans="3:3" x14ac:dyDescent="0.3">
      <c r="C3306"/>
    </row>
    <row r="3307" spans="3:3" x14ac:dyDescent="0.3">
      <c r="C3307"/>
    </row>
    <row r="3308" spans="3:3" x14ac:dyDescent="0.3">
      <c r="C3308"/>
    </row>
    <row r="3309" spans="3:3" x14ac:dyDescent="0.3">
      <c r="C3309"/>
    </row>
    <row r="3310" spans="3:3" x14ac:dyDescent="0.3">
      <c r="C3310"/>
    </row>
    <row r="3311" spans="3:3" x14ac:dyDescent="0.3">
      <c r="C3311"/>
    </row>
    <row r="3312" spans="3:3" x14ac:dyDescent="0.3">
      <c r="C3312"/>
    </row>
    <row r="3313" spans="3:3" x14ac:dyDescent="0.3">
      <c r="C3313"/>
    </row>
    <row r="3314" spans="3:3" x14ac:dyDescent="0.3">
      <c r="C3314"/>
    </row>
    <row r="3315" spans="3:3" x14ac:dyDescent="0.3">
      <c r="C3315"/>
    </row>
    <row r="3316" spans="3:3" x14ac:dyDescent="0.3">
      <c r="C3316"/>
    </row>
    <row r="3317" spans="3:3" x14ac:dyDescent="0.3">
      <c r="C3317"/>
    </row>
    <row r="3318" spans="3:3" x14ac:dyDescent="0.3">
      <c r="C3318"/>
    </row>
    <row r="3319" spans="3:3" x14ac:dyDescent="0.3">
      <c r="C3319"/>
    </row>
    <row r="3320" spans="3:3" x14ac:dyDescent="0.3">
      <c r="C3320"/>
    </row>
    <row r="3321" spans="3:3" x14ac:dyDescent="0.3">
      <c r="C3321"/>
    </row>
    <row r="3322" spans="3:3" x14ac:dyDescent="0.3">
      <c r="C3322"/>
    </row>
    <row r="3323" spans="3:3" x14ac:dyDescent="0.3">
      <c r="C3323"/>
    </row>
    <row r="3324" spans="3:3" x14ac:dyDescent="0.3">
      <c r="C3324"/>
    </row>
    <row r="3325" spans="3:3" x14ac:dyDescent="0.3">
      <c r="C3325"/>
    </row>
    <row r="3326" spans="3:3" x14ac:dyDescent="0.3">
      <c r="C3326"/>
    </row>
    <row r="3327" spans="3:3" x14ac:dyDescent="0.3">
      <c r="C3327"/>
    </row>
    <row r="3328" spans="3:3" x14ac:dyDescent="0.3">
      <c r="C3328"/>
    </row>
    <row r="3329" spans="3:3" x14ac:dyDescent="0.3">
      <c r="C3329"/>
    </row>
    <row r="3330" spans="3:3" x14ac:dyDescent="0.3">
      <c r="C3330"/>
    </row>
    <row r="3331" spans="3:3" x14ac:dyDescent="0.3">
      <c r="C3331"/>
    </row>
    <row r="3332" spans="3:3" x14ac:dyDescent="0.3">
      <c r="C3332"/>
    </row>
    <row r="3333" spans="3:3" x14ac:dyDescent="0.3">
      <c r="C3333"/>
    </row>
    <row r="3334" spans="3:3" x14ac:dyDescent="0.3">
      <c r="C3334"/>
    </row>
    <row r="3335" spans="3:3" x14ac:dyDescent="0.3">
      <c r="C3335"/>
    </row>
    <row r="3336" spans="3:3" x14ac:dyDescent="0.3">
      <c r="C3336"/>
    </row>
    <row r="3337" spans="3:3" x14ac:dyDescent="0.3">
      <c r="C3337"/>
    </row>
    <row r="3338" spans="3:3" x14ac:dyDescent="0.3">
      <c r="C3338"/>
    </row>
    <row r="3339" spans="3:3" x14ac:dyDescent="0.3">
      <c r="C3339"/>
    </row>
    <row r="3340" spans="3:3" x14ac:dyDescent="0.3">
      <c r="C3340"/>
    </row>
    <row r="3341" spans="3:3" x14ac:dyDescent="0.3">
      <c r="C3341"/>
    </row>
    <row r="3342" spans="3:3" x14ac:dyDescent="0.3">
      <c r="C3342"/>
    </row>
    <row r="3343" spans="3:3" x14ac:dyDescent="0.3">
      <c r="C3343"/>
    </row>
    <row r="3344" spans="3:3" x14ac:dyDescent="0.3">
      <c r="C3344"/>
    </row>
    <row r="3345" spans="3:3" x14ac:dyDescent="0.3">
      <c r="C3345"/>
    </row>
    <row r="3346" spans="3:3" x14ac:dyDescent="0.3">
      <c r="C3346"/>
    </row>
    <row r="3347" spans="3:3" x14ac:dyDescent="0.3">
      <c r="C3347"/>
    </row>
    <row r="3348" spans="3:3" x14ac:dyDescent="0.3">
      <c r="C3348"/>
    </row>
    <row r="3349" spans="3:3" x14ac:dyDescent="0.3">
      <c r="C3349"/>
    </row>
    <row r="3350" spans="3:3" x14ac:dyDescent="0.3">
      <c r="C3350"/>
    </row>
    <row r="3351" spans="3:3" x14ac:dyDescent="0.3">
      <c r="C3351"/>
    </row>
    <row r="3352" spans="3:3" x14ac:dyDescent="0.3">
      <c r="C3352"/>
    </row>
    <row r="3353" spans="3:3" x14ac:dyDescent="0.3">
      <c r="C3353"/>
    </row>
    <row r="3354" spans="3:3" x14ac:dyDescent="0.3">
      <c r="C3354"/>
    </row>
    <row r="3355" spans="3:3" x14ac:dyDescent="0.3">
      <c r="C3355"/>
    </row>
    <row r="3356" spans="3:3" x14ac:dyDescent="0.3">
      <c r="C3356"/>
    </row>
    <row r="3357" spans="3:3" x14ac:dyDescent="0.3">
      <c r="C3357"/>
    </row>
    <row r="3358" spans="3:3" x14ac:dyDescent="0.3">
      <c r="C3358"/>
    </row>
    <row r="3359" spans="3:3" x14ac:dyDescent="0.3">
      <c r="C3359"/>
    </row>
    <row r="3360" spans="3:3" x14ac:dyDescent="0.3">
      <c r="C3360"/>
    </row>
    <row r="3361" spans="3:3" x14ac:dyDescent="0.3">
      <c r="C3361"/>
    </row>
    <row r="3362" spans="3:3" x14ac:dyDescent="0.3">
      <c r="C3362"/>
    </row>
    <row r="3363" spans="3:3" x14ac:dyDescent="0.3">
      <c r="C3363"/>
    </row>
    <row r="3364" spans="3:3" x14ac:dyDescent="0.3">
      <c r="C3364"/>
    </row>
    <row r="3365" spans="3:3" x14ac:dyDescent="0.3">
      <c r="C3365"/>
    </row>
    <row r="3366" spans="3:3" x14ac:dyDescent="0.3">
      <c r="C3366"/>
    </row>
    <row r="3367" spans="3:3" x14ac:dyDescent="0.3">
      <c r="C3367"/>
    </row>
    <row r="3368" spans="3:3" x14ac:dyDescent="0.3">
      <c r="C3368"/>
    </row>
    <row r="3369" spans="3:3" x14ac:dyDescent="0.3">
      <c r="C3369"/>
    </row>
    <row r="3370" spans="3:3" x14ac:dyDescent="0.3">
      <c r="C3370"/>
    </row>
    <row r="3371" spans="3:3" x14ac:dyDescent="0.3">
      <c r="C3371"/>
    </row>
    <row r="3372" spans="3:3" x14ac:dyDescent="0.3">
      <c r="C3372"/>
    </row>
    <row r="3373" spans="3:3" x14ac:dyDescent="0.3">
      <c r="C3373"/>
    </row>
    <row r="3374" spans="3:3" x14ac:dyDescent="0.3">
      <c r="C3374"/>
    </row>
    <row r="3375" spans="3:3" x14ac:dyDescent="0.3">
      <c r="C3375"/>
    </row>
    <row r="3376" spans="3:3" x14ac:dyDescent="0.3">
      <c r="C3376"/>
    </row>
    <row r="3377" spans="3:3" x14ac:dyDescent="0.3">
      <c r="C3377"/>
    </row>
    <row r="3378" spans="3:3" x14ac:dyDescent="0.3">
      <c r="C3378"/>
    </row>
    <row r="3379" spans="3:3" x14ac:dyDescent="0.3">
      <c r="C3379"/>
    </row>
    <row r="3380" spans="3:3" x14ac:dyDescent="0.3">
      <c r="C3380"/>
    </row>
    <row r="3381" spans="3:3" x14ac:dyDescent="0.3">
      <c r="C3381"/>
    </row>
    <row r="3382" spans="3:3" x14ac:dyDescent="0.3">
      <c r="C3382"/>
    </row>
    <row r="3383" spans="3:3" x14ac:dyDescent="0.3">
      <c r="C3383"/>
    </row>
    <row r="3384" spans="3:3" x14ac:dyDescent="0.3">
      <c r="C3384"/>
    </row>
    <row r="3385" spans="3:3" x14ac:dyDescent="0.3">
      <c r="C3385"/>
    </row>
    <row r="3386" spans="3:3" x14ac:dyDescent="0.3">
      <c r="C3386"/>
    </row>
    <row r="3387" spans="3:3" x14ac:dyDescent="0.3">
      <c r="C3387"/>
    </row>
    <row r="3388" spans="3:3" x14ac:dyDescent="0.3">
      <c r="C3388"/>
    </row>
    <row r="3389" spans="3:3" x14ac:dyDescent="0.3">
      <c r="C3389"/>
    </row>
    <row r="3390" spans="3:3" x14ac:dyDescent="0.3">
      <c r="C3390"/>
    </row>
    <row r="3391" spans="3:3" x14ac:dyDescent="0.3">
      <c r="C3391"/>
    </row>
    <row r="3392" spans="3:3" x14ac:dyDescent="0.3">
      <c r="C3392"/>
    </row>
    <row r="3393" spans="3:3" x14ac:dyDescent="0.3">
      <c r="C3393"/>
    </row>
    <row r="3394" spans="3:3" x14ac:dyDescent="0.3">
      <c r="C3394"/>
    </row>
    <row r="3395" spans="3:3" x14ac:dyDescent="0.3">
      <c r="C3395"/>
    </row>
    <row r="3396" spans="3:3" x14ac:dyDescent="0.3">
      <c r="C3396"/>
    </row>
    <row r="3397" spans="3:3" x14ac:dyDescent="0.3">
      <c r="C3397"/>
    </row>
    <row r="3398" spans="3:3" x14ac:dyDescent="0.3">
      <c r="C3398"/>
    </row>
    <row r="3399" spans="3:3" x14ac:dyDescent="0.3">
      <c r="C3399"/>
    </row>
    <row r="3400" spans="3:3" x14ac:dyDescent="0.3">
      <c r="C3400"/>
    </row>
    <row r="3401" spans="3:3" x14ac:dyDescent="0.3">
      <c r="C3401"/>
    </row>
    <row r="3402" spans="3:3" x14ac:dyDescent="0.3">
      <c r="C3402"/>
    </row>
    <row r="3403" spans="3:3" x14ac:dyDescent="0.3">
      <c r="C3403"/>
    </row>
    <row r="3404" spans="3:3" x14ac:dyDescent="0.3">
      <c r="C3404"/>
    </row>
    <row r="3405" spans="3:3" x14ac:dyDescent="0.3">
      <c r="C3405"/>
    </row>
    <row r="3406" spans="3:3" x14ac:dyDescent="0.3">
      <c r="C3406"/>
    </row>
    <row r="3407" spans="3:3" x14ac:dyDescent="0.3">
      <c r="C3407"/>
    </row>
    <row r="3408" spans="3:3" x14ac:dyDescent="0.3">
      <c r="C3408"/>
    </row>
    <row r="3409" spans="3:3" x14ac:dyDescent="0.3">
      <c r="C3409"/>
    </row>
    <row r="3410" spans="3:3" x14ac:dyDescent="0.3">
      <c r="C3410"/>
    </row>
    <row r="3411" spans="3:3" x14ac:dyDescent="0.3">
      <c r="C3411"/>
    </row>
    <row r="3412" spans="3:3" x14ac:dyDescent="0.3">
      <c r="C3412"/>
    </row>
    <row r="3413" spans="3:3" x14ac:dyDescent="0.3">
      <c r="C3413"/>
    </row>
    <row r="3414" spans="3:3" x14ac:dyDescent="0.3">
      <c r="C3414"/>
    </row>
    <row r="3415" spans="3:3" x14ac:dyDescent="0.3">
      <c r="C3415"/>
    </row>
    <row r="3416" spans="3:3" x14ac:dyDescent="0.3">
      <c r="C3416"/>
    </row>
    <row r="3417" spans="3:3" x14ac:dyDescent="0.3">
      <c r="C3417"/>
    </row>
    <row r="3418" spans="3:3" x14ac:dyDescent="0.3">
      <c r="C3418"/>
    </row>
    <row r="3419" spans="3:3" x14ac:dyDescent="0.3">
      <c r="C3419"/>
    </row>
    <row r="3420" spans="3:3" x14ac:dyDescent="0.3">
      <c r="C3420"/>
    </row>
    <row r="3421" spans="3:3" x14ac:dyDescent="0.3">
      <c r="C3421"/>
    </row>
    <row r="3422" spans="3:3" x14ac:dyDescent="0.3">
      <c r="C3422"/>
    </row>
    <row r="3423" spans="3:3" x14ac:dyDescent="0.3">
      <c r="C3423"/>
    </row>
    <row r="3424" spans="3:3" x14ac:dyDescent="0.3">
      <c r="C3424"/>
    </row>
    <row r="3425" spans="3:3" x14ac:dyDescent="0.3">
      <c r="C3425"/>
    </row>
    <row r="3426" spans="3:3" x14ac:dyDescent="0.3">
      <c r="C3426"/>
    </row>
    <row r="3427" spans="3:3" x14ac:dyDescent="0.3">
      <c r="C3427"/>
    </row>
    <row r="3428" spans="3:3" x14ac:dyDescent="0.3">
      <c r="C3428"/>
    </row>
    <row r="3429" spans="3:3" x14ac:dyDescent="0.3">
      <c r="C3429"/>
    </row>
    <row r="3430" spans="3:3" x14ac:dyDescent="0.3">
      <c r="C3430"/>
    </row>
    <row r="3431" spans="3:3" x14ac:dyDescent="0.3">
      <c r="C3431"/>
    </row>
    <row r="3432" spans="3:3" x14ac:dyDescent="0.3">
      <c r="C3432"/>
    </row>
    <row r="3433" spans="3:3" x14ac:dyDescent="0.3">
      <c r="C3433"/>
    </row>
    <row r="3434" spans="3:3" x14ac:dyDescent="0.3">
      <c r="C3434"/>
    </row>
    <row r="3435" spans="3:3" x14ac:dyDescent="0.3">
      <c r="C3435"/>
    </row>
    <row r="3436" spans="3:3" x14ac:dyDescent="0.3">
      <c r="C3436"/>
    </row>
    <row r="3437" spans="3:3" x14ac:dyDescent="0.3">
      <c r="C3437"/>
    </row>
    <row r="3438" spans="3:3" x14ac:dyDescent="0.3">
      <c r="C3438"/>
    </row>
    <row r="3439" spans="3:3" x14ac:dyDescent="0.3">
      <c r="C3439"/>
    </row>
    <row r="3440" spans="3:3" x14ac:dyDescent="0.3">
      <c r="C3440"/>
    </row>
    <row r="3441" spans="3:3" x14ac:dyDescent="0.3">
      <c r="C3441"/>
    </row>
    <row r="3442" spans="3:3" x14ac:dyDescent="0.3">
      <c r="C3442"/>
    </row>
    <row r="3443" spans="3:3" x14ac:dyDescent="0.3">
      <c r="C3443"/>
    </row>
    <row r="3444" spans="3:3" x14ac:dyDescent="0.3">
      <c r="C3444"/>
    </row>
    <row r="3445" spans="3:3" x14ac:dyDescent="0.3">
      <c r="C3445"/>
    </row>
    <row r="3446" spans="3:3" x14ac:dyDescent="0.3">
      <c r="C3446"/>
    </row>
    <row r="3447" spans="3:3" x14ac:dyDescent="0.3">
      <c r="C3447"/>
    </row>
    <row r="3448" spans="3:3" x14ac:dyDescent="0.3">
      <c r="C3448"/>
    </row>
    <row r="3449" spans="3:3" x14ac:dyDescent="0.3">
      <c r="C3449"/>
    </row>
    <row r="3450" spans="3:3" x14ac:dyDescent="0.3">
      <c r="C3450"/>
    </row>
    <row r="3451" spans="3:3" x14ac:dyDescent="0.3">
      <c r="C3451"/>
    </row>
    <row r="3452" spans="3:3" x14ac:dyDescent="0.3">
      <c r="C3452"/>
    </row>
    <row r="3453" spans="3:3" x14ac:dyDescent="0.3">
      <c r="C3453"/>
    </row>
    <row r="3454" spans="3:3" x14ac:dyDescent="0.3">
      <c r="C3454"/>
    </row>
    <row r="3455" spans="3:3" x14ac:dyDescent="0.3">
      <c r="C3455"/>
    </row>
    <row r="3456" spans="3:3" x14ac:dyDescent="0.3">
      <c r="C3456"/>
    </row>
    <row r="3457" spans="3:3" x14ac:dyDescent="0.3">
      <c r="C3457"/>
    </row>
    <row r="3458" spans="3:3" x14ac:dyDescent="0.3">
      <c r="C3458"/>
    </row>
    <row r="3459" spans="3:3" x14ac:dyDescent="0.3">
      <c r="C3459"/>
    </row>
    <row r="3460" spans="3:3" x14ac:dyDescent="0.3">
      <c r="C3460"/>
    </row>
    <row r="3461" spans="3:3" x14ac:dyDescent="0.3">
      <c r="C3461"/>
    </row>
    <row r="3462" spans="3:3" x14ac:dyDescent="0.3">
      <c r="C3462"/>
    </row>
    <row r="3463" spans="3:3" x14ac:dyDescent="0.3">
      <c r="C3463"/>
    </row>
    <row r="3464" spans="3:3" x14ac:dyDescent="0.3">
      <c r="C3464"/>
    </row>
    <row r="3465" spans="3:3" x14ac:dyDescent="0.3">
      <c r="C3465"/>
    </row>
    <row r="3466" spans="3:3" x14ac:dyDescent="0.3">
      <c r="C3466"/>
    </row>
    <row r="3467" spans="3:3" x14ac:dyDescent="0.3">
      <c r="C3467"/>
    </row>
    <row r="3468" spans="3:3" x14ac:dyDescent="0.3">
      <c r="C3468"/>
    </row>
    <row r="3469" spans="3:3" x14ac:dyDescent="0.3">
      <c r="C3469"/>
    </row>
    <row r="3470" spans="3:3" x14ac:dyDescent="0.3">
      <c r="C3470"/>
    </row>
    <row r="3471" spans="3:3" x14ac:dyDescent="0.3">
      <c r="C3471"/>
    </row>
    <row r="3472" spans="3:3" x14ac:dyDescent="0.3">
      <c r="C3472"/>
    </row>
    <row r="3473" spans="3:3" x14ac:dyDescent="0.3">
      <c r="C3473"/>
    </row>
    <row r="3474" spans="3:3" x14ac:dyDescent="0.3">
      <c r="C3474"/>
    </row>
    <row r="3475" spans="3:3" x14ac:dyDescent="0.3">
      <c r="C3475"/>
    </row>
    <row r="3476" spans="3:3" x14ac:dyDescent="0.3">
      <c r="C3476"/>
    </row>
    <row r="3477" spans="3:3" x14ac:dyDescent="0.3">
      <c r="C3477"/>
    </row>
    <row r="3478" spans="3:3" x14ac:dyDescent="0.3">
      <c r="C3478"/>
    </row>
    <row r="3479" spans="3:3" x14ac:dyDescent="0.3">
      <c r="C3479"/>
    </row>
    <row r="3480" spans="3:3" x14ac:dyDescent="0.3">
      <c r="C3480"/>
    </row>
    <row r="3481" spans="3:3" x14ac:dyDescent="0.3">
      <c r="C3481"/>
    </row>
    <row r="3482" spans="3:3" x14ac:dyDescent="0.3">
      <c r="C3482"/>
    </row>
    <row r="3483" spans="3:3" x14ac:dyDescent="0.3">
      <c r="C3483"/>
    </row>
    <row r="3484" spans="3:3" x14ac:dyDescent="0.3">
      <c r="C3484"/>
    </row>
    <row r="3485" spans="3:3" x14ac:dyDescent="0.3">
      <c r="C3485"/>
    </row>
    <row r="3486" spans="3:3" x14ac:dyDescent="0.3">
      <c r="C3486"/>
    </row>
    <row r="3487" spans="3:3" x14ac:dyDescent="0.3">
      <c r="C3487"/>
    </row>
    <row r="3488" spans="3:3" x14ac:dyDescent="0.3">
      <c r="C3488"/>
    </row>
    <row r="3489" spans="3:3" x14ac:dyDescent="0.3">
      <c r="C3489"/>
    </row>
    <row r="3490" spans="3:3" x14ac:dyDescent="0.3">
      <c r="C3490"/>
    </row>
    <row r="3491" spans="3:3" x14ac:dyDescent="0.3">
      <c r="C3491"/>
    </row>
    <row r="3492" spans="3:3" x14ac:dyDescent="0.3">
      <c r="C3492"/>
    </row>
    <row r="3493" spans="3:3" x14ac:dyDescent="0.3">
      <c r="C3493"/>
    </row>
    <row r="3494" spans="3:3" x14ac:dyDescent="0.3">
      <c r="C3494"/>
    </row>
    <row r="3495" spans="3:3" x14ac:dyDescent="0.3">
      <c r="C3495"/>
    </row>
    <row r="3496" spans="3:3" x14ac:dyDescent="0.3">
      <c r="C3496"/>
    </row>
    <row r="3497" spans="3:3" x14ac:dyDescent="0.3">
      <c r="C3497"/>
    </row>
    <row r="3498" spans="3:3" x14ac:dyDescent="0.3">
      <c r="C3498"/>
    </row>
    <row r="3499" spans="3:3" x14ac:dyDescent="0.3">
      <c r="C3499"/>
    </row>
    <row r="3500" spans="3:3" x14ac:dyDescent="0.3">
      <c r="C3500"/>
    </row>
    <row r="3501" spans="3:3" x14ac:dyDescent="0.3">
      <c r="C3501"/>
    </row>
    <row r="3502" spans="3:3" x14ac:dyDescent="0.3">
      <c r="C3502"/>
    </row>
    <row r="3503" spans="3:3" x14ac:dyDescent="0.3">
      <c r="C3503"/>
    </row>
    <row r="3504" spans="3:3" x14ac:dyDescent="0.3">
      <c r="C3504"/>
    </row>
    <row r="3505" spans="3:3" x14ac:dyDescent="0.3">
      <c r="C3505"/>
    </row>
    <row r="3506" spans="3:3" x14ac:dyDescent="0.3">
      <c r="C3506"/>
    </row>
    <row r="3507" spans="3:3" x14ac:dyDescent="0.3">
      <c r="C3507"/>
    </row>
    <row r="3508" spans="3:3" x14ac:dyDescent="0.3">
      <c r="C3508"/>
    </row>
    <row r="3509" spans="3:3" x14ac:dyDescent="0.3">
      <c r="C3509"/>
    </row>
    <row r="3510" spans="3:3" x14ac:dyDescent="0.3">
      <c r="C3510"/>
    </row>
    <row r="3511" spans="3:3" x14ac:dyDescent="0.3">
      <c r="C3511"/>
    </row>
    <row r="3512" spans="3:3" x14ac:dyDescent="0.3">
      <c r="C3512"/>
    </row>
    <row r="3513" spans="3:3" x14ac:dyDescent="0.3">
      <c r="C3513"/>
    </row>
    <row r="3514" spans="3:3" x14ac:dyDescent="0.3">
      <c r="C3514"/>
    </row>
    <row r="3515" spans="3:3" x14ac:dyDescent="0.3">
      <c r="C3515"/>
    </row>
    <row r="3516" spans="3:3" x14ac:dyDescent="0.3">
      <c r="C3516"/>
    </row>
    <row r="3517" spans="3:3" x14ac:dyDescent="0.3">
      <c r="C3517"/>
    </row>
    <row r="3518" spans="3:3" x14ac:dyDescent="0.3">
      <c r="C3518"/>
    </row>
    <row r="3519" spans="3:3" x14ac:dyDescent="0.3">
      <c r="C3519"/>
    </row>
    <row r="3520" spans="3:3" x14ac:dyDescent="0.3">
      <c r="C3520"/>
    </row>
    <row r="3521" spans="3:3" x14ac:dyDescent="0.3">
      <c r="C3521"/>
    </row>
    <row r="3522" spans="3:3" x14ac:dyDescent="0.3">
      <c r="C3522"/>
    </row>
    <row r="3523" spans="3:3" x14ac:dyDescent="0.3">
      <c r="C3523"/>
    </row>
    <row r="3524" spans="3:3" x14ac:dyDescent="0.3">
      <c r="C3524"/>
    </row>
    <row r="3525" spans="3:3" x14ac:dyDescent="0.3">
      <c r="C3525"/>
    </row>
    <row r="3526" spans="3:3" x14ac:dyDescent="0.3">
      <c r="C3526"/>
    </row>
    <row r="3527" spans="3:3" x14ac:dyDescent="0.3">
      <c r="C3527"/>
    </row>
    <row r="3528" spans="3:3" x14ac:dyDescent="0.3">
      <c r="C3528"/>
    </row>
    <row r="3529" spans="3:3" x14ac:dyDescent="0.3">
      <c r="C3529"/>
    </row>
    <row r="3530" spans="3:3" x14ac:dyDescent="0.3">
      <c r="C3530"/>
    </row>
    <row r="3531" spans="3:3" x14ac:dyDescent="0.3">
      <c r="C3531"/>
    </row>
    <row r="3532" spans="3:3" x14ac:dyDescent="0.3">
      <c r="C3532"/>
    </row>
    <row r="3533" spans="3:3" x14ac:dyDescent="0.3">
      <c r="C3533"/>
    </row>
    <row r="3534" spans="3:3" x14ac:dyDescent="0.3">
      <c r="C3534"/>
    </row>
    <row r="3535" spans="3:3" x14ac:dyDescent="0.3">
      <c r="C3535"/>
    </row>
    <row r="3536" spans="3:3" x14ac:dyDescent="0.3">
      <c r="C3536"/>
    </row>
    <row r="3537" spans="3:3" x14ac:dyDescent="0.3">
      <c r="C3537"/>
    </row>
    <row r="3538" spans="3:3" x14ac:dyDescent="0.3">
      <c r="C3538"/>
    </row>
    <row r="3539" spans="3:3" x14ac:dyDescent="0.3">
      <c r="C3539"/>
    </row>
    <row r="3540" spans="3:3" x14ac:dyDescent="0.3">
      <c r="C3540"/>
    </row>
    <row r="3541" spans="3:3" x14ac:dyDescent="0.3">
      <c r="C3541"/>
    </row>
    <row r="3542" spans="3:3" x14ac:dyDescent="0.3">
      <c r="C3542"/>
    </row>
    <row r="3543" spans="3:3" x14ac:dyDescent="0.3">
      <c r="C3543"/>
    </row>
    <row r="3544" spans="3:3" x14ac:dyDescent="0.3">
      <c r="C3544"/>
    </row>
    <row r="3545" spans="3:3" x14ac:dyDescent="0.3">
      <c r="C3545"/>
    </row>
    <row r="3546" spans="3:3" x14ac:dyDescent="0.3">
      <c r="C3546"/>
    </row>
    <row r="3547" spans="3:3" x14ac:dyDescent="0.3">
      <c r="C3547"/>
    </row>
    <row r="3548" spans="3:3" x14ac:dyDescent="0.3">
      <c r="C3548"/>
    </row>
    <row r="3549" spans="3:3" x14ac:dyDescent="0.3">
      <c r="C3549"/>
    </row>
    <row r="3550" spans="3:3" x14ac:dyDescent="0.3">
      <c r="C3550"/>
    </row>
    <row r="3551" spans="3:3" x14ac:dyDescent="0.3">
      <c r="C3551"/>
    </row>
    <row r="3552" spans="3:3" x14ac:dyDescent="0.3">
      <c r="C3552"/>
    </row>
    <row r="3553" spans="3:3" x14ac:dyDescent="0.3">
      <c r="C3553"/>
    </row>
    <row r="3554" spans="3:3" x14ac:dyDescent="0.3">
      <c r="C3554"/>
    </row>
    <row r="3555" spans="3:3" x14ac:dyDescent="0.3">
      <c r="C3555"/>
    </row>
    <row r="3556" spans="3:3" x14ac:dyDescent="0.3">
      <c r="C3556"/>
    </row>
    <row r="3557" spans="3:3" x14ac:dyDescent="0.3">
      <c r="C3557"/>
    </row>
    <row r="3558" spans="3:3" x14ac:dyDescent="0.3">
      <c r="C3558"/>
    </row>
    <row r="3559" spans="3:3" x14ac:dyDescent="0.3">
      <c r="C3559"/>
    </row>
    <row r="3560" spans="3:3" x14ac:dyDescent="0.3">
      <c r="C3560"/>
    </row>
    <row r="3561" spans="3:3" x14ac:dyDescent="0.3">
      <c r="C3561"/>
    </row>
    <row r="3562" spans="3:3" x14ac:dyDescent="0.3">
      <c r="C3562"/>
    </row>
    <row r="3563" spans="3:3" x14ac:dyDescent="0.3">
      <c r="C3563"/>
    </row>
    <row r="3564" spans="3:3" x14ac:dyDescent="0.3">
      <c r="C3564"/>
    </row>
    <row r="3565" spans="3:3" x14ac:dyDescent="0.3">
      <c r="C3565"/>
    </row>
    <row r="3566" spans="3:3" x14ac:dyDescent="0.3">
      <c r="C3566"/>
    </row>
    <row r="3567" spans="3:3" x14ac:dyDescent="0.3">
      <c r="C3567"/>
    </row>
    <row r="3568" spans="3:3" x14ac:dyDescent="0.3">
      <c r="C3568"/>
    </row>
    <row r="3569" spans="3:3" x14ac:dyDescent="0.3">
      <c r="C3569"/>
    </row>
    <row r="3570" spans="3:3" x14ac:dyDescent="0.3">
      <c r="C3570"/>
    </row>
    <row r="3571" spans="3:3" x14ac:dyDescent="0.3">
      <c r="C3571"/>
    </row>
    <row r="3572" spans="3:3" x14ac:dyDescent="0.3">
      <c r="C3572"/>
    </row>
    <row r="3573" spans="3:3" x14ac:dyDescent="0.3">
      <c r="C3573"/>
    </row>
    <row r="3574" spans="3:3" x14ac:dyDescent="0.3">
      <c r="C3574"/>
    </row>
    <row r="3575" spans="3:3" x14ac:dyDescent="0.3">
      <c r="C3575"/>
    </row>
    <row r="3576" spans="3:3" x14ac:dyDescent="0.3">
      <c r="C3576"/>
    </row>
    <row r="3577" spans="3:3" x14ac:dyDescent="0.3">
      <c r="C3577"/>
    </row>
    <row r="3578" spans="3:3" x14ac:dyDescent="0.3">
      <c r="C3578"/>
    </row>
    <row r="3579" spans="3:3" x14ac:dyDescent="0.3">
      <c r="C3579"/>
    </row>
    <row r="3580" spans="3:3" x14ac:dyDescent="0.3">
      <c r="C3580"/>
    </row>
    <row r="3581" spans="3:3" x14ac:dyDescent="0.3">
      <c r="C3581"/>
    </row>
    <row r="3582" spans="3:3" x14ac:dyDescent="0.3">
      <c r="C3582"/>
    </row>
    <row r="3583" spans="3:3" x14ac:dyDescent="0.3">
      <c r="C3583"/>
    </row>
    <row r="3584" spans="3:3" x14ac:dyDescent="0.3">
      <c r="C3584"/>
    </row>
    <row r="3585" spans="3:3" x14ac:dyDescent="0.3">
      <c r="C3585"/>
    </row>
    <row r="3586" spans="3:3" x14ac:dyDescent="0.3">
      <c r="C3586"/>
    </row>
    <row r="3587" spans="3:3" x14ac:dyDescent="0.3">
      <c r="C3587"/>
    </row>
    <row r="3588" spans="3:3" x14ac:dyDescent="0.3">
      <c r="C3588"/>
    </row>
    <row r="3589" spans="3:3" x14ac:dyDescent="0.3">
      <c r="C3589"/>
    </row>
    <row r="3590" spans="3:3" x14ac:dyDescent="0.3">
      <c r="C3590"/>
    </row>
    <row r="3591" spans="3:3" x14ac:dyDescent="0.3">
      <c r="C3591"/>
    </row>
    <row r="3592" spans="3:3" x14ac:dyDescent="0.3">
      <c r="C3592"/>
    </row>
    <row r="3593" spans="3:3" x14ac:dyDescent="0.3">
      <c r="C3593"/>
    </row>
    <row r="3594" spans="3:3" x14ac:dyDescent="0.3">
      <c r="C3594"/>
    </row>
    <row r="3595" spans="3:3" x14ac:dyDescent="0.3">
      <c r="C3595"/>
    </row>
    <row r="3596" spans="3:3" x14ac:dyDescent="0.3">
      <c r="C3596"/>
    </row>
    <row r="3597" spans="3:3" x14ac:dyDescent="0.3">
      <c r="C3597"/>
    </row>
    <row r="3598" spans="3:3" x14ac:dyDescent="0.3">
      <c r="C3598"/>
    </row>
    <row r="3599" spans="3:3" x14ac:dyDescent="0.3">
      <c r="C3599"/>
    </row>
    <row r="3600" spans="3:3" x14ac:dyDescent="0.3">
      <c r="C3600"/>
    </row>
    <row r="3601" spans="3:3" x14ac:dyDescent="0.3">
      <c r="C3601"/>
    </row>
    <row r="3602" spans="3:3" x14ac:dyDescent="0.3">
      <c r="C3602"/>
    </row>
    <row r="3603" spans="3:3" x14ac:dyDescent="0.3">
      <c r="C3603"/>
    </row>
    <row r="3604" spans="3:3" x14ac:dyDescent="0.3">
      <c r="C3604"/>
    </row>
    <row r="3605" spans="3:3" x14ac:dyDescent="0.3">
      <c r="C3605"/>
    </row>
    <row r="3606" spans="3:3" x14ac:dyDescent="0.3">
      <c r="C3606"/>
    </row>
    <row r="3607" spans="3:3" x14ac:dyDescent="0.3">
      <c r="C3607"/>
    </row>
    <row r="3608" spans="3:3" x14ac:dyDescent="0.3">
      <c r="C3608"/>
    </row>
    <row r="3609" spans="3:3" x14ac:dyDescent="0.3">
      <c r="C3609"/>
    </row>
    <row r="3610" spans="3:3" x14ac:dyDescent="0.3">
      <c r="C3610"/>
    </row>
    <row r="3611" spans="3:3" x14ac:dyDescent="0.3">
      <c r="C3611"/>
    </row>
    <row r="3612" spans="3:3" x14ac:dyDescent="0.3">
      <c r="C3612"/>
    </row>
    <row r="3613" spans="3:3" x14ac:dyDescent="0.3">
      <c r="C3613"/>
    </row>
    <row r="3614" spans="3:3" x14ac:dyDescent="0.3">
      <c r="C3614"/>
    </row>
    <row r="3615" spans="3:3" x14ac:dyDescent="0.3">
      <c r="C3615"/>
    </row>
    <row r="3616" spans="3:3" x14ac:dyDescent="0.3">
      <c r="C3616"/>
    </row>
    <row r="3617" spans="3:3" x14ac:dyDescent="0.3">
      <c r="C3617"/>
    </row>
    <row r="3618" spans="3:3" x14ac:dyDescent="0.3">
      <c r="C3618"/>
    </row>
    <row r="3619" spans="3:3" x14ac:dyDescent="0.3">
      <c r="C3619"/>
    </row>
    <row r="3620" spans="3:3" x14ac:dyDescent="0.3">
      <c r="C3620"/>
    </row>
    <row r="3621" spans="3:3" x14ac:dyDescent="0.3">
      <c r="C3621"/>
    </row>
    <row r="3622" spans="3:3" x14ac:dyDescent="0.3">
      <c r="C3622"/>
    </row>
    <row r="3623" spans="3:3" x14ac:dyDescent="0.3">
      <c r="C3623"/>
    </row>
    <row r="3624" spans="3:3" x14ac:dyDescent="0.3">
      <c r="C3624"/>
    </row>
    <row r="3625" spans="3:3" x14ac:dyDescent="0.3">
      <c r="C3625"/>
    </row>
    <row r="3626" spans="3:3" x14ac:dyDescent="0.3">
      <c r="C3626"/>
    </row>
    <row r="3627" spans="3:3" x14ac:dyDescent="0.3">
      <c r="C3627"/>
    </row>
    <row r="3628" spans="3:3" x14ac:dyDescent="0.3">
      <c r="C3628"/>
    </row>
    <row r="3629" spans="3:3" x14ac:dyDescent="0.3">
      <c r="C3629"/>
    </row>
    <row r="3630" spans="3:3" x14ac:dyDescent="0.3">
      <c r="C3630"/>
    </row>
    <row r="3631" spans="3:3" x14ac:dyDescent="0.3">
      <c r="C3631"/>
    </row>
    <row r="3632" spans="3:3" x14ac:dyDescent="0.3">
      <c r="C3632"/>
    </row>
    <row r="3633" spans="3:3" x14ac:dyDescent="0.3">
      <c r="C3633"/>
    </row>
    <row r="3634" spans="3:3" x14ac:dyDescent="0.3">
      <c r="C3634"/>
    </row>
    <row r="3635" spans="3:3" x14ac:dyDescent="0.3">
      <c r="C3635"/>
    </row>
    <row r="3636" spans="3:3" x14ac:dyDescent="0.3">
      <c r="C3636"/>
    </row>
    <row r="3637" spans="3:3" x14ac:dyDescent="0.3">
      <c r="C3637"/>
    </row>
    <row r="3638" spans="3:3" x14ac:dyDescent="0.3">
      <c r="C3638"/>
    </row>
    <row r="3639" spans="3:3" x14ac:dyDescent="0.3">
      <c r="C3639"/>
    </row>
    <row r="3640" spans="3:3" x14ac:dyDescent="0.3">
      <c r="C3640"/>
    </row>
    <row r="3641" spans="3:3" x14ac:dyDescent="0.3">
      <c r="C3641"/>
    </row>
    <row r="3642" spans="3:3" x14ac:dyDescent="0.3">
      <c r="C3642"/>
    </row>
    <row r="3643" spans="3:3" x14ac:dyDescent="0.3">
      <c r="C3643"/>
    </row>
    <row r="3644" spans="3:3" x14ac:dyDescent="0.3">
      <c r="C3644"/>
    </row>
    <row r="3645" spans="3:3" x14ac:dyDescent="0.3">
      <c r="C3645"/>
    </row>
    <row r="3646" spans="3:3" x14ac:dyDescent="0.3">
      <c r="C3646"/>
    </row>
    <row r="3647" spans="3:3" x14ac:dyDescent="0.3">
      <c r="C3647"/>
    </row>
    <row r="3648" spans="3:3" x14ac:dyDescent="0.3">
      <c r="C3648"/>
    </row>
    <row r="3649" spans="3:3" x14ac:dyDescent="0.3">
      <c r="C3649"/>
    </row>
    <row r="3650" spans="3:3" x14ac:dyDescent="0.3">
      <c r="C3650"/>
    </row>
    <row r="3651" spans="3:3" x14ac:dyDescent="0.3">
      <c r="C3651"/>
    </row>
    <row r="3652" spans="3:3" x14ac:dyDescent="0.3">
      <c r="C3652"/>
    </row>
    <row r="3653" spans="3:3" x14ac:dyDescent="0.3">
      <c r="C3653"/>
    </row>
    <row r="3654" spans="3:3" x14ac:dyDescent="0.3">
      <c r="C3654"/>
    </row>
    <row r="3655" spans="3:3" x14ac:dyDescent="0.3">
      <c r="C3655"/>
    </row>
    <row r="3656" spans="3:3" x14ac:dyDescent="0.3">
      <c r="C3656"/>
    </row>
    <row r="3657" spans="3:3" x14ac:dyDescent="0.3">
      <c r="C3657"/>
    </row>
    <row r="3658" spans="3:3" x14ac:dyDescent="0.3">
      <c r="C3658"/>
    </row>
    <row r="3659" spans="3:3" x14ac:dyDescent="0.3">
      <c r="C3659"/>
    </row>
    <row r="3660" spans="3:3" x14ac:dyDescent="0.3">
      <c r="C3660"/>
    </row>
    <row r="3661" spans="3:3" x14ac:dyDescent="0.3">
      <c r="C3661"/>
    </row>
    <row r="3662" spans="3:3" x14ac:dyDescent="0.3">
      <c r="C3662"/>
    </row>
    <row r="3663" spans="3:3" x14ac:dyDescent="0.3">
      <c r="C3663"/>
    </row>
    <row r="3664" spans="3:3" x14ac:dyDescent="0.3">
      <c r="C3664"/>
    </row>
    <row r="3665" spans="3:3" x14ac:dyDescent="0.3">
      <c r="C3665"/>
    </row>
    <row r="3666" spans="3:3" x14ac:dyDescent="0.3">
      <c r="C3666"/>
    </row>
    <row r="3667" spans="3:3" x14ac:dyDescent="0.3">
      <c r="C3667"/>
    </row>
    <row r="3668" spans="3:3" x14ac:dyDescent="0.3">
      <c r="C3668"/>
    </row>
    <row r="3669" spans="3:3" x14ac:dyDescent="0.3">
      <c r="C3669"/>
    </row>
    <row r="3670" spans="3:3" x14ac:dyDescent="0.3">
      <c r="C3670"/>
    </row>
    <row r="3671" spans="3:3" x14ac:dyDescent="0.3">
      <c r="C3671"/>
    </row>
    <row r="3672" spans="3:3" x14ac:dyDescent="0.3">
      <c r="C3672"/>
    </row>
    <row r="3673" spans="3:3" x14ac:dyDescent="0.3">
      <c r="C3673"/>
    </row>
    <row r="3674" spans="3:3" x14ac:dyDescent="0.3">
      <c r="C3674"/>
    </row>
    <row r="3675" spans="3:3" x14ac:dyDescent="0.3">
      <c r="C3675"/>
    </row>
    <row r="3676" spans="3:3" x14ac:dyDescent="0.3">
      <c r="C3676"/>
    </row>
    <row r="3677" spans="3:3" x14ac:dyDescent="0.3">
      <c r="C3677"/>
    </row>
    <row r="3678" spans="3:3" x14ac:dyDescent="0.3">
      <c r="C3678"/>
    </row>
    <row r="3679" spans="3:3" x14ac:dyDescent="0.3">
      <c r="C3679"/>
    </row>
    <row r="3680" spans="3:3" x14ac:dyDescent="0.3">
      <c r="C3680"/>
    </row>
    <row r="3681" spans="3:3" x14ac:dyDescent="0.3">
      <c r="C3681"/>
    </row>
    <row r="3682" spans="3:3" x14ac:dyDescent="0.3">
      <c r="C3682"/>
    </row>
    <row r="3683" spans="3:3" x14ac:dyDescent="0.3">
      <c r="C3683"/>
    </row>
    <row r="3684" spans="3:3" x14ac:dyDescent="0.3">
      <c r="C3684"/>
    </row>
    <row r="3685" spans="3:3" x14ac:dyDescent="0.3">
      <c r="C3685"/>
    </row>
    <row r="3686" spans="3:3" x14ac:dyDescent="0.3">
      <c r="C3686"/>
    </row>
    <row r="3687" spans="3:3" x14ac:dyDescent="0.3">
      <c r="C3687"/>
    </row>
    <row r="3688" spans="3:3" x14ac:dyDescent="0.3">
      <c r="C3688"/>
    </row>
    <row r="3689" spans="3:3" x14ac:dyDescent="0.3">
      <c r="C3689"/>
    </row>
    <row r="3690" spans="3:3" x14ac:dyDescent="0.3">
      <c r="C3690"/>
    </row>
    <row r="3691" spans="3:3" x14ac:dyDescent="0.3">
      <c r="C3691"/>
    </row>
    <row r="3692" spans="3:3" x14ac:dyDescent="0.3">
      <c r="C3692"/>
    </row>
    <row r="3693" spans="3:3" x14ac:dyDescent="0.3">
      <c r="C3693"/>
    </row>
    <row r="3694" spans="3:3" x14ac:dyDescent="0.3">
      <c r="C3694"/>
    </row>
    <row r="3695" spans="3:3" x14ac:dyDescent="0.3">
      <c r="C3695"/>
    </row>
    <row r="3696" spans="3:3" x14ac:dyDescent="0.3">
      <c r="C3696"/>
    </row>
    <row r="3697" spans="3:3" x14ac:dyDescent="0.3">
      <c r="C3697"/>
    </row>
    <row r="3698" spans="3:3" x14ac:dyDescent="0.3">
      <c r="C3698"/>
    </row>
    <row r="3699" spans="3:3" x14ac:dyDescent="0.3">
      <c r="C3699"/>
    </row>
    <row r="3700" spans="3:3" x14ac:dyDescent="0.3">
      <c r="C3700"/>
    </row>
    <row r="3701" spans="3:3" x14ac:dyDescent="0.3">
      <c r="C3701"/>
    </row>
    <row r="3702" spans="3:3" x14ac:dyDescent="0.3">
      <c r="C3702"/>
    </row>
    <row r="3703" spans="3:3" x14ac:dyDescent="0.3">
      <c r="C3703"/>
    </row>
    <row r="3704" spans="3:3" x14ac:dyDescent="0.3">
      <c r="C3704"/>
    </row>
    <row r="3705" spans="3:3" x14ac:dyDescent="0.3">
      <c r="C3705"/>
    </row>
    <row r="3706" spans="3:3" x14ac:dyDescent="0.3">
      <c r="C3706"/>
    </row>
    <row r="3707" spans="3:3" x14ac:dyDescent="0.3">
      <c r="C3707"/>
    </row>
    <row r="3708" spans="3:3" x14ac:dyDescent="0.3">
      <c r="C3708"/>
    </row>
    <row r="3709" spans="3:3" x14ac:dyDescent="0.3">
      <c r="C3709"/>
    </row>
    <row r="3710" spans="3:3" x14ac:dyDescent="0.3">
      <c r="C3710"/>
    </row>
    <row r="3711" spans="3:3" x14ac:dyDescent="0.3">
      <c r="C3711"/>
    </row>
    <row r="3712" spans="3:3" x14ac:dyDescent="0.3">
      <c r="C3712"/>
    </row>
    <row r="3713" spans="3:3" x14ac:dyDescent="0.3">
      <c r="C3713"/>
    </row>
    <row r="3714" spans="3:3" x14ac:dyDescent="0.3">
      <c r="C3714"/>
    </row>
    <row r="3715" spans="3:3" x14ac:dyDescent="0.3">
      <c r="C3715"/>
    </row>
    <row r="3716" spans="3:3" x14ac:dyDescent="0.3">
      <c r="C3716"/>
    </row>
    <row r="3717" spans="3:3" x14ac:dyDescent="0.3">
      <c r="C3717"/>
    </row>
    <row r="3718" spans="3:3" x14ac:dyDescent="0.3">
      <c r="C3718"/>
    </row>
    <row r="3719" spans="3:3" x14ac:dyDescent="0.3">
      <c r="C3719"/>
    </row>
    <row r="3720" spans="3:3" x14ac:dyDescent="0.3">
      <c r="C3720"/>
    </row>
    <row r="3721" spans="3:3" x14ac:dyDescent="0.3">
      <c r="C3721"/>
    </row>
    <row r="3722" spans="3:3" x14ac:dyDescent="0.3">
      <c r="C3722"/>
    </row>
    <row r="3723" spans="3:3" x14ac:dyDescent="0.3">
      <c r="C3723"/>
    </row>
    <row r="3724" spans="3:3" x14ac:dyDescent="0.3">
      <c r="C3724"/>
    </row>
    <row r="3725" spans="3:3" x14ac:dyDescent="0.3">
      <c r="C3725"/>
    </row>
    <row r="3726" spans="3:3" x14ac:dyDescent="0.3">
      <c r="C3726"/>
    </row>
    <row r="3727" spans="3:3" x14ac:dyDescent="0.3">
      <c r="C3727"/>
    </row>
    <row r="3728" spans="3:3" x14ac:dyDescent="0.3">
      <c r="C3728"/>
    </row>
    <row r="3729" spans="3:3" x14ac:dyDescent="0.3">
      <c r="C3729"/>
    </row>
    <row r="3730" spans="3:3" x14ac:dyDescent="0.3">
      <c r="C3730"/>
    </row>
    <row r="3731" spans="3:3" x14ac:dyDescent="0.3">
      <c r="C3731"/>
    </row>
    <row r="3732" spans="3:3" x14ac:dyDescent="0.3">
      <c r="C3732"/>
    </row>
    <row r="3733" spans="3:3" x14ac:dyDescent="0.3">
      <c r="C3733"/>
    </row>
    <row r="3734" spans="3:3" x14ac:dyDescent="0.3">
      <c r="C3734"/>
    </row>
    <row r="3735" spans="3:3" x14ac:dyDescent="0.3">
      <c r="C3735"/>
    </row>
    <row r="3736" spans="3:3" x14ac:dyDescent="0.3">
      <c r="C3736"/>
    </row>
    <row r="3737" spans="3:3" x14ac:dyDescent="0.3">
      <c r="C3737"/>
    </row>
    <row r="3738" spans="3:3" x14ac:dyDescent="0.3">
      <c r="C3738"/>
    </row>
    <row r="3739" spans="3:3" x14ac:dyDescent="0.3">
      <c r="C3739"/>
    </row>
    <row r="3740" spans="3:3" x14ac:dyDescent="0.3">
      <c r="C3740"/>
    </row>
    <row r="3741" spans="3:3" x14ac:dyDescent="0.3">
      <c r="C3741"/>
    </row>
    <row r="3742" spans="3:3" x14ac:dyDescent="0.3">
      <c r="C3742"/>
    </row>
    <row r="3743" spans="3:3" x14ac:dyDescent="0.3">
      <c r="C3743"/>
    </row>
    <row r="3744" spans="3:3" x14ac:dyDescent="0.3">
      <c r="C3744"/>
    </row>
    <row r="3745" spans="3:3" x14ac:dyDescent="0.3">
      <c r="C3745"/>
    </row>
    <row r="3746" spans="3:3" x14ac:dyDescent="0.3">
      <c r="C3746"/>
    </row>
    <row r="3747" spans="3:3" x14ac:dyDescent="0.3">
      <c r="C3747"/>
    </row>
    <row r="3748" spans="3:3" x14ac:dyDescent="0.3">
      <c r="C3748"/>
    </row>
    <row r="3749" spans="3:3" x14ac:dyDescent="0.3">
      <c r="C3749"/>
    </row>
    <row r="3750" spans="3:3" x14ac:dyDescent="0.3">
      <c r="C3750"/>
    </row>
    <row r="3751" spans="3:3" x14ac:dyDescent="0.3">
      <c r="C3751"/>
    </row>
    <row r="3752" spans="3:3" x14ac:dyDescent="0.3">
      <c r="C3752"/>
    </row>
    <row r="3753" spans="3:3" x14ac:dyDescent="0.3">
      <c r="C3753"/>
    </row>
    <row r="3754" spans="3:3" x14ac:dyDescent="0.3">
      <c r="C3754"/>
    </row>
    <row r="3755" spans="3:3" x14ac:dyDescent="0.3">
      <c r="C3755"/>
    </row>
    <row r="3756" spans="3:3" x14ac:dyDescent="0.3">
      <c r="C3756"/>
    </row>
    <row r="3757" spans="3:3" x14ac:dyDescent="0.3">
      <c r="C3757"/>
    </row>
    <row r="3758" spans="3:3" x14ac:dyDescent="0.3">
      <c r="C3758"/>
    </row>
    <row r="3759" spans="3:3" x14ac:dyDescent="0.3">
      <c r="C3759"/>
    </row>
    <row r="3760" spans="3:3" x14ac:dyDescent="0.3">
      <c r="C3760"/>
    </row>
    <row r="3761" spans="3:3" x14ac:dyDescent="0.3">
      <c r="C3761"/>
    </row>
    <row r="3762" spans="3:3" x14ac:dyDescent="0.3">
      <c r="C3762"/>
    </row>
    <row r="3763" spans="3:3" x14ac:dyDescent="0.3">
      <c r="C3763"/>
    </row>
    <row r="3764" spans="3:3" x14ac:dyDescent="0.3">
      <c r="C3764"/>
    </row>
    <row r="3765" spans="3:3" x14ac:dyDescent="0.3">
      <c r="C3765"/>
    </row>
    <row r="3766" spans="3:3" x14ac:dyDescent="0.3">
      <c r="C3766"/>
    </row>
    <row r="3767" spans="3:3" x14ac:dyDescent="0.3">
      <c r="C3767"/>
    </row>
    <row r="3768" spans="3:3" x14ac:dyDescent="0.3">
      <c r="C3768"/>
    </row>
    <row r="3769" spans="3:3" x14ac:dyDescent="0.3">
      <c r="C3769"/>
    </row>
    <row r="3770" spans="3:3" x14ac:dyDescent="0.3">
      <c r="C3770"/>
    </row>
    <row r="3771" spans="3:3" x14ac:dyDescent="0.3">
      <c r="C3771"/>
    </row>
    <row r="3772" spans="3:3" x14ac:dyDescent="0.3">
      <c r="C3772"/>
    </row>
    <row r="3773" spans="3:3" x14ac:dyDescent="0.3">
      <c r="C3773"/>
    </row>
    <row r="3774" spans="3:3" x14ac:dyDescent="0.3">
      <c r="C3774"/>
    </row>
    <row r="3775" spans="3:3" x14ac:dyDescent="0.3">
      <c r="C3775"/>
    </row>
    <row r="3776" spans="3:3" x14ac:dyDescent="0.3">
      <c r="C3776"/>
    </row>
    <row r="3777" spans="3:3" x14ac:dyDescent="0.3">
      <c r="C3777"/>
    </row>
    <row r="3778" spans="3:3" x14ac:dyDescent="0.3">
      <c r="C3778"/>
    </row>
    <row r="3779" spans="3:3" x14ac:dyDescent="0.3">
      <c r="C3779"/>
    </row>
    <row r="3780" spans="3:3" x14ac:dyDescent="0.3">
      <c r="C3780"/>
    </row>
    <row r="3781" spans="3:3" x14ac:dyDescent="0.3">
      <c r="C3781"/>
    </row>
    <row r="3782" spans="3:3" x14ac:dyDescent="0.3">
      <c r="C3782"/>
    </row>
    <row r="3783" spans="3:3" x14ac:dyDescent="0.3">
      <c r="C3783"/>
    </row>
    <row r="3784" spans="3:3" x14ac:dyDescent="0.3">
      <c r="C3784"/>
    </row>
    <row r="3785" spans="3:3" x14ac:dyDescent="0.3">
      <c r="C3785"/>
    </row>
    <row r="3786" spans="3:3" x14ac:dyDescent="0.3">
      <c r="C3786"/>
    </row>
    <row r="3787" spans="3:3" x14ac:dyDescent="0.3">
      <c r="C3787"/>
    </row>
    <row r="3788" spans="3:3" x14ac:dyDescent="0.3">
      <c r="C3788"/>
    </row>
    <row r="3789" spans="3:3" x14ac:dyDescent="0.3">
      <c r="C3789"/>
    </row>
    <row r="3790" spans="3:3" x14ac:dyDescent="0.3">
      <c r="C3790"/>
    </row>
    <row r="3791" spans="3:3" x14ac:dyDescent="0.3">
      <c r="C3791"/>
    </row>
    <row r="3792" spans="3:3" x14ac:dyDescent="0.3">
      <c r="C3792"/>
    </row>
    <row r="3793" spans="3:3" x14ac:dyDescent="0.3">
      <c r="C3793"/>
    </row>
    <row r="3794" spans="3:3" x14ac:dyDescent="0.3">
      <c r="C3794"/>
    </row>
    <row r="3795" spans="3:3" x14ac:dyDescent="0.3">
      <c r="C3795"/>
    </row>
    <row r="3796" spans="3:3" x14ac:dyDescent="0.3">
      <c r="C3796"/>
    </row>
    <row r="3797" spans="3:3" x14ac:dyDescent="0.3">
      <c r="C3797"/>
    </row>
    <row r="3798" spans="3:3" x14ac:dyDescent="0.3">
      <c r="C3798"/>
    </row>
    <row r="3799" spans="3:3" x14ac:dyDescent="0.3">
      <c r="C3799"/>
    </row>
    <row r="3800" spans="3:3" x14ac:dyDescent="0.3">
      <c r="C3800"/>
    </row>
    <row r="3801" spans="3:3" x14ac:dyDescent="0.3">
      <c r="C3801"/>
    </row>
    <row r="3802" spans="3:3" x14ac:dyDescent="0.3">
      <c r="C3802"/>
    </row>
    <row r="3803" spans="3:3" x14ac:dyDescent="0.3">
      <c r="C3803"/>
    </row>
    <row r="3804" spans="3:3" x14ac:dyDescent="0.3">
      <c r="C3804"/>
    </row>
    <row r="3805" spans="3:3" x14ac:dyDescent="0.3">
      <c r="C3805"/>
    </row>
    <row r="3806" spans="3:3" x14ac:dyDescent="0.3">
      <c r="C3806"/>
    </row>
    <row r="3807" spans="3:3" x14ac:dyDescent="0.3">
      <c r="C3807"/>
    </row>
    <row r="3808" spans="3:3" x14ac:dyDescent="0.3">
      <c r="C3808"/>
    </row>
    <row r="3809" spans="3:3" x14ac:dyDescent="0.3">
      <c r="C3809"/>
    </row>
    <row r="3810" spans="3:3" x14ac:dyDescent="0.3">
      <c r="C3810"/>
    </row>
    <row r="3811" spans="3:3" x14ac:dyDescent="0.3">
      <c r="C3811"/>
    </row>
    <row r="3812" spans="3:3" x14ac:dyDescent="0.3">
      <c r="C3812"/>
    </row>
    <row r="3813" spans="3:3" x14ac:dyDescent="0.3">
      <c r="C3813"/>
    </row>
    <row r="3814" spans="3:3" x14ac:dyDescent="0.3">
      <c r="C3814"/>
    </row>
    <row r="3815" spans="3:3" x14ac:dyDescent="0.3">
      <c r="C3815"/>
    </row>
    <row r="3816" spans="3:3" x14ac:dyDescent="0.3">
      <c r="C3816"/>
    </row>
    <row r="3817" spans="3:3" x14ac:dyDescent="0.3">
      <c r="C3817"/>
    </row>
    <row r="3818" spans="3:3" x14ac:dyDescent="0.3">
      <c r="C3818"/>
    </row>
    <row r="3819" spans="3:3" x14ac:dyDescent="0.3">
      <c r="C3819"/>
    </row>
    <row r="3820" spans="3:3" x14ac:dyDescent="0.3">
      <c r="C3820"/>
    </row>
    <row r="3821" spans="3:3" x14ac:dyDescent="0.3">
      <c r="C3821"/>
    </row>
    <row r="3822" spans="3:3" x14ac:dyDescent="0.3">
      <c r="C3822"/>
    </row>
    <row r="3823" spans="3:3" x14ac:dyDescent="0.3">
      <c r="C3823"/>
    </row>
    <row r="3824" spans="3:3" x14ac:dyDescent="0.3">
      <c r="C3824"/>
    </row>
    <row r="3825" spans="3:3" x14ac:dyDescent="0.3">
      <c r="C3825"/>
    </row>
    <row r="3826" spans="3:3" x14ac:dyDescent="0.3">
      <c r="C3826"/>
    </row>
    <row r="3827" spans="3:3" x14ac:dyDescent="0.3">
      <c r="C3827"/>
    </row>
    <row r="3828" spans="3:3" x14ac:dyDescent="0.3">
      <c r="C3828"/>
    </row>
    <row r="3829" spans="3:3" x14ac:dyDescent="0.3">
      <c r="C3829"/>
    </row>
    <row r="3830" spans="3:3" x14ac:dyDescent="0.3">
      <c r="C3830"/>
    </row>
    <row r="3831" spans="3:3" x14ac:dyDescent="0.3">
      <c r="C3831"/>
    </row>
    <row r="3832" spans="3:3" x14ac:dyDescent="0.3">
      <c r="C3832"/>
    </row>
    <row r="3833" spans="3:3" x14ac:dyDescent="0.3">
      <c r="C3833"/>
    </row>
    <row r="3834" spans="3:3" x14ac:dyDescent="0.3">
      <c r="C3834"/>
    </row>
    <row r="3835" spans="3:3" x14ac:dyDescent="0.3">
      <c r="C3835"/>
    </row>
    <row r="3836" spans="3:3" x14ac:dyDescent="0.3">
      <c r="C3836"/>
    </row>
    <row r="3837" spans="3:3" x14ac:dyDescent="0.3">
      <c r="C3837"/>
    </row>
    <row r="3838" spans="3:3" x14ac:dyDescent="0.3">
      <c r="C3838"/>
    </row>
    <row r="3839" spans="3:3" x14ac:dyDescent="0.3">
      <c r="C3839"/>
    </row>
    <row r="3840" spans="3:3" x14ac:dyDescent="0.3">
      <c r="C3840"/>
    </row>
    <row r="3841" spans="3:3" x14ac:dyDescent="0.3">
      <c r="C3841"/>
    </row>
    <row r="3842" spans="3:3" x14ac:dyDescent="0.3">
      <c r="C3842"/>
    </row>
    <row r="3843" spans="3:3" x14ac:dyDescent="0.3">
      <c r="C3843"/>
    </row>
    <row r="3844" spans="3:3" x14ac:dyDescent="0.3">
      <c r="C3844"/>
    </row>
    <row r="3845" spans="3:3" x14ac:dyDescent="0.3">
      <c r="C3845"/>
    </row>
    <row r="3846" spans="3:3" x14ac:dyDescent="0.3">
      <c r="C3846"/>
    </row>
    <row r="3847" spans="3:3" x14ac:dyDescent="0.3">
      <c r="C3847"/>
    </row>
    <row r="3848" spans="3:3" x14ac:dyDescent="0.3">
      <c r="C3848"/>
    </row>
    <row r="3849" spans="3:3" x14ac:dyDescent="0.3">
      <c r="C3849"/>
    </row>
    <row r="3850" spans="3:3" x14ac:dyDescent="0.3">
      <c r="C3850"/>
    </row>
    <row r="3851" spans="3:3" x14ac:dyDescent="0.3">
      <c r="C3851"/>
    </row>
    <row r="3852" spans="3:3" x14ac:dyDescent="0.3">
      <c r="C3852"/>
    </row>
    <row r="3853" spans="3:3" x14ac:dyDescent="0.3">
      <c r="C3853"/>
    </row>
    <row r="3854" spans="3:3" x14ac:dyDescent="0.3">
      <c r="C3854"/>
    </row>
    <row r="3855" spans="3:3" x14ac:dyDescent="0.3">
      <c r="C3855"/>
    </row>
    <row r="3856" spans="3:3" x14ac:dyDescent="0.3">
      <c r="C3856"/>
    </row>
    <row r="3857" spans="3:3" x14ac:dyDescent="0.3">
      <c r="C3857"/>
    </row>
    <row r="3858" spans="3:3" x14ac:dyDescent="0.3">
      <c r="C3858"/>
    </row>
    <row r="3859" spans="3:3" x14ac:dyDescent="0.3">
      <c r="C3859"/>
    </row>
    <row r="3860" spans="3:3" x14ac:dyDescent="0.3">
      <c r="C3860"/>
    </row>
    <row r="3861" spans="3:3" x14ac:dyDescent="0.3">
      <c r="C3861"/>
    </row>
    <row r="3862" spans="3:3" x14ac:dyDescent="0.3">
      <c r="C3862"/>
    </row>
    <row r="3863" spans="3:3" x14ac:dyDescent="0.3">
      <c r="C3863"/>
    </row>
    <row r="3864" spans="3:3" x14ac:dyDescent="0.3">
      <c r="C3864"/>
    </row>
    <row r="3865" spans="3:3" x14ac:dyDescent="0.3">
      <c r="C3865"/>
    </row>
    <row r="3866" spans="3:3" x14ac:dyDescent="0.3">
      <c r="C3866"/>
    </row>
    <row r="3867" spans="3:3" x14ac:dyDescent="0.3">
      <c r="C3867"/>
    </row>
    <row r="3868" spans="3:3" x14ac:dyDescent="0.3">
      <c r="C3868"/>
    </row>
    <row r="3869" spans="3:3" x14ac:dyDescent="0.3">
      <c r="C3869"/>
    </row>
    <row r="3870" spans="3:3" x14ac:dyDescent="0.3">
      <c r="C3870"/>
    </row>
    <row r="3871" spans="3:3" x14ac:dyDescent="0.3">
      <c r="C3871"/>
    </row>
    <row r="3872" spans="3:3" x14ac:dyDescent="0.3">
      <c r="C3872"/>
    </row>
    <row r="3873" spans="3:3" x14ac:dyDescent="0.3">
      <c r="C3873"/>
    </row>
    <row r="3874" spans="3:3" x14ac:dyDescent="0.3">
      <c r="C3874"/>
    </row>
    <row r="3875" spans="3:3" x14ac:dyDescent="0.3">
      <c r="C3875"/>
    </row>
    <row r="3876" spans="3:3" x14ac:dyDescent="0.3">
      <c r="C3876"/>
    </row>
    <row r="3877" spans="3:3" x14ac:dyDescent="0.3">
      <c r="C3877"/>
    </row>
    <row r="3878" spans="3:3" x14ac:dyDescent="0.3">
      <c r="C3878"/>
    </row>
    <row r="3879" spans="3:3" x14ac:dyDescent="0.3">
      <c r="C3879"/>
    </row>
    <row r="3880" spans="3:3" x14ac:dyDescent="0.3">
      <c r="C3880"/>
    </row>
    <row r="3881" spans="3:3" x14ac:dyDescent="0.3">
      <c r="C3881"/>
    </row>
    <row r="3882" spans="3:3" x14ac:dyDescent="0.3">
      <c r="C3882"/>
    </row>
    <row r="3883" spans="3:3" x14ac:dyDescent="0.3">
      <c r="C3883"/>
    </row>
    <row r="3884" spans="3:3" x14ac:dyDescent="0.3">
      <c r="C3884"/>
    </row>
    <row r="3885" spans="3:3" x14ac:dyDescent="0.3">
      <c r="C3885"/>
    </row>
    <row r="3886" spans="3:3" x14ac:dyDescent="0.3">
      <c r="C3886"/>
    </row>
    <row r="3887" spans="3:3" x14ac:dyDescent="0.3">
      <c r="C3887"/>
    </row>
    <row r="3888" spans="3:3" x14ac:dyDescent="0.3">
      <c r="C3888"/>
    </row>
    <row r="3889" spans="3:3" x14ac:dyDescent="0.3">
      <c r="C3889"/>
    </row>
    <row r="3890" spans="3:3" x14ac:dyDescent="0.3">
      <c r="C3890"/>
    </row>
    <row r="3891" spans="3:3" x14ac:dyDescent="0.3">
      <c r="C3891"/>
    </row>
    <row r="3892" spans="3:3" x14ac:dyDescent="0.3">
      <c r="C3892"/>
    </row>
    <row r="3893" spans="3:3" x14ac:dyDescent="0.3">
      <c r="C3893"/>
    </row>
    <row r="3894" spans="3:3" x14ac:dyDescent="0.3">
      <c r="C3894"/>
    </row>
    <row r="3895" spans="3:3" x14ac:dyDescent="0.3">
      <c r="C3895"/>
    </row>
    <row r="3896" spans="3:3" x14ac:dyDescent="0.3">
      <c r="C3896"/>
    </row>
    <row r="3897" spans="3:3" x14ac:dyDescent="0.3">
      <c r="C3897"/>
    </row>
    <row r="3898" spans="3:3" x14ac:dyDescent="0.3">
      <c r="C3898"/>
    </row>
    <row r="3899" spans="3:3" x14ac:dyDescent="0.3">
      <c r="C3899"/>
    </row>
    <row r="3900" spans="3:3" x14ac:dyDescent="0.3">
      <c r="C3900"/>
    </row>
    <row r="3901" spans="3:3" x14ac:dyDescent="0.3">
      <c r="C3901"/>
    </row>
    <row r="3902" spans="3:3" x14ac:dyDescent="0.3">
      <c r="C3902"/>
    </row>
    <row r="3903" spans="3:3" x14ac:dyDescent="0.3">
      <c r="C3903"/>
    </row>
    <row r="3904" spans="3:3" x14ac:dyDescent="0.3">
      <c r="C3904"/>
    </row>
    <row r="3905" spans="3:3" x14ac:dyDescent="0.3">
      <c r="C3905"/>
    </row>
    <row r="3906" spans="3:3" x14ac:dyDescent="0.3">
      <c r="C3906"/>
    </row>
    <row r="3907" spans="3:3" x14ac:dyDescent="0.3">
      <c r="C3907"/>
    </row>
    <row r="3908" spans="3:3" x14ac:dyDescent="0.3">
      <c r="C3908"/>
    </row>
    <row r="3909" spans="3:3" x14ac:dyDescent="0.3">
      <c r="C3909"/>
    </row>
    <row r="3910" spans="3:3" x14ac:dyDescent="0.3">
      <c r="C3910"/>
    </row>
    <row r="3911" spans="3:3" x14ac:dyDescent="0.3">
      <c r="C3911"/>
    </row>
    <row r="3912" spans="3:3" x14ac:dyDescent="0.3">
      <c r="C3912"/>
    </row>
    <row r="3913" spans="3:3" x14ac:dyDescent="0.3">
      <c r="C3913"/>
    </row>
    <row r="3914" spans="3:3" x14ac:dyDescent="0.3">
      <c r="C3914"/>
    </row>
    <row r="3915" spans="3:3" x14ac:dyDescent="0.3">
      <c r="C3915"/>
    </row>
    <row r="3916" spans="3:3" x14ac:dyDescent="0.3">
      <c r="C3916"/>
    </row>
    <row r="3917" spans="3:3" x14ac:dyDescent="0.3">
      <c r="C3917"/>
    </row>
    <row r="3918" spans="3:3" x14ac:dyDescent="0.3">
      <c r="C3918"/>
    </row>
    <row r="3919" spans="3:3" x14ac:dyDescent="0.3">
      <c r="C3919"/>
    </row>
    <row r="3920" spans="3:3" x14ac:dyDescent="0.3">
      <c r="C3920"/>
    </row>
    <row r="3921" spans="3:3" x14ac:dyDescent="0.3">
      <c r="C3921"/>
    </row>
    <row r="3922" spans="3:3" x14ac:dyDescent="0.3">
      <c r="C3922"/>
    </row>
    <row r="3923" spans="3:3" x14ac:dyDescent="0.3">
      <c r="C3923"/>
    </row>
    <row r="3924" spans="3:3" x14ac:dyDescent="0.3">
      <c r="C3924"/>
    </row>
    <row r="3925" spans="3:3" x14ac:dyDescent="0.3">
      <c r="C3925"/>
    </row>
    <row r="3926" spans="3:3" x14ac:dyDescent="0.3">
      <c r="C3926"/>
    </row>
    <row r="3927" spans="3:3" x14ac:dyDescent="0.3">
      <c r="C3927"/>
    </row>
    <row r="3928" spans="3:3" x14ac:dyDescent="0.3">
      <c r="C3928"/>
    </row>
    <row r="3929" spans="3:3" x14ac:dyDescent="0.3">
      <c r="C3929"/>
    </row>
    <row r="3930" spans="3:3" x14ac:dyDescent="0.3">
      <c r="C3930"/>
    </row>
    <row r="3931" spans="3:3" x14ac:dyDescent="0.3">
      <c r="C3931"/>
    </row>
    <row r="3932" spans="3:3" x14ac:dyDescent="0.3">
      <c r="C3932"/>
    </row>
    <row r="3933" spans="3:3" x14ac:dyDescent="0.3">
      <c r="C3933"/>
    </row>
    <row r="3934" spans="3:3" x14ac:dyDescent="0.3">
      <c r="C3934"/>
    </row>
    <row r="3935" spans="3:3" x14ac:dyDescent="0.3">
      <c r="C3935"/>
    </row>
    <row r="3936" spans="3:3" x14ac:dyDescent="0.3">
      <c r="C3936"/>
    </row>
    <row r="3937" spans="3:3" x14ac:dyDescent="0.3">
      <c r="C3937"/>
    </row>
    <row r="3938" spans="3:3" x14ac:dyDescent="0.3">
      <c r="C3938"/>
    </row>
    <row r="3939" spans="3:3" x14ac:dyDescent="0.3">
      <c r="C3939"/>
    </row>
    <row r="3940" spans="3:3" x14ac:dyDescent="0.3">
      <c r="C3940"/>
    </row>
    <row r="3941" spans="3:3" x14ac:dyDescent="0.3">
      <c r="C3941"/>
    </row>
    <row r="3942" spans="3:3" x14ac:dyDescent="0.3">
      <c r="C3942"/>
    </row>
    <row r="3943" spans="3:3" x14ac:dyDescent="0.3">
      <c r="C3943"/>
    </row>
    <row r="3944" spans="3:3" x14ac:dyDescent="0.3">
      <c r="C3944"/>
    </row>
    <row r="3945" spans="3:3" x14ac:dyDescent="0.3">
      <c r="C3945"/>
    </row>
    <row r="3946" spans="3:3" x14ac:dyDescent="0.3">
      <c r="C3946"/>
    </row>
    <row r="3947" spans="3:3" x14ac:dyDescent="0.3">
      <c r="C3947"/>
    </row>
    <row r="3948" spans="3:3" x14ac:dyDescent="0.3">
      <c r="C3948"/>
    </row>
    <row r="3949" spans="3:3" x14ac:dyDescent="0.3">
      <c r="C3949"/>
    </row>
    <row r="3950" spans="3:3" x14ac:dyDescent="0.3">
      <c r="C3950"/>
    </row>
    <row r="3951" spans="3:3" x14ac:dyDescent="0.3">
      <c r="C3951"/>
    </row>
    <row r="3952" spans="3:3" x14ac:dyDescent="0.3">
      <c r="C3952"/>
    </row>
    <row r="3953" spans="3:3" x14ac:dyDescent="0.3">
      <c r="C3953"/>
    </row>
    <row r="3954" spans="3:3" x14ac:dyDescent="0.3">
      <c r="C3954"/>
    </row>
    <row r="3955" spans="3:3" x14ac:dyDescent="0.3">
      <c r="C3955"/>
    </row>
    <row r="3956" spans="3:3" x14ac:dyDescent="0.3">
      <c r="C3956"/>
    </row>
    <row r="3957" spans="3:3" x14ac:dyDescent="0.3">
      <c r="C3957"/>
    </row>
    <row r="3958" spans="3:3" x14ac:dyDescent="0.3">
      <c r="C3958"/>
    </row>
    <row r="3959" spans="3:3" x14ac:dyDescent="0.3">
      <c r="C3959"/>
    </row>
    <row r="3960" spans="3:3" x14ac:dyDescent="0.3">
      <c r="C3960"/>
    </row>
    <row r="3961" spans="3:3" x14ac:dyDescent="0.3">
      <c r="C3961"/>
    </row>
    <row r="3962" spans="3:3" x14ac:dyDescent="0.3">
      <c r="C3962"/>
    </row>
    <row r="3963" spans="3:3" x14ac:dyDescent="0.3">
      <c r="C3963"/>
    </row>
    <row r="3964" spans="3:3" x14ac:dyDescent="0.3">
      <c r="C3964"/>
    </row>
    <row r="3965" spans="3:3" x14ac:dyDescent="0.3">
      <c r="C3965"/>
    </row>
    <row r="3966" spans="3:3" x14ac:dyDescent="0.3">
      <c r="C3966"/>
    </row>
    <row r="3967" spans="3:3" x14ac:dyDescent="0.3">
      <c r="C3967"/>
    </row>
    <row r="3968" spans="3:3" x14ac:dyDescent="0.3">
      <c r="C3968"/>
    </row>
    <row r="3969" spans="3:3" x14ac:dyDescent="0.3">
      <c r="C3969"/>
    </row>
    <row r="3970" spans="3:3" x14ac:dyDescent="0.3">
      <c r="C3970"/>
    </row>
    <row r="3971" spans="3:3" x14ac:dyDescent="0.3">
      <c r="C3971"/>
    </row>
    <row r="3972" spans="3:3" x14ac:dyDescent="0.3">
      <c r="C3972"/>
    </row>
    <row r="3973" spans="3:3" x14ac:dyDescent="0.3">
      <c r="C3973"/>
    </row>
    <row r="3974" spans="3:3" x14ac:dyDescent="0.3">
      <c r="C3974"/>
    </row>
    <row r="3975" spans="3:3" x14ac:dyDescent="0.3">
      <c r="C3975"/>
    </row>
    <row r="3976" spans="3:3" x14ac:dyDescent="0.3">
      <c r="C3976"/>
    </row>
    <row r="3977" spans="3:3" x14ac:dyDescent="0.3">
      <c r="C3977"/>
    </row>
    <row r="3978" spans="3:3" x14ac:dyDescent="0.3">
      <c r="C3978"/>
    </row>
    <row r="3979" spans="3:3" x14ac:dyDescent="0.3">
      <c r="C3979"/>
    </row>
    <row r="3980" spans="3:3" x14ac:dyDescent="0.3">
      <c r="C3980"/>
    </row>
    <row r="3981" spans="3:3" x14ac:dyDescent="0.3">
      <c r="C3981"/>
    </row>
    <row r="3982" spans="3:3" x14ac:dyDescent="0.3">
      <c r="C3982"/>
    </row>
    <row r="3983" spans="3:3" x14ac:dyDescent="0.3">
      <c r="C3983"/>
    </row>
    <row r="3984" spans="3:3" x14ac:dyDescent="0.3">
      <c r="C3984"/>
    </row>
    <row r="3985" spans="3:3" x14ac:dyDescent="0.3">
      <c r="C3985"/>
    </row>
    <row r="3986" spans="3:3" x14ac:dyDescent="0.3">
      <c r="C3986"/>
    </row>
    <row r="3987" spans="3:3" x14ac:dyDescent="0.3">
      <c r="C3987"/>
    </row>
    <row r="3988" spans="3:3" x14ac:dyDescent="0.3">
      <c r="C3988"/>
    </row>
    <row r="3989" spans="3:3" x14ac:dyDescent="0.3">
      <c r="C3989"/>
    </row>
    <row r="3990" spans="3:3" x14ac:dyDescent="0.3">
      <c r="C3990"/>
    </row>
    <row r="3991" spans="3:3" x14ac:dyDescent="0.3">
      <c r="C3991"/>
    </row>
    <row r="3992" spans="3:3" x14ac:dyDescent="0.3">
      <c r="C3992"/>
    </row>
    <row r="3993" spans="3:3" x14ac:dyDescent="0.3">
      <c r="C3993"/>
    </row>
    <row r="3994" spans="3:3" x14ac:dyDescent="0.3">
      <c r="C3994"/>
    </row>
    <row r="3995" spans="3:3" x14ac:dyDescent="0.3">
      <c r="C3995"/>
    </row>
    <row r="3996" spans="3:3" x14ac:dyDescent="0.3">
      <c r="C3996"/>
    </row>
    <row r="3997" spans="3:3" x14ac:dyDescent="0.3">
      <c r="C3997"/>
    </row>
    <row r="3998" spans="3:3" x14ac:dyDescent="0.3">
      <c r="C3998"/>
    </row>
    <row r="3999" spans="3:3" x14ac:dyDescent="0.3">
      <c r="C3999"/>
    </row>
    <row r="4000" spans="3:3" x14ac:dyDescent="0.3">
      <c r="C4000"/>
    </row>
    <row r="4001" spans="3:3" x14ac:dyDescent="0.3">
      <c r="C4001"/>
    </row>
    <row r="4002" spans="3:3" x14ac:dyDescent="0.3">
      <c r="C4002"/>
    </row>
    <row r="4003" spans="3:3" x14ac:dyDescent="0.3">
      <c r="C4003"/>
    </row>
    <row r="4004" spans="3:3" x14ac:dyDescent="0.3">
      <c r="C4004"/>
    </row>
    <row r="4005" spans="3:3" x14ac:dyDescent="0.3">
      <c r="C4005"/>
    </row>
    <row r="4006" spans="3:3" x14ac:dyDescent="0.3">
      <c r="C4006"/>
    </row>
    <row r="4007" spans="3:3" x14ac:dyDescent="0.3">
      <c r="C4007"/>
    </row>
    <row r="4008" spans="3:3" x14ac:dyDescent="0.3">
      <c r="C4008"/>
    </row>
    <row r="4009" spans="3:3" x14ac:dyDescent="0.3">
      <c r="C4009"/>
    </row>
    <row r="4010" spans="3:3" x14ac:dyDescent="0.3">
      <c r="C4010"/>
    </row>
    <row r="4011" spans="3:3" x14ac:dyDescent="0.3">
      <c r="C4011"/>
    </row>
    <row r="4012" spans="3:3" x14ac:dyDescent="0.3">
      <c r="C4012"/>
    </row>
    <row r="4013" spans="3:3" x14ac:dyDescent="0.3">
      <c r="C4013"/>
    </row>
    <row r="4014" spans="3:3" x14ac:dyDescent="0.3">
      <c r="C4014"/>
    </row>
    <row r="4015" spans="3:3" x14ac:dyDescent="0.3">
      <c r="C4015"/>
    </row>
    <row r="4016" spans="3:3" x14ac:dyDescent="0.3">
      <c r="C4016"/>
    </row>
    <row r="4017" spans="3:3" x14ac:dyDescent="0.3">
      <c r="C4017"/>
    </row>
    <row r="4018" spans="3:3" x14ac:dyDescent="0.3">
      <c r="C4018"/>
    </row>
    <row r="4019" spans="3:3" x14ac:dyDescent="0.3">
      <c r="C4019"/>
    </row>
    <row r="4020" spans="3:3" x14ac:dyDescent="0.3">
      <c r="C4020"/>
    </row>
    <row r="4021" spans="3:3" x14ac:dyDescent="0.3">
      <c r="C4021"/>
    </row>
    <row r="4022" spans="3:3" x14ac:dyDescent="0.3">
      <c r="C4022"/>
    </row>
    <row r="4023" spans="3:3" x14ac:dyDescent="0.3">
      <c r="C4023"/>
    </row>
    <row r="4024" spans="3:3" x14ac:dyDescent="0.3">
      <c r="C4024"/>
    </row>
    <row r="4025" spans="3:3" x14ac:dyDescent="0.3">
      <c r="C4025"/>
    </row>
    <row r="4026" spans="3:3" x14ac:dyDescent="0.3">
      <c r="C4026"/>
    </row>
    <row r="4027" spans="3:3" x14ac:dyDescent="0.3">
      <c r="C4027"/>
    </row>
    <row r="4028" spans="3:3" x14ac:dyDescent="0.3">
      <c r="C4028"/>
    </row>
    <row r="4029" spans="3:3" x14ac:dyDescent="0.3">
      <c r="C4029"/>
    </row>
    <row r="4030" spans="3:3" x14ac:dyDescent="0.3">
      <c r="C4030"/>
    </row>
    <row r="4031" spans="3:3" x14ac:dyDescent="0.3">
      <c r="C4031"/>
    </row>
    <row r="4032" spans="3:3" x14ac:dyDescent="0.3">
      <c r="C4032"/>
    </row>
    <row r="4033" spans="3:3" x14ac:dyDescent="0.3">
      <c r="C4033"/>
    </row>
    <row r="4034" spans="3:3" x14ac:dyDescent="0.3">
      <c r="C4034"/>
    </row>
    <row r="4035" spans="3:3" x14ac:dyDescent="0.3">
      <c r="C4035"/>
    </row>
    <row r="4036" spans="3:3" x14ac:dyDescent="0.3">
      <c r="C4036"/>
    </row>
    <row r="4037" spans="3:3" x14ac:dyDescent="0.3">
      <c r="C4037"/>
    </row>
    <row r="4038" spans="3:3" x14ac:dyDescent="0.3">
      <c r="C4038"/>
    </row>
    <row r="4039" spans="3:3" x14ac:dyDescent="0.3">
      <c r="C4039"/>
    </row>
    <row r="4040" spans="3:3" x14ac:dyDescent="0.3">
      <c r="C4040"/>
    </row>
    <row r="4041" spans="3:3" x14ac:dyDescent="0.3">
      <c r="C4041"/>
    </row>
    <row r="4042" spans="3:3" x14ac:dyDescent="0.3">
      <c r="C4042"/>
    </row>
    <row r="4043" spans="3:3" x14ac:dyDescent="0.3">
      <c r="C4043"/>
    </row>
    <row r="4044" spans="3:3" x14ac:dyDescent="0.3">
      <c r="C4044"/>
    </row>
    <row r="4045" spans="3:3" x14ac:dyDescent="0.3">
      <c r="C4045"/>
    </row>
    <row r="4046" spans="3:3" x14ac:dyDescent="0.3">
      <c r="C4046"/>
    </row>
    <row r="4047" spans="3:3" x14ac:dyDescent="0.3">
      <c r="C4047"/>
    </row>
    <row r="4048" spans="3:3" x14ac:dyDescent="0.3">
      <c r="C4048"/>
    </row>
    <row r="4049" spans="3:3" x14ac:dyDescent="0.3">
      <c r="C4049"/>
    </row>
    <row r="4050" spans="3:3" x14ac:dyDescent="0.3">
      <c r="C4050"/>
    </row>
    <row r="4051" spans="3:3" x14ac:dyDescent="0.3">
      <c r="C4051"/>
    </row>
    <row r="4052" spans="3:3" x14ac:dyDescent="0.3">
      <c r="C4052"/>
    </row>
    <row r="4053" spans="3:3" x14ac:dyDescent="0.3">
      <c r="C4053"/>
    </row>
    <row r="4054" spans="3:3" x14ac:dyDescent="0.3">
      <c r="C4054"/>
    </row>
    <row r="4055" spans="3:3" x14ac:dyDescent="0.3">
      <c r="C4055"/>
    </row>
    <row r="4056" spans="3:3" x14ac:dyDescent="0.3">
      <c r="C4056"/>
    </row>
    <row r="4057" spans="3:3" x14ac:dyDescent="0.3">
      <c r="C4057"/>
    </row>
    <row r="4058" spans="3:3" x14ac:dyDescent="0.3">
      <c r="C4058"/>
    </row>
    <row r="4059" spans="3:3" x14ac:dyDescent="0.3">
      <c r="C4059"/>
    </row>
    <row r="4060" spans="3:3" x14ac:dyDescent="0.3">
      <c r="C4060"/>
    </row>
    <row r="4061" spans="3:3" x14ac:dyDescent="0.3">
      <c r="C4061"/>
    </row>
    <row r="4062" spans="3:3" x14ac:dyDescent="0.3">
      <c r="C4062"/>
    </row>
    <row r="4063" spans="3:3" x14ac:dyDescent="0.3">
      <c r="C4063"/>
    </row>
    <row r="4064" spans="3:3" x14ac:dyDescent="0.3">
      <c r="C4064"/>
    </row>
    <row r="4065" spans="3:3" x14ac:dyDescent="0.3">
      <c r="C4065"/>
    </row>
    <row r="4066" spans="3:3" x14ac:dyDescent="0.3">
      <c r="C4066"/>
    </row>
    <row r="4067" spans="3:3" x14ac:dyDescent="0.3">
      <c r="C4067"/>
    </row>
    <row r="4068" spans="3:3" x14ac:dyDescent="0.3">
      <c r="C4068"/>
    </row>
    <row r="4069" spans="3:3" x14ac:dyDescent="0.3">
      <c r="C4069"/>
    </row>
    <row r="4070" spans="3:3" x14ac:dyDescent="0.3">
      <c r="C4070"/>
    </row>
    <row r="4071" spans="3:3" x14ac:dyDescent="0.3">
      <c r="C4071"/>
    </row>
    <row r="4072" spans="3:3" x14ac:dyDescent="0.3">
      <c r="C4072"/>
    </row>
    <row r="4073" spans="3:3" x14ac:dyDescent="0.3">
      <c r="C4073"/>
    </row>
    <row r="4074" spans="3:3" x14ac:dyDescent="0.3">
      <c r="C4074"/>
    </row>
    <row r="4075" spans="3:3" x14ac:dyDescent="0.3">
      <c r="C4075"/>
    </row>
    <row r="4076" spans="3:3" x14ac:dyDescent="0.3">
      <c r="C4076"/>
    </row>
    <row r="4077" spans="3:3" x14ac:dyDescent="0.3">
      <c r="C4077"/>
    </row>
    <row r="4078" spans="3:3" x14ac:dyDescent="0.3">
      <c r="C4078"/>
    </row>
    <row r="4079" spans="3:3" x14ac:dyDescent="0.3">
      <c r="C4079"/>
    </row>
    <row r="4080" spans="3:3" x14ac:dyDescent="0.3">
      <c r="C4080"/>
    </row>
    <row r="4081" spans="3:3" x14ac:dyDescent="0.3">
      <c r="C4081"/>
    </row>
    <row r="4082" spans="3:3" x14ac:dyDescent="0.3">
      <c r="C4082"/>
    </row>
    <row r="4083" spans="3:3" x14ac:dyDescent="0.3">
      <c r="C4083"/>
    </row>
    <row r="4084" spans="3:3" x14ac:dyDescent="0.3">
      <c r="C4084"/>
    </row>
    <row r="4085" spans="3:3" x14ac:dyDescent="0.3">
      <c r="C4085"/>
    </row>
    <row r="4086" spans="3:3" x14ac:dyDescent="0.3">
      <c r="C4086"/>
    </row>
    <row r="4087" spans="3:3" x14ac:dyDescent="0.3">
      <c r="C4087"/>
    </row>
    <row r="4088" spans="3:3" x14ac:dyDescent="0.3">
      <c r="C4088"/>
    </row>
    <row r="4089" spans="3:3" x14ac:dyDescent="0.3">
      <c r="C4089"/>
    </row>
    <row r="4090" spans="3:3" x14ac:dyDescent="0.3">
      <c r="C4090"/>
    </row>
    <row r="4091" spans="3:3" x14ac:dyDescent="0.3">
      <c r="C4091"/>
    </row>
    <row r="4092" spans="3:3" x14ac:dyDescent="0.3">
      <c r="C4092"/>
    </row>
    <row r="4093" spans="3:3" x14ac:dyDescent="0.3">
      <c r="C4093"/>
    </row>
    <row r="4094" spans="3:3" x14ac:dyDescent="0.3">
      <c r="C4094"/>
    </row>
    <row r="4095" spans="3:3" x14ac:dyDescent="0.3">
      <c r="C4095"/>
    </row>
    <row r="4096" spans="3:3" x14ac:dyDescent="0.3">
      <c r="C4096"/>
    </row>
    <row r="4097" spans="3:3" x14ac:dyDescent="0.3">
      <c r="C4097"/>
    </row>
    <row r="4098" spans="3:3" x14ac:dyDescent="0.3">
      <c r="C4098"/>
    </row>
    <row r="4099" spans="3:3" x14ac:dyDescent="0.3">
      <c r="C4099"/>
    </row>
    <row r="4100" spans="3:3" x14ac:dyDescent="0.3">
      <c r="C4100"/>
    </row>
    <row r="4101" spans="3:3" x14ac:dyDescent="0.3">
      <c r="C4101"/>
    </row>
    <row r="4102" spans="3:3" x14ac:dyDescent="0.3">
      <c r="C4102"/>
    </row>
    <row r="4103" spans="3:3" x14ac:dyDescent="0.3">
      <c r="C4103"/>
    </row>
    <row r="4104" spans="3:3" x14ac:dyDescent="0.3">
      <c r="C4104"/>
    </row>
    <row r="4105" spans="3:3" x14ac:dyDescent="0.3">
      <c r="C4105"/>
    </row>
    <row r="4106" spans="3:3" x14ac:dyDescent="0.3">
      <c r="C4106"/>
    </row>
    <row r="4107" spans="3:3" x14ac:dyDescent="0.3">
      <c r="C4107"/>
    </row>
    <row r="4108" spans="3:3" x14ac:dyDescent="0.3">
      <c r="C4108"/>
    </row>
    <row r="4109" spans="3:3" x14ac:dyDescent="0.3">
      <c r="C4109"/>
    </row>
    <row r="4110" spans="3:3" x14ac:dyDescent="0.3">
      <c r="C4110"/>
    </row>
    <row r="4111" spans="3:3" x14ac:dyDescent="0.3">
      <c r="C4111"/>
    </row>
    <row r="4112" spans="3:3" x14ac:dyDescent="0.3">
      <c r="C4112"/>
    </row>
    <row r="4113" spans="3:3" x14ac:dyDescent="0.3">
      <c r="C4113"/>
    </row>
    <row r="4114" spans="3:3" x14ac:dyDescent="0.3">
      <c r="C4114"/>
    </row>
    <row r="4115" spans="3:3" x14ac:dyDescent="0.3">
      <c r="C4115"/>
    </row>
    <row r="4116" spans="3:3" x14ac:dyDescent="0.3">
      <c r="C4116"/>
    </row>
    <row r="4117" spans="3:3" x14ac:dyDescent="0.3">
      <c r="C4117"/>
    </row>
    <row r="4118" spans="3:3" x14ac:dyDescent="0.3">
      <c r="C4118"/>
    </row>
    <row r="4119" spans="3:3" x14ac:dyDescent="0.3">
      <c r="C4119"/>
    </row>
    <row r="4120" spans="3:3" x14ac:dyDescent="0.3">
      <c r="C4120"/>
    </row>
    <row r="4121" spans="3:3" x14ac:dyDescent="0.3">
      <c r="C4121"/>
    </row>
    <row r="4122" spans="3:3" x14ac:dyDescent="0.3">
      <c r="C4122"/>
    </row>
    <row r="4123" spans="3:3" x14ac:dyDescent="0.3">
      <c r="C4123"/>
    </row>
    <row r="4124" spans="3:3" x14ac:dyDescent="0.3">
      <c r="C4124"/>
    </row>
    <row r="4125" spans="3:3" x14ac:dyDescent="0.3">
      <c r="C4125"/>
    </row>
    <row r="4126" spans="3:3" x14ac:dyDescent="0.3">
      <c r="C4126"/>
    </row>
    <row r="4127" spans="3:3" x14ac:dyDescent="0.3">
      <c r="C4127"/>
    </row>
    <row r="4128" spans="3:3" x14ac:dyDescent="0.3">
      <c r="C4128"/>
    </row>
    <row r="4129" spans="3:3" x14ac:dyDescent="0.3">
      <c r="C4129"/>
    </row>
    <row r="4130" spans="3:3" x14ac:dyDescent="0.3">
      <c r="C4130"/>
    </row>
    <row r="4131" spans="3:3" x14ac:dyDescent="0.3">
      <c r="C4131"/>
    </row>
    <row r="4132" spans="3:3" x14ac:dyDescent="0.3">
      <c r="C4132"/>
    </row>
    <row r="4133" spans="3:3" x14ac:dyDescent="0.3">
      <c r="C4133"/>
    </row>
    <row r="4134" spans="3:3" x14ac:dyDescent="0.3">
      <c r="C4134"/>
    </row>
    <row r="4135" spans="3:3" x14ac:dyDescent="0.3">
      <c r="C4135"/>
    </row>
    <row r="4136" spans="3:3" x14ac:dyDescent="0.3">
      <c r="C4136"/>
    </row>
    <row r="4137" spans="3:3" x14ac:dyDescent="0.3">
      <c r="C4137"/>
    </row>
    <row r="4138" spans="3:3" x14ac:dyDescent="0.3">
      <c r="C4138"/>
    </row>
    <row r="4139" spans="3:3" x14ac:dyDescent="0.3">
      <c r="C4139"/>
    </row>
    <row r="4140" spans="3:3" x14ac:dyDescent="0.3">
      <c r="C4140"/>
    </row>
    <row r="4141" spans="3:3" x14ac:dyDescent="0.3">
      <c r="C4141"/>
    </row>
    <row r="4142" spans="3:3" x14ac:dyDescent="0.3">
      <c r="C4142"/>
    </row>
    <row r="4143" spans="3:3" x14ac:dyDescent="0.3">
      <c r="C4143"/>
    </row>
    <row r="4144" spans="3:3" x14ac:dyDescent="0.3">
      <c r="C4144"/>
    </row>
    <row r="4145" spans="3:3" x14ac:dyDescent="0.3">
      <c r="C4145"/>
    </row>
    <row r="4146" spans="3:3" x14ac:dyDescent="0.3">
      <c r="C4146"/>
    </row>
    <row r="4147" spans="3:3" x14ac:dyDescent="0.3">
      <c r="C4147"/>
    </row>
    <row r="4148" spans="3:3" x14ac:dyDescent="0.3">
      <c r="C4148"/>
    </row>
    <row r="4149" spans="3:3" x14ac:dyDescent="0.3">
      <c r="C4149"/>
    </row>
    <row r="4150" spans="3:3" x14ac:dyDescent="0.3">
      <c r="C4150"/>
    </row>
    <row r="4151" spans="3:3" x14ac:dyDescent="0.3">
      <c r="C4151"/>
    </row>
    <row r="4152" spans="3:3" x14ac:dyDescent="0.3">
      <c r="C4152"/>
    </row>
    <row r="4153" spans="3:3" x14ac:dyDescent="0.3">
      <c r="C4153"/>
    </row>
    <row r="4154" spans="3:3" x14ac:dyDescent="0.3">
      <c r="C4154"/>
    </row>
    <row r="4155" spans="3:3" x14ac:dyDescent="0.3">
      <c r="C4155"/>
    </row>
    <row r="4156" spans="3:3" x14ac:dyDescent="0.3">
      <c r="C4156"/>
    </row>
    <row r="4157" spans="3:3" x14ac:dyDescent="0.3">
      <c r="C4157"/>
    </row>
    <row r="4158" spans="3:3" x14ac:dyDescent="0.3">
      <c r="C4158"/>
    </row>
    <row r="4159" spans="3:3" x14ac:dyDescent="0.3">
      <c r="C4159"/>
    </row>
    <row r="4160" spans="3:3" x14ac:dyDescent="0.3">
      <c r="C4160"/>
    </row>
    <row r="4161" spans="3:3" x14ac:dyDescent="0.3">
      <c r="C4161"/>
    </row>
    <row r="4162" spans="3:3" x14ac:dyDescent="0.3">
      <c r="C4162"/>
    </row>
    <row r="4163" spans="3:3" x14ac:dyDescent="0.3">
      <c r="C4163"/>
    </row>
    <row r="4164" spans="3:3" x14ac:dyDescent="0.3">
      <c r="C4164"/>
    </row>
    <row r="4165" spans="3:3" x14ac:dyDescent="0.3">
      <c r="C4165"/>
    </row>
    <row r="4166" spans="3:3" x14ac:dyDescent="0.3">
      <c r="C4166"/>
    </row>
    <row r="4167" spans="3:3" x14ac:dyDescent="0.3">
      <c r="C4167"/>
    </row>
    <row r="4168" spans="3:3" x14ac:dyDescent="0.3">
      <c r="C4168"/>
    </row>
    <row r="4169" spans="3:3" x14ac:dyDescent="0.3">
      <c r="C4169"/>
    </row>
    <row r="4170" spans="3:3" x14ac:dyDescent="0.3">
      <c r="C4170"/>
    </row>
    <row r="4171" spans="3:3" x14ac:dyDescent="0.3">
      <c r="C4171"/>
    </row>
    <row r="4172" spans="3:3" x14ac:dyDescent="0.3">
      <c r="C4172"/>
    </row>
    <row r="4173" spans="3:3" x14ac:dyDescent="0.3">
      <c r="C4173"/>
    </row>
    <row r="4174" spans="3:3" x14ac:dyDescent="0.3">
      <c r="C4174"/>
    </row>
    <row r="4175" spans="3:3" x14ac:dyDescent="0.3">
      <c r="C4175"/>
    </row>
    <row r="4176" spans="3:3" x14ac:dyDescent="0.3">
      <c r="C4176"/>
    </row>
    <row r="4177" spans="3:3" x14ac:dyDescent="0.3">
      <c r="C4177"/>
    </row>
    <row r="4178" spans="3:3" x14ac:dyDescent="0.3">
      <c r="C4178"/>
    </row>
    <row r="4179" spans="3:3" x14ac:dyDescent="0.3">
      <c r="C4179"/>
    </row>
    <row r="4180" spans="3:3" x14ac:dyDescent="0.3">
      <c r="C4180"/>
    </row>
    <row r="4181" spans="3:3" x14ac:dyDescent="0.3">
      <c r="C4181"/>
    </row>
    <row r="4182" spans="3:3" x14ac:dyDescent="0.3">
      <c r="C4182"/>
    </row>
    <row r="4183" spans="3:3" x14ac:dyDescent="0.3">
      <c r="C4183"/>
    </row>
    <row r="4184" spans="3:3" x14ac:dyDescent="0.3">
      <c r="C4184"/>
    </row>
    <row r="4185" spans="3:3" x14ac:dyDescent="0.3">
      <c r="C4185"/>
    </row>
    <row r="4186" spans="3:3" x14ac:dyDescent="0.3">
      <c r="C4186"/>
    </row>
    <row r="4187" spans="3:3" x14ac:dyDescent="0.3">
      <c r="C4187"/>
    </row>
    <row r="4188" spans="3:3" x14ac:dyDescent="0.3">
      <c r="C4188"/>
    </row>
    <row r="4189" spans="3:3" x14ac:dyDescent="0.3">
      <c r="C4189"/>
    </row>
    <row r="4190" spans="3:3" x14ac:dyDescent="0.3">
      <c r="C4190"/>
    </row>
    <row r="4191" spans="3:3" x14ac:dyDescent="0.3">
      <c r="C4191"/>
    </row>
    <row r="4192" spans="3:3" x14ac:dyDescent="0.3">
      <c r="C4192"/>
    </row>
    <row r="4193" spans="3:3" x14ac:dyDescent="0.3">
      <c r="C4193"/>
    </row>
    <row r="4194" spans="3:3" x14ac:dyDescent="0.3">
      <c r="C4194"/>
    </row>
    <row r="4195" spans="3:3" x14ac:dyDescent="0.3">
      <c r="C4195"/>
    </row>
    <row r="4196" spans="3:3" x14ac:dyDescent="0.3">
      <c r="C4196"/>
    </row>
    <row r="4197" spans="3:3" x14ac:dyDescent="0.3">
      <c r="C4197"/>
    </row>
    <row r="4198" spans="3:3" x14ac:dyDescent="0.3">
      <c r="C4198"/>
    </row>
    <row r="4199" spans="3:3" x14ac:dyDescent="0.3">
      <c r="C4199"/>
    </row>
    <row r="4200" spans="3:3" x14ac:dyDescent="0.3">
      <c r="C4200"/>
    </row>
    <row r="4201" spans="3:3" x14ac:dyDescent="0.3">
      <c r="C4201"/>
    </row>
    <row r="4202" spans="3:3" x14ac:dyDescent="0.3">
      <c r="C4202"/>
    </row>
    <row r="4203" spans="3:3" x14ac:dyDescent="0.3">
      <c r="C4203"/>
    </row>
    <row r="4204" spans="3:3" x14ac:dyDescent="0.3">
      <c r="C4204"/>
    </row>
    <row r="4205" spans="3:3" x14ac:dyDescent="0.3">
      <c r="C4205"/>
    </row>
    <row r="4206" spans="3:3" x14ac:dyDescent="0.3">
      <c r="C4206"/>
    </row>
    <row r="4207" spans="3:3" x14ac:dyDescent="0.3">
      <c r="C4207"/>
    </row>
    <row r="4208" spans="3:3" x14ac:dyDescent="0.3">
      <c r="C4208"/>
    </row>
    <row r="4209" spans="3:3" x14ac:dyDescent="0.3">
      <c r="C4209"/>
    </row>
    <row r="4210" spans="3:3" x14ac:dyDescent="0.3">
      <c r="C4210"/>
    </row>
    <row r="4211" spans="3:3" x14ac:dyDescent="0.3">
      <c r="C4211"/>
    </row>
    <row r="4212" spans="3:3" x14ac:dyDescent="0.3">
      <c r="C4212"/>
    </row>
    <row r="4213" spans="3:3" x14ac:dyDescent="0.3">
      <c r="C4213"/>
    </row>
    <row r="4214" spans="3:3" x14ac:dyDescent="0.3">
      <c r="C4214"/>
    </row>
    <row r="4215" spans="3:3" x14ac:dyDescent="0.3">
      <c r="C4215"/>
    </row>
    <row r="4216" spans="3:3" x14ac:dyDescent="0.3">
      <c r="C4216"/>
    </row>
    <row r="4217" spans="3:3" x14ac:dyDescent="0.3">
      <c r="C4217"/>
    </row>
    <row r="4218" spans="3:3" x14ac:dyDescent="0.3">
      <c r="C4218"/>
    </row>
    <row r="4219" spans="3:3" x14ac:dyDescent="0.3">
      <c r="C4219"/>
    </row>
    <row r="4220" spans="3:3" x14ac:dyDescent="0.3">
      <c r="C4220"/>
    </row>
    <row r="4221" spans="3:3" x14ac:dyDescent="0.3">
      <c r="C4221"/>
    </row>
    <row r="4222" spans="3:3" x14ac:dyDescent="0.3">
      <c r="C4222"/>
    </row>
    <row r="4223" spans="3:3" x14ac:dyDescent="0.3">
      <c r="C4223"/>
    </row>
    <row r="4224" spans="3:3" x14ac:dyDescent="0.3">
      <c r="C4224"/>
    </row>
    <row r="4225" spans="3:3" x14ac:dyDescent="0.3">
      <c r="C4225"/>
    </row>
    <row r="4226" spans="3:3" x14ac:dyDescent="0.3">
      <c r="C4226"/>
    </row>
    <row r="4227" spans="3:3" x14ac:dyDescent="0.3">
      <c r="C4227"/>
    </row>
    <row r="4228" spans="3:3" x14ac:dyDescent="0.3">
      <c r="C4228"/>
    </row>
    <row r="4229" spans="3:3" x14ac:dyDescent="0.3">
      <c r="C4229"/>
    </row>
    <row r="4230" spans="3:3" x14ac:dyDescent="0.3">
      <c r="C4230"/>
    </row>
    <row r="4231" spans="3:3" x14ac:dyDescent="0.3">
      <c r="C4231"/>
    </row>
    <row r="4232" spans="3:3" x14ac:dyDescent="0.3">
      <c r="C4232"/>
    </row>
    <row r="4233" spans="3:3" x14ac:dyDescent="0.3">
      <c r="C4233"/>
    </row>
    <row r="4234" spans="3:3" x14ac:dyDescent="0.3">
      <c r="C4234"/>
    </row>
    <row r="4235" spans="3:3" x14ac:dyDescent="0.3">
      <c r="C4235"/>
    </row>
    <row r="4236" spans="3:3" x14ac:dyDescent="0.3">
      <c r="C4236"/>
    </row>
    <row r="4237" spans="3:3" x14ac:dyDescent="0.3">
      <c r="C4237"/>
    </row>
    <row r="4238" spans="3:3" x14ac:dyDescent="0.3">
      <c r="C4238"/>
    </row>
    <row r="4239" spans="3:3" x14ac:dyDescent="0.3">
      <c r="C4239"/>
    </row>
    <row r="4240" spans="3:3" x14ac:dyDescent="0.3">
      <c r="C4240"/>
    </row>
    <row r="4241" spans="3:3" x14ac:dyDescent="0.3">
      <c r="C4241"/>
    </row>
    <row r="4242" spans="3:3" x14ac:dyDescent="0.3">
      <c r="C4242"/>
    </row>
    <row r="4243" spans="3:3" x14ac:dyDescent="0.3">
      <c r="C4243"/>
    </row>
    <row r="4244" spans="3:3" x14ac:dyDescent="0.3">
      <c r="C4244"/>
    </row>
    <row r="4245" spans="3:3" x14ac:dyDescent="0.3">
      <c r="C4245"/>
    </row>
    <row r="4246" spans="3:3" x14ac:dyDescent="0.3">
      <c r="C4246"/>
    </row>
    <row r="4247" spans="3:3" x14ac:dyDescent="0.3">
      <c r="C4247"/>
    </row>
    <row r="4248" spans="3:3" x14ac:dyDescent="0.3">
      <c r="C4248"/>
    </row>
    <row r="4249" spans="3:3" x14ac:dyDescent="0.3">
      <c r="C4249"/>
    </row>
    <row r="4250" spans="3:3" x14ac:dyDescent="0.3">
      <c r="C4250"/>
    </row>
    <row r="4251" spans="3:3" x14ac:dyDescent="0.3">
      <c r="C4251"/>
    </row>
    <row r="4252" spans="3:3" x14ac:dyDescent="0.3">
      <c r="C4252"/>
    </row>
    <row r="4253" spans="3:3" x14ac:dyDescent="0.3">
      <c r="C4253"/>
    </row>
    <row r="4254" spans="3:3" x14ac:dyDescent="0.3">
      <c r="C4254"/>
    </row>
    <row r="4255" spans="3:3" x14ac:dyDescent="0.3">
      <c r="C4255"/>
    </row>
    <row r="4256" spans="3:3" x14ac:dyDescent="0.3">
      <c r="C4256"/>
    </row>
    <row r="4257" spans="3:3" x14ac:dyDescent="0.3">
      <c r="C4257"/>
    </row>
    <row r="4258" spans="3:3" x14ac:dyDescent="0.3">
      <c r="C4258"/>
    </row>
    <row r="4259" spans="3:3" x14ac:dyDescent="0.3">
      <c r="C4259"/>
    </row>
    <row r="4260" spans="3:3" x14ac:dyDescent="0.3">
      <c r="C4260"/>
    </row>
    <row r="4261" spans="3:3" x14ac:dyDescent="0.3">
      <c r="C4261"/>
    </row>
    <row r="4262" spans="3:3" x14ac:dyDescent="0.3">
      <c r="C4262"/>
    </row>
    <row r="4263" spans="3:3" x14ac:dyDescent="0.3">
      <c r="C4263"/>
    </row>
    <row r="4264" spans="3:3" x14ac:dyDescent="0.3">
      <c r="C4264"/>
    </row>
    <row r="4265" spans="3:3" x14ac:dyDescent="0.3">
      <c r="C4265"/>
    </row>
    <row r="4266" spans="3:3" x14ac:dyDescent="0.3">
      <c r="C4266"/>
    </row>
    <row r="4267" spans="3:3" x14ac:dyDescent="0.3">
      <c r="C4267"/>
    </row>
    <row r="4268" spans="3:3" x14ac:dyDescent="0.3">
      <c r="C4268"/>
    </row>
    <row r="4269" spans="3:3" x14ac:dyDescent="0.3">
      <c r="C4269"/>
    </row>
    <row r="4270" spans="3:3" x14ac:dyDescent="0.3">
      <c r="C4270"/>
    </row>
    <row r="4271" spans="3:3" x14ac:dyDescent="0.3">
      <c r="C4271"/>
    </row>
    <row r="4272" spans="3:3" x14ac:dyDescent="0.3">
      <c r="C4272"/>
    </row>
    <row r="4273" spans="3:3" x14ac:dyDescent="0.3">
      <c r="C4273"/>
    </row>
    <row r="4274" spans="3:3" x14ac:dyDescent="0.3">
      <c r="C4274"/>
    </row>
    <row r="4275" spans="3:3" x14ac:dyDescent="0.3">
      <c r="C4275"/>
    </row>
    <row r="4276" spans="3:3" x14ac:dyDescent="0.3">
      <c r="C4276"/>
    </row>
    <row r="4277" spans="3:3" x14ac:dyDescent="0.3">
      <c r="C4277"/>
    </row>
    <row r="4278" spans="3:3" x14ac:dyDescent="0.3">
      <c r="C4278"/>
    </row>
    <row r="4279" spans="3:3" x14ac:dyDescent="0.3">
      <c r="C4279"/>
    </row>
    <row r="4280" spans="3:3" x14ac:dyDescent="0.3">
      <c r="C4280"/>
    </row>
    <row r="4281" spans="3:3" x14ac:dyDescent="0.3">
      <c r="C4281"/>
    </row>
    <row r="4282" spans="3:3" x14ac:dyDescent="0.3">
      <c r="C4282"/>
    </row>
    <row r="4283" spans="3:3" x14ac:dyDescent="0.3">
      <c r="C4283"/>
    </row>
    <row r="4284" spans="3:3" x14ac:dyDescent="0.3">
      <c r="C4284"/>
    </row>
    <row r="4285" spans="3:3" x14ac:dyDescent="0.3">
      <c r="C4285"/>
    </row>
    <row r="4286" spans="3:3" x14ac:dyDescent="0.3">
      <c r="C4286"/>
    </row>
    <row r="4287" spans="3:3" x14ac:dyDescent="0.3">
      <c r="C4287"/>
    </row>
    <row r="4288" spans="3:3" x14ac:dyDescent="0.3">
      <c r="C4288"/>
    </row>
    <row r="4289" spans="3:3" x14ac:dyDescent="0.3">
      <c r="C4289"/>
    </row>
    <row r="4290" spans="3:3" x14ac:dyDescent="0.3">
      <c r="C4290"/>
    </row>
    <row r="4291" spans="3:3" x14ac:dyDescent="0.3">
      <c r="C4291"/>
    </row>
    <row r="4292" spans="3:3" x14ac:dyDescent="0.3">
      <c r="C4292"/>
    </row>
    <row r="4293" spans="3:3" x14ac:dyDescent="0.3">
      <c r="C4293"/>
    </row>
    <row r="4294" spans="3:3" x14ac:dyDescent="0.3">
      <c r="C4294"/>
    </row>
    <row r="4295" spans="3:3" x14ac:dyDescent="0.3">
      <c r="C4295"/>
    </row>
    <row r="4296" spans="3:3" x14ac:dyDescent="0.3">
      <c r="C4296"/>
    </row>
    <row r="4297" spans="3:3" x14ac:dyDescent="0.3">
      <c r="C4297"/>
    </row>
    <row r="4298" spans="3:3" x14ac:dyDescent="0.3">
      <c r="C4298"/>
    </row>
    <row r="4299" spans="3:3" x14ac:dyDescent="0.3">
      <c r="C4299"/>
    </row>
    <row r="4300" spans="3:3" x14ac:dyDescent="0.3">
      <c r="C4300"/>
    </row>
    <row r="4301" spans="3:3" x14ac:dyDescent="0.3">
      <c r="C4301"/>
    </row>
    <row r="4302" spans="3:3" x14ac:dyDescent="0.3">
      <c r="C4302"/>
    </row>
    <row r="4303" spans="3:3" x14ac:dyDescent="0.3">
      <c r="C4303"/>
    </row>
    <row r="4304" spans="3:3" x14ac:dyDescent="0.3">
      <c r="C4304"/>
    </row>
    <row r="4305" spans="3:3" x14ac:dyDescent="0.3">
      <c r="C4305"/>
    </row>
    <row r="4306" spans="3:3" x14ac:dyDescent="0.3">
      <c r="C4306"/>
    </row>
    <row r="4307" spans="3:3" x14ac:dyDescent="0.3">
      <c r="C4307"/>
    </row>
    <row r="4308" spans="3:3" x14ac:dyDescent="0.3">
      <c r="C4308"/>
    </row>
    <row r="4309" spans="3:3" x14ac:dyDescent="0.3">
      <c r="C4309"/>
    </row>
    <row r="4310" spans="3:3" x14ac:dyDescent="0.3">
      <c r="C4310"/>
    </row>
    <row r="4311" spans="3:3" x14ac:dyDescent="0.3">
      <c r="C4311"/>
    </row>
    <row r="4312" spans="3:3" x14ac:dyDescent="0.3">
      <c r="C4312"/>
    </row>
    <row r="4313" spans="3:3" x14ac:dyDescent="0.3">
      <c r="C4313"/>
    </row>
    <row r="4314" spans="3:3" x14ac:dyDescent="0.3">
      <c r="C4314"/>
    </row>
    <row r="4315" spans="3:3" x14ac:dyDescent="0.3">
      <c r="C4315"/>
    </row>
    <row r="4316" spans="3:3" x14ac:dyDescent="0.3">
      <c r="C4316"/>
    </row>
    <row r="4317" spans="3:3" x14ac:dyDescent="0.3">
      <c r="C4317"/>
    </row>
    <row r="4318" spans="3:3" x14ac:dyDescent="0.3">
      <c r="C4318"/>
    </row>
    <row r="4319" spans="3:3" x14ac:dyDescent="0.3">
      <c r="C4319"/>
    </row>
    <row r="4320" spans="3:3" x14ac:dyDescent="0.3">
      <c r="C4320"/>
    </row>
    <row r="4321" spans="3:3" x14ac:dyDescent="0.3">
      <c r="C4321"/>
    </row>
    <row r="4322" spans="3:3" x14ac:dyDescent="0.3">
      <c r="C4322"/>
    </row>
    <row r="4323" spans="3:3" x14ac:dyDescent="0.3">
      <c r="C4323"/>
    </row>
    <row r="4324" spans="3:3" x14ac:dyDescent="0.3">
      <c r="C4324"/>
    </row>
    <row r="4325" spans="3:3" x14ac:dyDescent="0.3">
      <c r="C4325"/>
    </row>
    <row r="4326" spans="3:3" x14ac:dyDescent="0.3">
      <c r="C4326"/>
    </row>
    <row r="4327" spans="3:3" x14ac:dyDescent="0.3">
      <c r="C4327"/>
    </row>
    <row r="4328" spans="3:3" x14ac:dyDescent="0.3">
      <c r="C4328"/>
    </row>
    <row r="4329" spans="3:3" x14ac:dyDescent="0.3">
      <c r="C4329"/>
    </row>
    <row r="4330" spans="3:3" x14ac:dyDescent="0.3">
      <c r="C4330"/>
    </row>
    <row r="4331" spans="3:3" x14ac:dyDescent="0.3">
      <c r="C4331"/>
    </row>
    <row r="4332" spans="3:3" x14ac:dyDescent="0.3">
      <c r="C4332"/>
    </row>
    <row r="4333" spans="3:3" x14ac:dyDescent="0.3">
      <c r="C4333"/>
    </row>
    <row r="4334" spans="3:3" x14ac:dyDescent="0.3">
      <c r="C4334"/>
    </row>
    <row r="4335" spans="3:3" x14ac:dyDescent="0.3">
      <c r="C4335"/>
    </row>
    <row r="4336" spans="3:3" x14ac:dyDescent="0.3">
      <c r="C4336"/>
    </row>
    <row r="4337" spans="3:3" x14ac:dyDescent="0.3">
      <c r="C4337"/>
    </row>
    <row r="4338" spans="3:3" x14ac:dyDescent="0.3">
      <c r="C4338"/>
    </row>
    <row r="4339" spans="3:3" x14ac:dyDescent="0.3">
      <c r="C4339"/>
    </row>
    <row r="4340" spans="3:3" x14ac:dyDescent="0.3">
      <c r="C4340"/>
    </row>
    <row r="4341" spans="3:3" x14ac:dyDescent="0.3">
      <c r="C4341"/>
    </row>
    <row r="4342" spans="3:3" x14ac:dyDescent="0.3">
      <c r="C4342"/>
    </row>
    <row r="4343" spans="3:3" x14ac:dyDescent="0.3">
      <c r="C4343"/>
    </row>
    <row r="4344" spans="3:3" x14ac:dyDescent="0.3">
      <c r="C4344"/>
    </row>
    <row r="4345" spans="3:3" x14ac:dyDescent="0.3">
      <c r="C4345"/>
    </row>
    <row r="4346" spans="3:3" x14ac:dyDescent="0.3">
      <c r="C4346"/>
    </row>
    <row r="4347" spans="3:3" x14ac:dyDescent="0.3">
      <c r="C4347"/>
    </row>
    <row r="4348" spans="3:3" x14ac:dyDescent="0.3">
      <c r="C4348"/>
    </row>
    <row r="4349" spans="3:3" x14ac:dyDescent="0.3">
      <c r="C4349"/>
    </row>
    <row r="4350" spans="3:3" x14ac:dyDescent="0.3">
      <c r="C4350"/>
    </row>
    <row r="4351" spans="3:3" x14ac:dyDescent="0.3">
      <c r="C4351"/>
    </row>
    <row r="4352" spans="3:3" x14ac:dyDescent="0.3">
      <c r="C4352"/>
    </row>
    <row r="4353" spans="3:3" x14ac:dyDescent="0.3">
      <c r="C4353"/>
    </row>
    <row r="4354" spans="3:3" x14ac:dyDescent="0.3">
      <c r="C4354"/>
    </row>
    <row r="4355" spans="3:3" x14ac:dyDescent="0.3">
      <c r="C4355"/>
    </row>
    <row r="4356" spans="3:3" x14ac:dyDescent="0.3">
      <c r="C4356"/>
    </row>
    <row r="4357" spans="3:3" x14ac:dyDescent="0.3">
      <c r="C4357"/>
    </row>
    <row r="4358" spans="3:3" x14ac:dyDescent="0.3">
      <c r="C4358"/>
    </row>
    <row r="4359" spans="3:3" x14ac:dyDescent="0.3">
      <c r="C4359"/>
    </row>
    <row r="4360" spans="3:3" x14ac:dyDescent="0.3">
      <c r="C4360"/>
    </row>
    <row r="4361" spans="3:3" x14ac:dyDescent="0.3">
      <c r="C4361"/>
    </row>
    <row r="4362" spans="3:3" x14ac:dyDescent="0.3">
      <c r="C4362"/>
    </row>
    <row r="4363" spans="3:3" x14ac:dyDescent="0.3">
      <c r="C4363"/>
    </row>
    <row r="4364" spans="3:3" x14ac:dyDescent="0.3">
      <c r="C4364"/>
    </row>
    <row r="4365" spans="3:3" x14ac:dyDescent="0.3">
      <c r="C4365"/>
    </row>
    <row r="4366" spans="3:3" x14ac:dyDescent="0.3">
      <c r="C4366"/>
    </row>
    <row r="4367" spans="3:3" x14ac:dyDescent="0.3">
      <c r="C4367"/>
    </row>
    <row r="4368" spans="3:3" x14ac:dyDescent="0.3">
      <c r="C4368"/>
    </row>
    <row r="4369" spans="3:3" x14ac:dyDescent="0.3">
      <c r="C4369"/>
    </row>
    <row r="4370" spans="3:3" x14ac:dyDescent="0.3">
      <c r="C4370"/>
    </row>
    <row r="4371" spans="3:3" x14ac:dyDescent="0.3">
      <c r="C4371"/>
    </row>
    <row r="4372" spans="3:3" x14ac:dyDescent="0.3">
      <c r="C4372"/>
    </row>
    <row r="4373" spans="3:3" x14ac:dyDescent="0.3">
      <c r="C4373"/>
    </row>
    <row r="4374" spans="3:3" x14ac:dyDescent="0.3">
      <c r="C4374"/>
    </row>
    <row r="4375" spans="3:3" x14ac:dyDescent="0.3">
      <c r="C4375"/>
    </row>
    <row r="4376" spans="3:3" x14ac:dyDescent="0.3">
      <c r="C4376"/>
    </row>
    <row r="4377" spans="3:3" x14ac:dyDescent="0.3">
      <c r="C4377"/>
    </row>
    <row r="4378" spans="3:3" x14ac:dyDescent="0.3">
      <c r="C4378"/>
    </row>
    <row r="4379" spans="3:3" x14ac:dyDescent="0.3">
      <c r="C4379"/>
    </row>
    <row r="4380" spans="3:3" x14ac:dyDescent="0.3">
      <c r="C4380"/>
    </row>
    <row r="4381" spans="3:3" x14ac:dyDescent="0.3">
      <c r="C4381"/>
    </row>
    <row r="4382" spans="3:3" x14ac:dyDescent="0.3">
      <c r="C4382"/>
    </row>
    <row r="4383" spans="3:3" x14ac:dyDescent="0.3">
      <c r="C4383"/>
    </row>
    <row r="4384" spans="3:3" x14ac:dyDescent="0.3">
      <c r="C4384"/>
    </row>
    <row r="4385" spans="3:3" x14ac:dyDescent="0.3">
      <c r="C4385"/>
    </row>
    <row r="4386" spans="3:3" x14ac:dyDescent="0.3">
      <c r="C4386"/>
    </row>
    <row r="4387" spans="3:3" x14ac:dyDescent="0.3">
      <c r="C4387"/>
    </row>
    <row r="4388" spans="3:3" x14ac:dyDescent="0.3">
      <c r="C4388"/>
    </row>
    <row r="4389" spans="3:3" x14ac:dyDescent="0.3">
      <c r="C4389"/>
    </row>
    <row r="4390" spans="3:3" x14ac:dyDescent="0.3">
      <c r="C4390"/>
    </row>
    <row r="4391" spans="3:3" x14ac:dyDescent="0.3">
      <c r="C4391"/>
    </row>
    <row r="4392" spans="3:3" x14ac:dyDescent="0.3">
      <c r="C4392"/>
    </row>
    <row r="4393" spans="3:3" x14ac:dyDescent="0.3">
      <c r="C4393"/>
    </row>
    <row r="4394" spans="3:3" x14ac:dyDescent="0.3">
      <c r="C4394"/>
    </row>
    <row r="4395" spans="3:3" x14ac:dyDescent="0.3">
      <c r="C4395"/>
    </row>
    <row r="4396" spans="3:3" x14ac:dyDescent="0.3">
      <c r="C4396"/>
    </row>
    <row r="4397" spans="3:3" x14ac:dyDescent="0.3">
      <c r="C4397"/>
    </row>
    <row r="4398" spans="3:3" x14ac:dyDescent="0.3">
      <c r="C4398"/>
    </row>
    <row r="4399" spans="3:3" x14ac:dyDescent="0.3">
      <c r="C4399"/>
    </row>
    <row r="4400" spans="3:3" x14ac:dyDescent="0.3">
      <c r="C4400"/>
    </row>
    <row r="4401" spans="3:3" x14ac:dyDescent="0.3">
      <c r="C4401"/>
    </row>
    <row r="4402" spans="3:3" x14ac:dyDescent="0.3">
      <c r="C4402"/>
    </row>
    <row r="4403" spans="3:3" x14ac:dyDescent="0.3">
      <c r="C4403"/>
    </row>
    <row r="4404" spans="3:3" x14ac:dyDescent="0.3">
      <c r="C4404"/>
    </row>
    <row r="4405" spans="3:3" x14ac:dyDescent="0.3">
      <c r="C4405"/>
    </row>
    <row r="4406" spans="3:3" x14ac:dyDescent="0.3">
      <c r="C4406"/>
    </row>
    <row r="4407" spans="3:3" x14ac:dyDescent="0.3">
      <c r="C4407"/>
    </row>
    <row r="4408" spans="3:3" x14ac:dyDescent="0.3">
      <c r="C4408"/>
    </row>
    <row r="4409" spans="3:3" x14ac:dyDescent="0.3">
      <c r="C4409"/>
    </row>
    <row r="4410" spans="3:3" x14ac:dyDescent="0.3">
      <c r="C4410"/>
    </row>
    <row r="4411" spans="3:3" x14ac:dyDescent="0.3">
      <c r="C4411"/>
    </row>
    <row r="4412" spans="3:3" x14ac:dyDescent="0.3">
      <c r="C4412"/>
    </row>
    <row r="4413" spans="3:3" x14ac:dyDescent="0.3">
      <c r="C4413"/>
    </row>
    <row r="4414" spans="3:3" x14ac:dyDescent="0.3">
      <c r="C4414"/>
    </row>
    <row r="4415" spans="3:3" x14ac:dyDescent="0.3">
      <c r="C4415"/>
    </row>
    <row r="4416" spans="3:3" x14ac:dyDescent="0.3">
      <c r="C4416"/>
    </row>
    <row r="4417" spans="3:3" x14ac:dyDescent="0.3">
      <c r="C4417"/>
    </row>
    <row r="4418" spans="3:3" x14ac:dyDescent="0.3">
      <c r="C4418"/>
    </row>
    <row r="4419" spans="3:3" x14ac:dyDescent="0.3">
      <c r="C4419"/>
    </row>
    <row r="4420" spans="3:3" x14ac:dyDescent="0.3">
      <c r="C4420"/>
    </row>
    <row r="4421" spans="3:3" x14ac:dyDescent="0.3">
      <c r="C4421"/>
    </row>
    <row r="4422" spans="3:3" x14ac:dyDescent="0.3">
      <c r="C4422"/>
    </row>
    <row r="4423" spans="3:3" x14ac:dyDescent="0.3">
      <c r="C4423"/>
    </row>
    <row r="4424" spans="3:3" x14ac:dyDescent="0.3">
      <c r="C4424"/>
    </row>
    <row r="4425" spans="3:3" x14ac:dyDescent="0.3">
      <c r="C4425"/>
    </row>
    <row r="4426" spans="3:3" x14ac:dyDescent="0.3">
      <c r="C4426"/>
    </row>
    <row r="4427" spans="3:3" x14ac:dyDescent="0.3">
      <c r="C4427"/>
    </row>
    <row r="4428" spans="3:3" x14ac:dyDescent="0.3">
      <c r="C4428"/>
    </row>
    <row r="4429" spans="3:3" x14ac:dyDescent="0.3">
      <c r="C4429"/>
    </row>
    <row r="4430" spans="3:3" x14ac:dyDescent="0.3">
      <c r="C4430"/>
    </row>
    <row r="4431" spans="3:3" x14ac:dyDescent="0.3">
      <c r="C4431"/>
    </row>
    <row r="4432" spans="3:3" x14ac:dyDescent="0.3">
      <c r="C4432"/>
    </row>
    <row r="4433" spans="3:3" x14ac:dyDescent="0.3">
      <c r="C4433"/>
    </row>
    <row r="4434" spans="3:3" x14ac:dyDescent="0.3">
      <c r="C4434"/>
    </row>
    <row r="4435" spans="3:3" x14ac:dyDescent="0.3">
      <c r="C4435"/>
    </row>
    <row r="4436" spans="3:3" x14ac:dyDescent="0.3">
      <c r="C4436"/>
    </row>
    <row r="4437" spans="3:3" x14ac:dyDescent="0.3">
      <c r="C4437"/>
    </row>
    <row r="4438" spans="3:3" x14ac:dyDescent="0.3">
      <c r="C4438"/>
    </row>
    <row r="4439" spans="3:3" x14ac:dyDescent="0.3">
      <c r="C4439"/>
    </row>
    <row r="4440" spans="3:3" x14ac:dyDescent="0.3">
      <c r="C4440"/>
    </row>
    <row r="4441" spans="3:3" x14ac:dyDescent="0.3">
      <c r="C4441"/>
    </row>
    <row r="4442" spans="3:3" x14ac:dyDescent="0.3">
      <c r="C4442"/>
    </row>
    <row r="4443" spans="3:3" x14ac:dyDescent="0.3">
      <c r="C4443"/>
    </row>
    <row r="4444" spans="3:3" x14ac:dyDescent="0.3">
      <c r="C4444"/>
    </row>
    <row r="4445" spans="3:3" x14ac:dyDescent="0.3">
      <c r="C4445"/>
    </row>
    <row r="4446" spans="3:3" x14ac:dyDescent="0.3">
      <c r="C4446"/>
    </row>
    <row r="4447" spans="3:3" x14ac:dyDescent="0.3">
      <c r="C4447"/>
    </row>
    <row r="4448" spans="3:3" x14ac:dyDescent="0.3">
      <c r="C4448"/>
    </row>
    <row r="4449" spans="3:3" x14ac:dyDescent="0.3">
      <c r="C4449"/>
    </row>
    <row r="4450" spans="3:3" x14ac:dyDescent="0.3">
      <c r="C4450"/>
    </row>
    <row r="4451" spans="3:3" x14ac:dyDescent="0.3">
      <c r="C4451"/>
    </row>
    <row r="4452" spans="3:3" x14ac:dyDescent="0.3">
      <c r="C4452"/>
    </row>
    <row r="4453" spans="3:3" x14ac:dyDescent="0.3">
      <c r="C4453"/>
    </row>
    <row r="4454" spans="3:3" x14ac:dyDescent="0.3">
      <c r="C4454"/>
    </row>
    <row r="4455" spans="3:3" x14ac:dyDescent="0.3">
      <c r="C4455"/>
    </row>
    <row r="4456" spans="3:3" x14ac:dyDescent="0.3">
      <c r="C4456"/>
    </row>
    <row r="4457" spans="3:3" x14ac:dyDescent="0.3">
      <c r="C4457"/>
    </row>
    <row r="4458" spans="3:3" x14ac:dyDescent="0.3">
      <c r="C4458"/>
    </row>
    <row r="4459" spans="3:3" x14ac:dyDescent="0.3">
      <c r="C4459"/>
    </row>
    <row r="4460" spans="3:3" x14ac:dyDescent="0.3">
      <c r="C4460"/>
    </row>
    <row r="4461" spans="3:3" x14ac:dyDescent="0.3">
      <c r="C4461"/>
    </row>
    <row r="4462" spans="3:3" x14ac:dyDescent="0.3">
      <c r="C4462"/>
    </row>
    <row r="4463" spans="3:3" x14ac:dyDescent="0.3">
      <c r="C4463"/>
    </row>
    <row r="4464" spans="3:3" x14ac:dyDescent="0.3">
      <c r="C4464"/>
    </row>
    <row r="4465" spans="3:3" x14ac:dyDescent="0.3">
      <c r="C4465"/>
    </row>
    <row r="4466" spans="3:3" x14ac:dyDescent="0.3">
      <c r="C4466"/>
    </row>
    <row r="4467" spans="3:3" x14ac:dyDescent="0.3">
      <c r="C4467"/>
    </row>
    <row r="4468" spans="3:3" x14ac:dyDescent="0.3">
      <c r="C4468"/>
    </row>
    <row r="4469" spans="3:3" x14ac:dyDescent="0.3">
      <c r="C4469"/>
    </row>
    <row r="4470" spans="3:3" x14ac:dyDescent="0.3">
      <c r="C4470"/>
    </row>
    <row r="4471" spans="3:3" x14ac:dyDescent="0.3">
      <c r="C4471"/>
    </row>
    <row r="4472" spans="3:3" x14ac:dyDescent="0.3">
      <c r="C4472"/>
    </row>
    <row r="4473" spans="3:3" x14ac:dyDescent="0.3">
      <c r="C4473"/>
    </row>
    <row r="4474" spans="3:3" x14ac:dyDescent="0.3">
      <c r="C4474"/>
    </row>
    <row r="4475" spans="3:3" x14ac:dyDescent="0.3">
      <c r="C4475"/>
    </row>
    <row r="4476" spans="3:3" x14ac:dyDescent="0.3">
      <c r="C4476"/>
    </row>
    <row r="4477" spans="3:3" x14ac:dyDescent="0.3">
      <c r="C4477"/>
    </row>
    <row r="4478" spans="3:3" x14ac:dyDescent="0.3">
      <c r="C4478"/>
    </row>
    <row r="4479" spans="3:3" x14ac:dyDescent="0.3">
      <c r="C4479"/>
    </row>
    <row r="4480" spans="3:3" x14ac:dyDescent="0.3">
      <c r="C4480"/>
    </row>
    <row r="4481" spans="3:3" x14ac:dyDescent="0.3">
      <c r="C4481"/>
    </row>
    <row r="4482" spans="3:3" x14ac:dyDescent="0.3">
      <c r="C4482"/>
    </row>
    <row r="4483" spans="3:3" x14ac:dyDescent="0.3">
      <c r="C4483"/>
    </row>
    <row r="4484" spans="3:3" x14ac:dyDescent="0.3">
      <c r="C4484"/>
    </row>
    <row r="4485" spans="3:3" x14ac:dyDescent="0.3">
      <c r="C4485"/>
    </row>
    <row r="4486" spans="3:3" x14ac:dyDescent="0.3">
      <c r="C4486"/>
    </row>
    <row r="4487" spans="3:3" x14ac:dyDescent="0.3">
      <c r="C4487"/>
    </row>
    <row r="4488" spans="3:3" x14ac:dyDescent="0.3">
      <c r="C4488"/>
    </row>
    <row r="4489" spans="3:3" x14ac:dyDescent="0.3">
      <c r="C4489"/>
    </row>
    <row r="4490" spans="3:3" x14ac:dyDescent="0.3">
      <c r="C4490"/>
    </row>
    <row r="4491" spans="3:3" x14ac:dyDescent="0.3">
      <c r="C4491"/>
    </row>
    <row r="4492" spans="3:3" x14ac:dyDescent="0.3">
      <c r="C4492"/>
    </row>
    <row r="4493" spans="3:3" x14ac:dyDescent="0.3">
      <c r="C4493"/>
    </row>
    <row r="4494" spans="3:3" x14ac:dyDescent="0.3">
      <c r="C4494"/>
    </row>
    <row r="4495" spans="3:3" x14ac:dyDescent="0.3">
      <c r="C4495"/>
    </row>
    <row r="4496" spans="3:3" x14ac:dyDescent="0.3">
      <c r="C4496"/>
    </row>
    <row r="4497" spans="3:3" x14ac:dyDescent="0.3">
      <c r="C4497"/>
    </row>
    <row r="4498" spans="3:3" x14ac:dyDescent="0.3">
      <c r="C4498"/>
    </row>
    <row r="4499" spans="3:3" x14ac:dyDescent="0.3">
      <c r="C4499"/>
    </row>
    <row r="4500" spans="3:3" x14ac:dyDescent="0.3">
      <c r="C4500"/>
    </row>
    <row r="4501" spans="3:3" x14ac:dyDescent="0.3">
      <c r="C4501"/>
    </row>
    <row r="4502" spans="3:3" x14ac:dyDescent="0.3">
      <c r="C4502"/>
    </row>
    <row r="4503" spans="3:3" x14ac:dyDescent="0.3">
      <c r="C4503"/>
    </row>
    <row r="4504" spans="3:3" x14ac:dyDescent="0.3">
      <c r="C4504"/>
    </row>
    <row r="4505" spans="3:3" x14ac:dyDescent="0.3">
      <c r="C4505"/>
    </row>
    <row r="4506" spans="3:3" x14ac:dyDescent="0.3">
      <c r="C4506"/>
    </row>
    <row r="4507" spans="3:3" x14ac:dyDescent="0.3">
      <c r="C4507"/>
    </row>
    <row r="4508" spans="3:3" x14ac:dyDescent="0.3">
      <c r="C4508"/>
    </row>
    <row r="4509" spans="3:3" x14ac:dyDescent="0.3">
      <c r="C4509"/>
    </row>
    <row r="4510" spans="3:3" x14ac:dyDescent="0.3">
      <c r="C4510"/>
    </row>
    <row r="4511" spans="3:3" x14ac:dyDescent="0.3">
      <c r="C4511"/>
    </row>
    <row r="4512" spans="3:3" x14ac:dyDescent="0.3">
      <c r="C4512"/>
    </row>
    <row r="4513" spans="3:3" x14ac:dyDescent="0.3">
      <c r="C4513"/>
    </row>
    <row r="4514" spans="3:3" x14ac:dyDescent="0.3">
      <c r="C4514"/>
    </row>
    <row r="4515" spans="3:3" x14ac:dyDescent="0.3">
      <c r="C4515"/>
    </row>
    <row r="4516" spans="3:3" x14ac:dyDescent="0.3">
      <c r="C4516"/>
    </row>
    <row r="4517" spans="3:3" x14ac:dyDescent="0.3">
      <c r="C4517"/>
    </row>
    <row r="4518" spans="3:3" x14ac:dyDescent="0.3">
      <c r="C4518"/>
    </row>
    <row r="4519" spans="3:3" x14ac:dyDescent="0.3">
      <c r="C4519"/>
    </row>
    <row r="4520" spans="3:3" x14ac:dyDescent="0.3">
      <c r="C4520"/>
    </row>
    <row r="4521" spans="3:3" x14ac:dyDescent="0.3">
      <c r="C4521"/>
    </row>
    <row r="4522" spans="3:3" x14ac:dyDescent="0.3">
      <c r="C4522"/>
    </row>
    <row r="4523" spans="3:3" x14ac:dyDescent="0.3">
      <c r="C4523"/>
    </row>
    <row r="4524" spans="3:3" x14ac:dyDescent="0.3">
      <c r="C4524"/>
    </row>
    <row r="4525" spans="3:3" x14ac:dyDescent="0.3">
      <c r="C4525"/>
    </row>
    <row r="4526" spans="3:3" x14ac:dyDescent="0.3">
      <c r="C4526"/>
    </row>
    <row r="4527" spans="3:3" x14ac:dyDescent="0.3">
      <c r="C4527"/>
    </row>
    <row r="4528" spans="3:3" x14ac:dyDescent="0.3">
      <c r="C4528"/>
    </row>
    <row r="4529" spans="3:3" x14ac:dyDescent="0.3">
      <c r="C4529"/>
    </row>
    <row r="4530" spans="3:3" x14ac:dyDescent="0.3">
      <c r="C4530"/>
    </row>
    <row r="4531" spans="3:3" x14ac:dyDescent="0.3">
      <c r="C4531"/>
    </row>
    <row r="4532" spans="3:3" x14ac:dyDescent="0.3">
      <c r="C4532"/>
    </row>
    <row r="4533" spans="3:3" x14ac:dyDescent="0.3">
      <c r="C4533"/>
    </row>
    <row r="4534" spans="3:3" x14ac:dyDescent="0.3">
      <c r="C4534"/>
    </row>
    <row r="4535" spans="3:3" x14ac:dyDescent="0.3">
      <c r="C4535"/>
    </row>
    <row r="4536" spans="3:3" x14ac:dyDescent="0.3">
      <c r="C4536"/>
    </row>
    <row r="4537" spans="3:3" x14ac:dyDescent="0.3">
      <c r="C4537"/>
    </row>
    <row r="4538" spans="3:3" x14ac:dyDescent="0.3">
      <c r="C4538"/>
    </row>
    <row r="4539" spans="3:3" x14ac:dyDescent="0.3">
      <c r="C4539"/>
    </row>
    <row r="4540" spans="3:3" x14ac:dyDescent="0.3">
      <c r="C4540"/>
    </row>
    <row r="4541" spans="3:3" x14ac:dyDescent="0.3">
      <c r="C4541"/>
    </row>
    <row r="4542" spans="3:3" x14ac:dyDescent="0.3">
      <c r="C4542"/>
    </row>
    <row r="4543" spans="3:3" x14ac:dyDescent="0.3">
      <c r="C4543"/>
    </row>
    <row r="4544" spans="3:3" x14ac:dyDescent="0.3">
      <c r="C4544"/>
    </row>
    <row r="4545" spans="3:3" x14ac:dyDescent="0.3">
      <c r="C4545"/>
    </row>
    <row r="4546" spans="3:3" x14ac:dyDescent="0.3">
      <c r="C4546"/>
    </row>
    <row r="4547" spans="3:3" x14ac:dyDescent="0.3">
      <c r="C4547"/>
    </row>
    <row r="4548" spans="3:3" x14ac:dyDescent="0.3">
      <c r="C4548"/>
    </row>
    <row r="4549" spans="3:3" x14ac:dyDescent="0.3">
      <c r="C4549"/>
    </row>
    <row r="4550" spans="3:3" x14ac:dyDescent="0.3">
      <c r="C4550"/>
    </row>
    <row r="4551" spans="3:3" x14ac:dyDescent="0.3">
      <c r="C4551"/>
    </row>
    <row r="4552" spans="3:3" x14ac:dyDescent="0.3">
      <c r="C4552"/>
    </row>
    <row r="4553" spans="3:3" x14ac:dyDescent="0.3">
      <c r="C4553"/>
    </row>
    <row r="4554" spans="3:3" x14ac:dyDescent="0.3">
      <c r="C4554"/>
    </row>
    <row r="4555" spans="3:3" x14ac:dyDescent="0.3">
      <c r="C4555"/>
    </row>
    <row r="4556" spans="3:3" x14ac:dyDescent="0.3">
      <c r="C4556"/>
    </row>
    <row r="4557" spans="3:3" x14ac:dyDescent="0.3">
      <c r="C4557"/>
    </row>
    <row r="4558" spans="3:3" x14ac:dyDescent="0.3">
      <c r="C4558"/>
    </row>
    <row r="4559" spans="3:3" x14ac:dyDescent="0.3">
      <c r="C4559"/>
    </row>
    <row r="4560" spans="3:3" x14ac:dyDescent="0.3">
      <c r="C4560"/>
    </row>
    <row r="4561" spans="3:3" x14ac:dyDescent="0.3">
      <c r="C4561"/>
    </row>
    <row r="4562" spans="3:3" x14ac:dyDescent="0.3">
      <c r="C4562"/>
    </row>
    <row r="4563" spans="3:3" x14ac:dyDescent="0.3">
      <c r="C4563"/>
    </row>
    <row r="4564" spans="3:3" x14ac:dyDescent="0.3">
      <c r="C4564"/>
    </row>
    <row r="4565" spans="3:3" x14ac:dyDescent="0.3">
      <c r="C4565"/>
    </row>
    <row r="4566" spans="3:3" x14ac:dyDescent="0.3">
      <c r="C4566"/>
    </row>
    <row r="4567" spans="3:3" x14ac:dyDescent="0.3">
      <c r="C4567"/>
    </row>
    <row r="4568" spans="3:3" x14ac:dyDescent="0.3">
      <c r="C4568"/>
    </row>
    <row r="4569" spans="3:3" x14ac:dyDescent="0.3">
      <c r="C4569"/>
    </row>
    <row r="4570" spans="3:3" x14ac:dyDescent="0.3">
      <c r="C4570"/>
    </row>
    <row r="4571" spans="3:3" x14ac:dyDescent="0.3">
      <c r="C4571"/>
    </row>
    <row r="4572" spans="3:3" x14ac:dyDescent="0.3">
      <c r="C4572"/>
    </row>
    <row r="4573" spans="3:3" x14ac:dyDescent="0.3">
      <c r="C4573"/>
    </row>
    <row r="4574" spans="3:3" x14ac:dyDescent="0.3">
      <c r="C4574"/>
    </row>
    <row r="4575" spans="3:3" x14ac:dyDescent="0.3">
      <c r="C4575"/>
    </row>
    <row r="4576" spans="3:3" x14ac:dyDescent="0.3">
      <c r="C4576"/>
    </row>
    <row r="4577" spans="3:3" x14ac:dyDescent="0.3">
      <c r="C4577"/>
    </row>
    <row r="4578" spans="3:3" x14ac:dyDescent="0.3">
      <c r="C4578"/>
    </row>
    <row r="4579" spans="3:3" x14ac:dyDescent="0.3">
      <c r="C4579"/>
    </row>
    <row r="4580" spans="3:3" x14ac:dyDescent="0.3">
      <c r="C4580"/>
    </row>
    <row r="4581" spans="3:3" x14ac:dyDescent="0.3">
      <c r="C4581"/>
    </row>
    <row r="4582" spans="3:3" x14ac:dyDescent="0.3">
      <c r="C4582"/>
    </row>
    <row r="4583" spans="3:3" x14ac:dyDescent="0.3">
      <c r="C4583"/>
    </row>
    <row r="4584" spans="3:3" x14ac:dyDescent="0.3">
      <c r="C4584"/>
    </row>
    <row r="4585" spans="3:3" x14ac:dyDescent="0.3">
      <c r="C4585"/>
    </row>
    <row r="4586" spans="3:3" x14ac:dyDescent="0.3">
      <c r="C4586"/>
    </row>
    <row r="4587" spans="3:3" x14ac:dyDescent="0.3">
      <c r="C4587"/>
    </row>
    <row r="4588" spans="3:3" x14ac:dyDescent="0.3">
      <c r="C4588"/>
    </row>
    <row r="4589" spans="3:3" x14ac:dyDescent="0.3">
      <c r="C4589"/>
    </row>
    <row r="4590" spans="3:3" x14ac:dyDescent="0.3">
      <c r="C4590"/>
    </row>
    <row r="4591" spans="3:3" x14ac:dyDescent="0.3">
      <c r="C4591"/>
    </row>
    <row r="4592" spans="3:3" x14ac:dyDescent="0.3">
      <c r="C4592"/>
    </row>
    <row r="4593" spans="3:3" x14ac:dyDescent="0.3">
      <c r="C4593"/>
    </row>
    <row r="4594" spans="3:3" x14ac:dyDescent="0.3">
      <c r="C4594"/>
    </row>
    <row r="4595" spans="3:3" x14ac:dyDescent="0.3">
      <c r="C4595"/>
    </row>
    <row r="4596" spans="3:3" x14ac:dyDescent="0.3">
      <c r="C4596"/>
    </row>
    <row r="4597" spans="3:3" x14ac:dyDescent="0.3">
      <c r="C4597"/>
    </row>
    <row r="4598" spans="3:3" x14ac:dyDescent="0.3">
      <c r="C4598"/>
    </row>
    <row r="4599" spans="3:3" x14ac:dyDescent="0.3">
      <c r="C4599"/>
    </row>
    <row r="4600" spans="3:3" x14ac:dyDescent="0.3">
      <c r="C4600"/>
    </row>
    <row r="4601" spans="3:3" x14ac:dyDescent="0.3">
      <c r="C4601"/>
    </row>
    <row r="4602" spans="3:3" x14ac:dyDescent="0.3">
      <c r="C4602"/>
    </row>
    <row r="4603" spans="3:3" x14ac:dyDescent="0.3">
      <c r="C4603"/>
    </row>
    <row r="4604" spans="3:3" x14ac:dyDescent="0.3">
      <c r="C4604"/>
    </row>
    <row r="4605" spans="3:3" x14ac:dyDescent="0.3">
      <c r="C4605"/>
    </row>
    <row r="4606" spans="3:3" x14ac:dyDescent="0.3">
      <c r="C4606"/>
    </row>
    <row r="4607" spans="3:3" x14ac:dyDescent="0.3">
      <c r="C4607"/>
    </row>
    <row r="4608" spans="3:3" x14ac:dyDescent="0.3">
      <c r="C4608"/>
    </row>
    <row r="4609" spans="3:3" x14ac:dyDescent="0.3">
      <c r="C4609"/>
    </row>
    <row r="4610" spans="3:3" x14ac:dyDescent="0.3">
      <c r="C4610"/>
    </row>
    <row r="4611" spans="3:3" x14ac:dyDescent="0.3">
      <c r="C4611"/>
    </row>
    <row r="4612" spans="3:3" x14ac:dyDescent="0.3">
      <c r="C4612"/>
    </row>
    <row r="4613" spans="3:3" x14ac:dyDescent="0.3">
      <c r="C4613"/>
    </row>
    <row r="4614" spans="3:3" x14ac:dyDescent="0.3">
      <c r="C4614"/>
    </row>
    <row r="4615" spans="3:3" x14ac:dyDescent="0.3">
      <c r="C4615"/>
    </row>
    <row r="4616" spans="3:3" x14ac:dyDescent="0.3">
      <c r="C4616"/>
    </row>
    <row r="4617" spans="3:3" x14ac:dyDescent="0.3">
      <c r="C4617"/>
    </row>
    <row r="4618" spans="3:3" x14ac:dyDescent="0.3">
      <c r="C4618"/>
    </row>
    <row r="4619" spans="3:3" x14ac:dyDescent="0.3">
      <c r="C4619"/>
    </row>
    <row r="4620" spans="3:3" x14ac:dyDescent="0.3">
      <c r="C4620"/>
    </row>
    <row r="4621" spans="3:3" x14ac:dyDescent="0.3">
      <c r="C4621"/>
    </row>
    <row r="4622" spans="3:3" x14ac:dyDescent="0.3">
      <c r="C4622"/>
    </row>
    <row r="4623" spans="3:3" x14ac:dyDescent="0.3">
      <c r="C4623"/>
    </row>
    <row r="4624" spans="3:3" x14ac:dyDescent="0.3">
      <c r="C4624"/>
    </row>
    <row r="4625" spans="3:3" x14ac:dyDescent="0.3">
      <c r="C4625"/>
    </row>
    <row r="4626" spans="3:3" x14ac:dyDescent="0.3">
      <c r="C4626"/>
    </row>
    <row r="4627" spans="3:3" x14ac:dyDescent="0.3">
      <c r="C4627"/>
    </row>
    <row r="4628" spans="3:3" x14ac:dyDescent="0.3">
      <c r="C4628"/>
    </row>
    <row r="4629" spans="3:3" x14ac:dyDescent="0.3">
      <c r="C4629"/>
    </row>
    <row r="4630" spans="3:3" x14ac:dyDescent="0.3">
      <c r="C4630"/>
    </row>
    <row r="4631" spans="3:3" x14ac:dyDescent="0.3">
      <c r="C4631"/>
    </row>
    <row r="4632" spans="3:3" x14ac:dyDescent="0.3">
      <c r="C4632"/>
    </row>
    <row r="4633" spans="3:3" x14ac:dyDescent="0.3">
      <c r="C4633"/>
    </row>
    <row r="4634" spans="3:3" x14ac:dyDescent="0.3">
      <c r="C4634"/>
    </row>
    <row r="4635" spans="3:3" x14ac:dyDescent="0.3">
      <c r="C4635"/>
    </row>
    <row r="4636" spans="3:3" x14ac:dyDescent="0.3">
      <c r="C4636"/>
    </row>
    <row r="4637" spans="3:3" x14ac:dyDescent="0.3">
      <c r="C4637"/>
    </row>
    <row r="4638" spans="3:3" x14ac:dyDescent="0.3">
      <c r="C4638"/>
    </row>
    <row r="4639" spans="3:3" x14ac:dyDescent="0.3">
      <c r="C4639"/>
    </row>
    <row r="4640" spans="3:3" x14ac:dyDescent="0.3">
      <c r="C4640"/>
    </row>
    <row r="4641" spans="3:3" x14ac:dyDescent="0.3">
      <c r="C4641"/>
    </row>
    <row r="4642" spans="3:3" x14ac:dyDescent="0.3">
      <c r="C4642"/>
    </row>
    <row r="4643" spans="3:3" x14ac:dyDescent="0.3">
      <c r="C4643"/>
    </row>
    <row r="4644" spans="3:3" x14ac:dyDescent="0.3">
      <c r="C4644"/>
    </row>
    <row r="4645" spans="3:3" x14ac:dyDescent="0.3">
      <c r="C4645"/>
    </row>
    <row r="4646" spans="3:3" x14ac:dyDescent="0.3">
      <c r="C4646"/>
    </row>
    <row r="4647" spans="3:3" x14ac:dyDescent="0.3">
      <c r="C4647"/>
    </row>
    <row r="4648" spans="3:3" x14ac:dyDescent="0.3">
      <c r="C4648"/>
    </row>
    <row r="4649" spans="3:3" x14ac:dyDescent="0.3">
      <c r="C4649"/>
    </row>
    <row r="4650" spans="3:3" x14ac:dyDescent="0.3">
      <c r="C4650"/>
    </row>
    <row r="4651" spans="3:3" x14ac:dyDescent="0.3">
      <c r="C4651"/>
    </row>
    <row r="4652" spans="3:3" x14ac:dyDescent="0.3">
      <c r="C4652"/>
    </row>
    <row r="4653" spans="3:3" x14ac:dyDescent="0.3">
      <c r="C4653"/>
    </row>
    <row r="4654" spans="3:3" x14ac:dyDescent="0.3">
      <c r="C4654"/>
    </row>
    <row r="4655" spans="3:3" x14ac:dyDescent="0.3">
      <c r="C4655"/>
    </row>
    <row r="4656" spans="3:3" x14ac:dyDescent="0.3">
      <c r="C4656"/>
    </row>
    <row r="4657" spans="3:3" x14ac:dyDescent="0.3">
      <c r="C4657"/>
    </row>
    <row r="4658" spans="3:3" x14ac:dyDescent="0.3">
      <c r="C4658"/>
    </row>
    <row r="4659" spans="3:3" x14ac:dyDescent="0.3">
      <c r="C4659"/>
    </row>
    <row r="4660" spans="3:3" x14ac:dyDescent="0.3">
      <c r="C4660"/>
    </row>
    <row r="4661" spans="3:3" x14ac:dyDescent="0.3">
      <c r="C4661"/>
    </row>
    <row r="4662" spans="3:3" x14ac:dyDescent="0.3">
      <c r="C4662"/>
    </row>
    <row r="4663" spans="3:3" x14ac:dyDescent="0.3">
      <c r="C4663"/>
    </row>
    <row r="4664" spans="3:3" x14ac:dyDescent="0.3">
      <c r="C4664"/>
    </row>
    <row r="4665" spans="3:3" x14ac:dyDescent="0.3">
      <c r="C4665"/>
    </row>
    <row r="4666" spans="3:3" x14ac:dyDescent="0.3">
      <c r="C4666"/>
    </row>
    <row r="4667" spans="3:3" x14ac:dyDescent="0.3">
      <c r="C4667"/>
    </row>
    <row r="4668" spans="3:3" x14ac:dyDescent="0.3">
      <c r="C4668"/>
    </row>
    <row r="4669" spans="3:3" x14ac:dyDescent="0.3">
      <c r="C4669"/>
    </row>
    <row r="4670" spans="3:3" x14ac:dyDescent="0.3">
      <c r="C4670"/>
    </row>
    <row r="4671" spans="3:3" x14ac:dyDescent="0.3">
      <c r="C4671"/>
    </row>
    <row r="4672" spans="3:3" x14ac:dyDescent="0.3">
      <c r="C4672"/>
    </row>
    <row r="4673" spans="3:3" x14ac:dyDescent="0.3">
      <c r="C4673"/>
    </row>
    <row r="4674" spans="3:3" x14ac:dyDescent="0.3">
      <c r="C4674"/>
    </row>
    <row r="4675" spans="3:3" x14ac:dyDescent="0.3">
      <c r="C4675"/>
    </row>
    <row r="4676" spans="3:3" x14ac:dyDescent="0.3">
      <c r="C4676"/>
    </row>
    <row r="4677" spans="3:3" x14ac:dyDescent="0.3">
      <c r="C4677"/>
    </row>
    <row r="4678" spans="3:3" x14ac:dyDescent="0.3">
      <c r="C4678"/>
    </row>
    <row r="4679" spans="3:3" x14ac:dyDescent="0.3">
      <c r="C4679"/>
    </row>
    <row r="4680" spans="3:3" x14ac:dyDescent="0.3">
      <c r="C4680"/>
    </row>
    <row r="4681" spans="3:3" x14ac:dyDescent="0.3">
      <c r="C4681"/>
    </row>
    <row r="4682" spans="3:3" x14ac:dyDescent="0.3">
      <c r="C4682"/>
    </row>
    <row r="4683" spans="3:3" x14ac:dyDescent="0.3">
      <c r="C4683"/>
    </row>
    <row r="4684" spans="3:3" x14ac:dyDescent="0.3">
      <c r="C4684"/>
    </row>
    <row r="4685" spans="3:3" x14ac:dyDescent="0.3">
      <c r="C4685"/>
    </row>
    <row r="4686" spans="3:3" x14ac:dyDescent="0.3">
      <c r="C4686"/>
    </row>
    <row r="4687" spans="3:3" x14ac:dyDescent="0.3">
      <c r="C4687"/>
    </row>
    <row r="4688" spans="3:3" x14ac:dyDescent="0.3">
      <c r="C4688"/>
    </row>
    <row r="4689" spans="3:3" x14ac:dyDescent="0.3">
      <c r="C4689"/>
    </row>
    <row r="4690" spans="3:3" x14ac:dyDescent="0.3">
      <c r="C4690"/>
    </row>
    <row r="4691" spans="3:3" x14ac:dyDescent="0.3">
      <c r="C4691"/>
    </row>
    <row r="4692" spans="3:3" x14ac:dyDescent="0.3">
      <c r="C4692"/>
    </row>
    <row r="4693" spans="3:3" x14ac:dyDescent="0.3">
      <c r="C4693"/>
    </row>
    <row r="4694" spans="3:3" x14ac:dyDescent="0.3">
      <c r="C4694"/>
    </row>
    <row r="4695" spans="3:3" x14ac:dyDescent="0.3">
      <c r="C4695"/>
    </row>
    <row r="4696" spans="3:3" x14ac:dyDescent="0.3">
      <c r="C4696"/>
    </row>
    <row r="4697" spans="3:3" x14ac:dyDescent="0.3">
      <c r="C4697"/>
    </row>
    <row r="4698" spans="3:3" x14ac:dyDescent="0.3">
      <c r="C4698"/>
    </row>
    <row r="4699" spans="3:3" x14ac:dyDescent="0.3">
      <c r="C4699"/>
    </row>
    <row r="4700" spans="3:3" x14ac:dyDescent="0.3">
      <c r="C4700"/>
    </row>
    <row r="4701" spans="3:3" x14ac:dyDescent="0.3">
      <c r="C4701"/>
    </row>
    <row r="4702" spans="3:3" x14ac:dyDescent="0.3">
      <c r="C4702"/>
    </row>
    <row r="4703" spans="3:3" x14ac:dyDescent="0.3">
      <c r="C4703"/>
    </row>
    <row r="4704" spans="3:3" x14ac:dyDescent="0.3">
      <c r="C4704"/>
    </row>
    <row r="4705" spans="3:3" x14ac:dyDescent="0.3">
      <c r="C4705"/>
    </row>
    <row r="4706" spans="3:3" x14ac:dyDescent="0.3">
      <c r="C4706"/>
    </row>
    <row r="4707" spans="3:3" x14ac:dyDescent="0.3">
      <c r="C4707"/>
    </row>
    <row r="4708" spans="3:3" x14ac:dyDescent="0.3">
      <c r="C4708"/>
    </row>
    <row r="4709" spans="3:3" x14ac:dyDescent="0.3">
      <c r="C4709"/>
    </row>
    <row r="4710" spans="3:3" x14ac:dyDescent="0.3">
      <c r="C4710"/>
    </row>
    <row r="4711" spans="3:3" x14ac:dyDescent="0.3">
      <c r="C4711"/>
    </row>
    <row r="4712" spans="3:3" x14ac:dyDescent="0.3">
      <c r="C4712"/>
    </row>
    <row r="4713" spans="3:3" x14ac:dyDescent="0.3">
      <c r="C4713"/>
    </row>
    <row r="4714" spans="3:3" x14ac:dyDescent="0.3">
      <c r="C4714"/>
    </row>
    <row r="4715" spans="3:3" x14ac:dyDescent="0.3">
      <c r="C4715"/>
    </row>
    <row r="4716" spans="3:3" x14ac:dyDescent="0.3">
      <c r="C4716"/>
    </row>
    <row r="4717" spans="3:3" x14ac:dyDescent="0.3">
      <c r="C4717"/>
    </row>
    <row r="4718" spans="3:3" x14ac:dyDescent="0.3">
      <c r="C4718"/>
    </row>
    <row r="4719" spans="3:3" x14ac:dyDescent="0.3">
      <c r="C4719"/>
    </row>
    <row r="4720" spans="3:3" x14ac:dyDescent="0.3">
      <c r="C4720"/>
    </row>
    <row r="4721" spans="3:3" x14ac:dyDescent="0.3">
      <c r="C4721"/>
    </row>
    <row r="4722" spans="3:3" x14ac:dyDescent="0.3">
      <c r="C4722"/>
    </row>
    <row r="4723" spans="3:3" x14ac:dyDescent="0.3">
      <c r="C4723"/>
    </row>
    <row r="4724" spans="3:3" x14ac:dyDescent="0.3">
      <c r="C4724"/>
    </row>
    <row r="4725" spans="3:3" x14ac:dyDescent="0.3">
      <c r="C4725"/>
    </row>
    <row r="4726" spans="3:3" x14ac:dyDescent="0.3">
      <c r="C4726"/>
    </row>
    <row r="4727" spans="3:3" x14ac:dyDescent="0.3">
      <c r="C4727"/>
    </row>
    <row r="4728" spans="3:3" x14ac:dyDescent="0.3">
      <c r="C4728"/>
    </row>
    <row r="4729" spans="3:3" x14ac:dyDescent="0.3">
      <c r="C4729"/>
    </row>
    <row r="4730" spans="3:3" x14ac:dyDescent="0.3">
      <c r="C4730"/>
    </row>
    <row r="4731" spans="3:3" x14ac:dyDescent="0.3">
      <c r="C4731"/>
    </row>
    <row r="4732" spans="3:3" x14ac:dyDescent="0.3">
      <c r="C4732"/>
    </row>
    <row r="4733" spans="3:3" x14ac:dyDescent="0.3">
      <c r="C4733"/>
    </row>
    <row r="4734" spans="3:3" x14ac:dyDescent="0.3">
      <c r="C4734"/>
    </row>
    <row r="4735" spans="3:3" x14ac:dyDescent="0.3">
      <c r="C4735"/>
    </row>
    <row r="4736" spans="3:3" x14ac:dyDescent="0.3">
      <c r="C4736"/>
    </row>
    <row r="4737" spans="3:3" x14ac:dyDescent="0.3">
      <c r="C4737"/>
    </row>
    <row r="4738" spans="3:3" x14ac:dyDescent="0.3">
      <c r="C4738"/>
    </row>
    <row r="4739" spans="3:3" x14ac:dyDescent="0.3">
      <c r="C4739"/>
    </row>
    <row r="4740" spans="3:3" x14ac:dyDescent="0.3">
      <c r="C4740"/>
    </row>
    <row r="4741" spans="3:3" x14ac:dyDescent="0.3">
      <c r="C4741"/>
    </row>
    <row r="4742" spans="3:3" x14ac:dyDescent="0.3">
      <c r="C4742"/>
    </row>
    <row r="4743" spans="3:3" x14ac:dyDescent="0.3">
      <c r="C4743"/>
    </row>
    <row r="4744" spans="3:3" x14ac:dyDescent="0.3">
      <c r="C4744"/>
    </row>
    <row r="4745" spans="3:3" x14ac:dyDescent="0.3">
      <c r="C4745"/>
    </row>
    <row r="4746" spans="3:3" x14ac:dyDescent="0.3">
      <c r="C4746"/>
    </row>
    <row r="4747" spans="3:3" x14ac:dyDescent="0.3">
      <c r="C4747"/>
    </row>
    <row r="4748" spans="3:3" x14ac:dyDescent="0.3">
      <c r="C4748"/>
    </row>
    <row r="4749" spans="3:3" x14ac:dyDescent="0.3">
      <c r="C4749"/>
    </row>
    <row r="4750" spans="3:3" x14ac:dyDescent="0.3">
      <c r="C4750"/>
    </row>
    <row r="4751" spans="3:3" x14ac:dyDescent="0.3">
      <c r="C4751"/>
    </row>
    <row r="4752" spans="3:3" x14ac:dyDescent="0.3">
      <c r="C4752"/>
    </row>
    <row r="4753" spans="3:3" x14ac:dyDescent="0.3">
      <c r="C4753"/>
    </row>
    <row r="4754" spans="3:3" x14ac:dyDescent="0.3">
      <c r="C4754"/>
    </row>
    <row r="4755" spans="3:3" x14ac:dyDescent="0.3">
      <c r="C4755"/>
    </row>
    <row r="4756" spans="3:3" x14ac:dyDescent="0.3">
      <c r="C4756"/>
    </row>
    <row r="4757" spans="3:3" x14ac:dyDescent="0.3">
      <c r="C4757"/>
    </row>
    <row r="4758" spans="3:3" x14ac:dyDescent="0.3">
      <c r="C4758"/>
    </row>
    <row r="4759" spans="3:3" x14ac:dyDescent="0.3">
      <c r="C4759"/>
    </row>
    <row r="4760" spans="3:3" x14ac:dyDescent="0.3">
      <c r="C4760"/>
    </row>
    <row r="4761" spans="3:3" x14ac:dyDescent="0.3">
      <c r="C4761"/>
    </row>
    <row r="4762" spans="3:3" x14ac:dyDescent="0.3">
      <c r="C4762"/>
    </row>
    <row r="4763" spans="3:3" x14ac:dyDescent="0.3">
      <c r="C4763"/>
    </row>
    <row r="4764" spans="3:3" x14ac:dyDescent="0.3">
      <c r="C4764"/>
    </row>
    <row r="4765" spans="3:3" x14ac:dyDescent="0.3">
      <c r="C4765"/>
    </row>
    <row r="4766" spans="3:3" x14ac:dyDescent="0.3">
      <c r="C4766"/>
    </row>
    <row r="4767" spans="3:3" x14ac:dyDescent="0.3">
      <c r="C4767"/>
    </row>
    <row r="4768" spans="3:3" x14ac:dyDescent="0.3">
      <c r="C4768"/>
    </row>
    <row r="4769" spans="3:3" x14ac:dyDescent="0.3">
      <c r="C4769"/>
    </row>
    <row r="4770" spans="3:3" x14ac:dyDescent="0.3">
      <c r="C4770"/>
    </row>
    <row r="4771" spans="3:3" x14ac:dyDescent="0.3">
      <c r="C4771"/>
    </row>
    <row r="4772" spans="3:3" x14ac:dyDescent="0.3">
      <c r="C4772"/>
    </row>
    <row r="4773" spans="3:3" x14ac:dyDescent="0.3">
      <c r="C4773"/>
    </row>
    <row r="4774" spans="3:3" x14ac:dyDescent="0.3">
      <c r="C4774"/>
    </row>
    <row r="4775" spans="3:3" x14ac:dyDescent="0.3">
      <c r="C4775"/>
    </row>
    <row r="4776" spans="3:3" x14ac:dyDescent="0.3">
      <c r="C4776"/>
    </row>
    <row r="4777" spans="3:3" x14ac:dyDescent="0.3">
      <c r="C4777"/>
    </row>
    <row r="4778" spans="3:3" x14ac:dyDescent="0.3">
      <c r="C4778"/>
    </row>
    <row r="4779" spans="3:3" x14ac:dyDescent="0.3">
      <c r="C4779"/>
    </row>
    <row r="4780" spans="3:3" x14ac:dyDescent="0.3">
      <c r="C4780"/>
    </row>
    <row r="4781" spans="3:3" x14ac:dyDescent="0.3">
      <c r="C4781"/>
    </row>
    <row r="4782" spans="3:3" x14ac:dyDescent="0.3">
      <c r="C4782"/>
    </row>
    <row r="4783" spans="3:3" x14ac:dyDescent="0.3">
      <c r="C4783"/>
    </row>
    <row r="4784" spans="3:3" x14ac:dyDescent="0.3">
      <c r="C4784"/>
    </row>
    <row r="4785" spans="3:3" x14ac:dyDescent="0.3">
      <c r="C4785"/>
    </row>
    <row r="4786" spans="3:3" x14ac:dyDescent="0.3">
      <c r="C4786"/>
    </row>
    <row r="4787" spans="3:3" x14ac:dyDescent="0.3">
      <c r="C4787"/>
    </row>
    <row r="4788" spans="3:3" x14ac:dyDescent="0.3">
      <c r="C4788"/>
    </row>
    <row r="4789" spans="3:3" x14ac:dyDescent="0.3">
      <c r="C4789"/>
    </row>
    <row r="4790" spans="3:3" x14ac:dyDescent="0.3">
      <c r="C4790"/>
    </row>
    <row r="4791" spans="3:3" x14ac:dyDescent="0.3">
      <c r="C4791"/>
    </row>
    <row r="4792" spans="3:3" x14ac:dyDescent="0.3">
      <c r="C4792"/>
    </row>
    <row r="4793" spans="3:3" x14ac:dyDescent="0.3">
      <c r="C4793"/>
    </row>
    <row r="4794" spans="3:3" x14ac:dyDescent="0.3">
      <c r="C4794"/>
    </row>
    <row r="4795" spans="3:3" x14ac:dyDescent="0.3">
      <c r="C4795"/>
    </row>
    <row r="4796" spans="3:3" x14ac:dyDescent="0.3">
      <c r="C4796"/>
    </row>
    <row r="4797" spans="3:3" x14ac:dyDescent="0.3">
      <c r="C4797"/>
    </row>
    <row r="4798" spans="3:3" x14ac:dyDescent="0.3">
      <c r="C4798"/>
    </row>
    <row r="4799" spans="3:3" x14ac:dyDescent="0.3">
      <c r="C4799"/>
    </row>
    <row r="4800" spans="3:3" x14ac:dyDescent="0.3">
      <c r="C4800"/>
    </row>
    <row r="4801" spans="3:3" x14ac:dyDescent="0.3">
      <c r="C4801"/>
    </row>
    <row r="4802" spans="3:3" x14ac:dyDescent="0.3">
      <c r="C4802"/>
    </row>
    <row r="4803" spans="3:3" x14ac:dyDescent="0.3">
      <c r="C4803"/>
    </row>
    <row r="4804" spans="3:3" x14ac:dyDescent="0.3">
      <c r="C4804"/>
    </row>
    <row r="4805" spans="3:3" x14ac:dyDescent="0.3">
      <c r="C4805"/>
    </row>
    <row r="4806" spans="3:3" x14ac:dyDescent="0.3">
      <c r="C4806"/>
    </row>
    <row r="4807" spans="3:3" x14ac:dyDescent="0.3">
      <c r="C4807"/>
    </row>
    <row r="4808" spans="3:3" x14ac:dyDescent="0.3">
      <c r="C4808"/>
    </row>
    <row r="4809" spans="3:3" x14ac:dyDescent="0.3">
      <c r="C4809"/>
    </row>
    <row r="4810" spans="3:3" x14ac:dyDescent="0.3">
      <c r="C4810"/>
    </row>
    <row r="4811" spans="3:3" x14ac:dyDescent="0.3">
      <c r="C4811"/>
    </row>
    <row r="4812" spans="3:3" x14ac:dyDescent="0.3">
      <c r="C4812"/>
    </row>
    <row r="4813" spans="3:3" x14ac:dyDescent="0.3">
      <c r="C4813"/>
    </row>
    <row r="4814" spans="3:3" x14ac:dyDescent="0.3">
      <c r="C4814"/>
    </row>
    <row r="4815" spans="3:3" x14ac:dyDescent="0.3">
      <c r="C4815"/>
    </row>
    <row r="4816" spans="3:3" x14ac:dyDescent="0.3">
      <c r="C4816"/>
    </row>
    <row r="4817" spans="3:3" x14ac:dyDescent="0.3">
      <c r="C4817"/>
    </row>
    <row r="4818" spans="3:3" x14ac:dyDescent="0.3">
      <c r="C4818"/>
    </row>
    <row r="4819" spans="3:3" x14ac:dyDescent="0.3">
      <c r="C4819"/>
    </row>
    <row r="4820" spans="3:3" x14ac:dyDescent="0.3">
      <c r="C4820"/>
    </row>
    <row r="4821" spans="3:3" x14ac:dyDescent="0.3">
      <c r="C4821"/>
    </row>
    <row r="4822" spans="3:3" x14ac:dyDescent="0.3">
      <c r="C4822"/>
    </row>
    <row r="4823" spans="3:3" x14ac:dyDescent="0.3">
      <c r="C4823"/>
    </row>
    <row r="4824" spans="3:3" x14ac:dyDescent="0.3">
      <c r="C4824"/>
    </row>
    <row r="4825" spans="3:3" x14ac:dyDescent="0.3">
      <c r="C4825"/>
    </row>
    <row r="4826" spans="3:3" x14ac:dyDescent="0.3">
      <c r="C4826"/>
    </row>
    <row r="4827" spans="3:3" x14ac:dyDescent="0.3">
      <c r="C4827"/>
    </row>
    <row r="4828" spans="3:3" x14ac:dyDescent="0.3">
      <c r="C4828"/>
    </row>
    <row r="4829" spans="3:3" x14ac:dyDescent="0.3">
      <c r="C4829"/>
    </row>
    <row r="4830" spans="3:3" x14ac:dyDescent="0.3">
      <c r="C4830"/>
    </row>
    <row r="4831" spans="3:3" x14ac:dyDescent="0.3">
      <c r="C4831"/>
    </row>
    <row r="4832" spans="3:3" x14ac:dyDescent="0.3">
      <c r="C4832"/>
    </row>
    <row r="4833" spans="3:3" x14ac:dyDescent="0.3">
      <c r="C4833"/>
    </row>
    <row r="4834" spans="3:3" x14ac:dyDescent="0.3">
      <c r="C4834"/>
    </row>
    <row r="4835" spans="3:3" x14ac:dyDescent="0.3">
      <c r="C4835"/>
    </row>
    <row r="4836" spans="3:3" x14ac:dyDescent="0.3">
      <c r="C4836"/>
    </row>
    <row r="4837" spans="3:3" x14ac:dyDescent="0.3">
      <c r="C4837"/>
    </row>
    <row r="4838" spans="3:3" x14ac:dyDescent="0.3">
      <c r="C4838"/>
    </row>
    <row r="4839" spans="3:3" x14ac:dyDescent="0.3">
      <c r="C4839"/>
    </row>
    <row r="4840" spans="3:3" x14ac:dyDescent="0.3">
      <c r="C4840"/>
    </row>
    <row r="4841" spans="3:3" x14ac:dyDescent="0.3">
      <c r="C4841"/>
    </row>
    <row r="4842" spans="3:3" x14ac:dyDescent="0.3">
      <c r="C4842"/>
    </row>
    <row r="4843" spans="3:3" x14ac:dyDescent="0.3">
      <c r="C4843"/>
    </row>
    <row r="4844" spans="3:3" x14ac:dyDescent="0.3">
      <c r="C4844"/>
    </row>
    <row r="4845" spans="3:3" x14ac:dyDescent="0.3">
      <c r="C4845"/>
    </row>
    <row r="4846" spans="3:3" x14ac:dyDescent="0.3">
      <c r="C4846"/>
    </row>
    <row r="4847" spans="3:3" x14ac:dyDescent="0.3">
      <c r="C4847"/>
    </row>
    <row r="4848" spans="3:3" x14ac:dyDescent="0.3">
      <c r="C4848"/>
    </row>
    <row r="4849" spans="3:3" x14ac:dyDescent="0.3">
      <c r="C4849"/>
    </row>
    <row r="4850" spans="3:3" x14ac:dyDescent="0.3">
      <c r="C4850"/>
    </row>
    <row r="4851" spans="3:3" x14ac:dyDescent="0.3">
      <c r="C4851"/>
    </row>
    <row r="4852" spans="3:3" x14ac:dyDescent="0.3">
      <c r="C4852"/>
    </row>
    <row r="4853" spans="3:3" x14ac:dyDescent="0.3">
      <c r="C4853"/>
    </row>
    <row r="4854" spans="3:3" x14ac:dyDescent="0.3">
      <c r="C4854"/>
    </row>
    <row r="4855" spans="3:3" x14ac:dyDescent="0.3">
      <c r="C4855"/>
    </row>
    <row r="4856" spans="3:3" x14ac:dyDescent="0.3">
      <c r="C4856"/>
    </row>
    <row r="4857" spans="3:3" x14ac:dyDescent="0.3">
      <c r="C4857"/>
    </row>
    <row r="4858" spans="3:3" x14ac:dyDescent="0.3">
      <c r="C4858"/>
    </row>
    <row r="4859" spans="3:3" x14ac:dyDescent="0.3">
      <c r="C4859"/>
    </row>
    <row r="4860" spans="3:3" x14ac:dyDescent="0.3">
      <c r="C4860"/>
    </row>
    <row r="4861" spans="3:3" x14ac:dyDescent="0.3">
      <c r="C4861"/>
    </row>
    <row r="4862" spans="3:3" x14ac:dyDescent="0.3">
      <c r="C4862"/>
    </row>
    <row r="4863" spans="3:3" x14ac:dyDescent="0.3">
      <c r="C4863"/>
    </row>
    <row r="4864" spans="3:3" x14ac:dyDescent="0.3">
      <c r="C4864"/>
    </row>
    <row r="4865" spans="3:3" x14ac:dyDescent="0.3">
      <c r="C4865"/>
    </row>
    <row r="4866" spans="3:3" x14ac:dyDescent="0.3">
      <c r="C4866"/>
    </row>
    <row r="4867" spans="3:3" x14ac:dyDescent="0.3">
      <c r="C4867"/>
    </row>
    <row r="4868" spans="3:3" x14ac:dyDescent="0.3">
      <c r="C4868"/>
    </row>
    <row r="4869" spans="3:3" x14ac:dyDescent="0.3">
      <c r="C4869"/>
    </row>
    <row r="4870" spans="3:3" x14ac:dyDescent="0.3">
      <c r="C4870"/>
    </row>
    <row r="4871" spans="3:3" x14ac:dyDescent="0.3">
      <c r="C4871"/>
    </row>
    <row r="4872" spans="3:3" x14ac:dyDescent="0.3">
      <c r="C4872"/>
    </row>
    <row r="4873" spans="3:3" x14ac:dyDescent="0.3">
      <c r="C4873"/>
    </row>
    <row r="4874" spans="3:3" x14ac:dyDescent="0.3">
      <c r="C4874"/>
    </row>
    <row r="4875" spans="3:3" x14ac:dyDescent="0.3">
      <c r="C4875"/>
    </row>
    <row r="4876" spans="3:3" x14ac:dyDescent="0.3">
      <c r="C4876"/>
    </row>
    <row r="4877" spans="3:3" x14ac:dyDescent="0.3">
      <c r="C4877"/>
    </row>
    <row r="4878" spans="3:3" x14ac:dyDescent="0.3">
      <c r="C4878"/>
    </row>
    <row r="4879" spans="3:3" x14ac:dyDescent="0.3">
      <c r="C4879"/>
    </row>
    <row r="4880" spans="3:3" x14ac:dyDescent="0.3">
      <c r="C4880"/>
    </row>
    <row r="4881" spans="3:3" x14ac:dyDescent="0.3">
      <c r="C4881"/>
    </row>
    <row r="4882" spans="3:3" x14ac:dyDescent="0.3">
      <c r="C4882"/>
    </row>
    <row r="4883" spans="3:3" x14ac:dyDescent="0.3">
      <c r="C4883"/>
    </row>
    <row r="4884" spans="3:3" x14ac:dyDescent="0.3">
      <c r="C4884"/>
    </row>
    <row r="4885" spans="3:3" x14ac:dyDescent="0.3">
      <c r="C4885"/>
    </row>
    <row r="4886" spans="3:3" x14ac:dyDescent="0.3">
      <c r="C4886"/>
    </row>
    <row r="4887" spans="3:3" x14ac:dyDescent="0.3">
      <c r="C4887"/>
    </row>
    <row r="4888" spans="3:3" x14ac:dyDescent="0.3">
      <c r="C4888"/>
    </row>
    <row r="4889" spans="3:3" x14ac:dyDescent="0.3">
      <c r="C4889"/>
    </row>
    <row r="4890" spans="3:3" x14ac:dyDescent="0.3">
      <c r="C4890"/>
    </row>
    <row r="4891" spans="3:3" x14ac:dyDescent="0.3">
      <c r="C4891"/>
    </row>
    <row r="4892" spans="3:3" x14ac:dyDescent="0.3">
      <c r="C4892"/>
    </row>
    <row r="4893" spans="3:3" x14ac:dyDescent="0.3">
      <c r="C4893"/>
    </row>
    <row r="4894" spans="3:3" x14ac:dyDescent="0.3">
      <c r="C4894"/>
    </row>
    <row r="4895" spans="3:3" x14ac:dyDescent="0.3">
      <c r="C4895"/>
    </row>
    <row r="4896" spans="3:3" x14ac:dyDescent="0.3">
      <c r="C4896"/>
    </row>
    <row r="4897" spans="3:3" x14ac:dyDescent="0.3">
      <c r="C4897"/>
    </row>
    <row r="4898" spans="3:3" x14ac:dyDescent="0.3">
      <c r="C4898"/>
    </row>
    <row r="4899" spans="3:3" x14ac:dyDescent="0.3">
      <c r="C4899"/>
    </row>
    <row r="4900" spans="3:3" x14ac:dyDescent="0.3">
      <c r="C4900"/>
    </row>
    <row r="4901" spans="3:3" x14ac:dyDescent="0.3">
      <c r="C4901"/>
    </row>
    <row r="4902" spans="3:3" x14ac:dyDescent="0.3">
      <c r="C4902"/>
    </row>
    <row r="4903" spans="3:3" x14ac:dyDescent="0.3">
      <c r="C4903"/>
    </row>
    <row r="4904" spans="3:3" x14ac:dyDescent="0.3">
      <c r="C4904"/>
    </row>
    <row r="4905" spans="3:3" x14ac:dyDescent="0.3">
      <c r="C4905"/>
    </row>
    <row r="4906" spans="3:3" x14ac:dyDescent="0.3">
      <c r="C4906"/>
    </row>
    <row r="4907" spans="3:3" x14ac:dyDescent="0.3">
      <c r="C4907"/>
    </row>
    <row r="4908" spans="3:3" x14ac:dyDescent="0.3">
      <c r="C4908"/>
    </row>
    <row r="4909" spans="3:3" x14ac:dyDescent="0.3">
      <c r="C4909"/>
    </row>
    <row r="4910" spans="3:3" x14ac:dyDescent="0.3">
      <c r="C4910"/>
    </row>
    <row r="4911" spans="3:3" x14ac:dyDescent="0.3">
      <c r="C4911"/>
    </row>
    <row r="4912" spans="3:3" x14ac:dyDescent="0.3">
      <c r="C4912"/>
    </row>
    <row r="4913" spans="3:3" x14ac:dyDescent="0.3">
      <c r="C4913"/>
    </row>
    <row r="4914" spans="3:3" x14ac:dyDescent="0.3">
      <c r="C4914"/>
    </row>
    <row r="4915" spans="3:3" x14ac:dyDescent="0.3">
      <c r="C4915"/>
    </row>
    <row r="4916" spans="3:3" x14ac:dyDescent="0.3">
      <c r="C4916"/>
    </row>
    <row r="4917" spans="3:3" x14ac:dyDescent="0.3">
      <c r="C4917"/>
    </row>
    <row r="4918" spans="3:3" x14ac:dyDescent="0.3">
      <c r="C4918"/>
    </row>
    <row r="4919" spans="3:3" x14ac:dyDescent="0.3">
      <c r="C4919"/>
    </row>
    <row r="4920" spans="3:3" x14ac:dyDescent="0.3">
      <c r="C4920"/>
    </row>
    <row r="4921" spans="3:3" x14ac:dyDescent="0.3">
      <c r="C4921"/>
    </row>
    <row r="4922" spans="3:3" x14ac:dyDescent="0.3">
      <c r="C4922"/>
    </row>
    <row r="4923" spans="3:3" x14ac:dyDescent="0.3">
      <c r="C4923"/>
    </row>
    <row r="4924" spans="3:3" x14ac:dyDescent="0.3">
      <c r="C4924"/>
    </row>
    <row r="4925" spans="3:3" x14ac:dyDescent="0.3">
      <c r="C4925"/>
    </row>
    <row r="4926" spans="3:3" x14ac:dyDescent="0.3">
      <c r="C4926"/>
    </row>
    <row r="4927" spans="3:3" x14ac:dyDescent="0.3">
      <c r="C4927"/>
    </row>
    <row r="4928" spans="3:3" x14ac:dyDescent="0.3">
      <c r="C4928"/>
    </row>
    <row r="4929" spans="3:3" x14ac:dyDescent="0.3">
      <c r="C4929"/>
    </row>
    <row r="4930" spans="3:3" x14ac:dyDescent="0.3">
      <c r="C4930"/>
    </row>
    <row r="4931" spans="3:3" x14ac:dyDescent="0.3">
      <c r="C4931"/>
    </row>
    <row r="4932" spans="3:3" x14ac:dyDescent="0.3">
      <c r="C4932"/>
    </row>
    <row r="4933" spans="3:3" x14ac:dyDescent="0.3">
      <c r="C4933"/>
    </row>
    <row r="4934" spans="3:3" x14ac:dyDescent="0.3">
      <c r="C4934"/>
    </row>
    <row r="4935" spans="3:3" x14ac:dyDescent="0.3">
      <c r="C4935"/>
    </row>
    <row r="4936" spans="3:3" x14ac:dyDescent="0.3">
      <c r="C4936"/>
    </row>
    <row r="4937" spans="3:3" x14ac:dyDescent="0.3">
      <c r="C4937"/>
    </row>
    <row r="4938" spans="3:3" x14ac:dyDescent="0.3">
      <c r="C4938"/>
    </row>
    <row r="4939" spans="3:3" x14ac:dyDescent="0.3">
      <c r="C4939"/>
    </row>
    <row r="4940" spans="3:3" x14ac:dyDescent="0.3">
      <c r="C4940"/>
    </row>
    <row r="4941" spans="3:3" x14ac:dyDescent="0.3">
      <c r="C4941"/>
    </row>
    <row r="4942" spans="3:3" x14ac:dyDescent="0.3">
      <c r="C4942"/>
    </row>
    <row r="4943" spans="3:3" x14ac:dyDescent="0.3">
      <c r="C4943"/>
    </row>
    <row r="4944" spans="3:3" x14ac:dyDescent="0.3">
      <c r="C4944"/>
    </row>
    <row r="4945" spans="3:3" x14ac:dyDescent="0.3">
      <c r="C4945"/>
    </row>
    <row r="4946" spans="3:3" x14ac:dyDescent="0.3">
      <c r="C4946"/>
    </row>
    <row r="4947" spans="3:3" x14ac:dyDescent="0.3">
      <c r="C4947"/>
    </row>
    <row r="4948" spans="3:3" x14ac:dyDescent="0.3">
      <c r="C4948"/>
    </row>
    <row r="4949" spans="3:3" x14ac:dyDescent="0.3">
      <c r="C4949"/>
    </row>
    <row r="4950" spans="3:3" x14ac:dyDescent="0.3">
      <c r="C4950"/>
    </row>
    <row r="4951" spans="3:3" x14ac:dyDescent="0.3">
      <c r="C4951"/>
    </row>
    <row r="4952" spans="3:3" x14ac:dyDescent="0.3">
      <c r="C4952"/>
    </row>
    <row r="4953" spans="3:3" x14ac:dyDescent="0.3">
      <c r="C4953"/>
    </row>
    <row r="4954" spans="3:3" x14ac:dyDescent="0.3">
      <c r="C4954"/>
    </row>
    <row r="4955" spans="3:3" x14ac:dyDescent="0.3">
      <c r="C4955"/>
    </row>
    <row r="4956" spans="3:3" x14ac:dyDescent="0.3">
      <c r="C4956"/>
    </row>
    <row r="4957" spans="3:3" x14ac:dyDescent="0.3">
      <c r="C4957"/>
    </row>
    <row r="4958" spans="3:3" x14ac:dyDescent="0.3">
      <c r="C4958"/>
    </row>
    <row r="4959" spans="3:3" x14ac:dyDescent="0.3">
      <c r="C4959"/>
    </row>
    <row r="4960" spans="3:3" x14ac:dyDescent="0.3">
      <c r="C4960"/>
    </row>
    <row r="4961" spans="3:3" x14ac:dyDescent="0.3">
      <c r="C4961"/>
    </row>
    <row r="4962" spans="3:3" x14ac:dyDescent="0.3">
      <c r="C4962"/>
    </row>
    <row r="4963" spans="3:3" x14ac:dyDescent="0.3">
      <c r="C4963"/>
    </row>
    <row r="4964" spans="3:3" x14ac:dyDescent="0.3">
      <c r="C4964"/>
    </row>
    <row r="4965" spans="3:3" x14ac:dyDescent="0.3">
      <c r="C4965"/>
    </row>
    <row r="4966" spans="3:3" x14ac:dyDescent="0.3">
      <c r="C4966"/>
    </row>
    <row r="4967" spans="3:3" x14ac:dyDescent="0.3">
      <c r="C4967"/>
    </row>
    <row r="4968" spans="3:3" x14ac:dyDescent="0.3">
      <c r="C4968"/>
    </row>
    <row r="4969" spans="3:3" x14ac:dyDescent="0.3">
      <c r="C4969"/>
    </row>
    <row r="4970" spans="3:3" x14ac:dyDescent="0.3">
      <c r="C4970"/>
    </row>
    <row r="4971" spans="3:3" x14ac:dyDescent="0.3">
      <c r="C4971"/>
    </row>
    <row r="4972" spans="3:3" x14ac:dyDescent="0.3">
      <c r="C4972"/>
    </row>
    <row r="4973" spans="3:3" x14ac:dyDescent="0.3">
      <c r="C4973"/>
    </row>
    <row r="4974" spans="3:3" x14ac:dyDescent="0.3">
      <c r="C4974"/>
    </row>
    <row r="4975" spans="3:3" x14ac:dyDescent="0.3">
      <c r="C4975"/>
    </row>
    <row r="4976" spans="3:3" x14ac:dyDescent="0.3">
      <c r="C4976"/>
    </row>
    <row r="4977" spans="3:3" x14ac:dyDescent="0.3">
      <c r="C4977"/>
    </row>
    <row r="4978" spans="3:3" x14ac:dyDescent="0.3">
      <c r="C4978"/>
    </row>
    <row r="4979" spans="3:3" x14ac:dyDescent="0.3">
      <c r="C4979"/>
    </row>
    <row r="4980" spans="3:3" x14ac:dyDescent="0.3">
      <c r="C4980"/>
    </row>
    <row r="4981" spans="3:3" x14ac:dyDescent="0.3">
      <c r="C4981"/>
    </row>
    <row r="4982" spans="3:3" x14ac:dyDescent="0.3">
      <c r="C4982"/>
    </row>
    <row r="4983" spans="3:3" x14ac:dyDescent="0.3">
      <c r="C4983"/>
    </row>
    <row r="4984" spans="3:3" x14ac:dyDescent="0.3">
      <c r="C4984"/>
    </row>
    <row r="4985" spans="3:3" x14ac:dyDescent="0.3">
      <c r="C4985"/>
    </row>
    <row r="4986" spans="3:3" x14ac:dyDescent="0.3">
      <c r="C4986"/>
    </row>
    <row r="4987" spans="3:3" x14ac:dyDescent="0.3">
      <c r="C4987"/>
    </row>
    <row r="4988" spans="3:3" x14ac:dyDescent="0.3">
      <c r="C4988"/>
    </row>
    <row r="4989" spans="3:3" x14ac:dyDescent="0.3">
      <c r="C4989"/>
    </row>
    <row r="4990" spans="3:3" x14ac:dyDescent="0.3">
      <c r="C4990"/>
    </row>
    <row r="4991" spans="3:3" x14ac:dyDescent="0.3">
      <c r="C4991"/>
    </row>
    <row r="4992" spans="3:3" x14ac:dyDescent="0.3">
      <c r="C4992"/>
    </row>
    <row r="4993" spans="3:3" x14ac:dyDescent="0.3">
      <c r="C4993"/>
    </row>
    <row r="4994" spans="3:3" x14ac:dyDescent="0.3">
      <c r="C4994"/>
    </row>
    <row r="4995" spans="3:3" x14ac:dyDescent="0.3">
      <c r="C4995"/>
    </row>
    <row r="4996" spans="3:3" x14ac:dyDescent="0.3">
      <c r="C4996"/>
    </row>
    <row r="4997" spans="3:3" x14ac:dyDescent="0.3">
      <c r="C4997"/>
    </row>
    <row r="4998" spans="3:3" x14ac:dyDescent="0.3">
      <c r="C4998"/>
    </row>
    <row r="4999" spans="3:3" x14ac:dyDescent="0.3">
      <c r="C4999"/>
    </row>
    <row r="5000" spans="3:3" x14ac:dyDescent="0.3">
      <c r="C5000"/>
    </row>
    <row r="5001" spans="3:3" x14ac:dyDescent="0.3">
      <c r="C5001"/>
    </row>
    <row r="5002" spans="3:3" x14ac:dyDescent="0.3">
      <c r="C5002"/>
    </row>
    <row r="5003" spans="3:3" x14ac:dyDescent="0.3">
      <c r="C5003"/>
    </row>
    <row r="5004" spans="3:3" x14ac:dyDescent="0.3">
      <c r="C5004"/>
    </row>
    <row r="5005" spans="3:3" x14ac:dyDescent="0.3">
      <c r="C5005"/>
    </row>
    <row r="5006" spans="3:3" x14ac:dyDescent="0.3">
      <c r="C5006"/>
    </row>
    <row r="5007" spans="3:3" x14ac:dyDescent="0.3">
      <c r="C5007"/>
    </row>
    <row r="5008" spans="3:3" x14ac:dyDescent="0.3">
      <c r="C5008"/>
    </row>
    <row r="5009" spans="3:3" x14ac:dyDescent="0.3">
      <c r="C5009"/>
    </row>
    <row r="5010" spans="3:3" x14ac:dyDescent="0.3">
      <c r="C5010"/>
    </row>
    <row r="5011" spans="3:3" x14ac:dyDescent="0.3">
      <c r="C5011"/>
    </row>
    <row r="5012" spans="3:3" x14ac:dyDescent="0.3">
      <c r="C5012"/>
    </row>
    <row r="5013" spans="3:3" x14ac:dyDescent="0.3">
      <c r="C5013"/>
    </row>
    <row r="5014" spans="3:3" x14ac:dyDescent="0.3">
      <c r="C5014"/>
    </row>
    <row r="5015" spans="3:3" x14ac:dyDescent="0.3">
      <c r="C5015"/>
    </row>
    <row r="5016" spans="3:3" x14ac:dyDescent="0.3">
      <c r="C5016"/>
    </row>
    <row r="5017" spans="3:3" x14ac:dyDescent="0.3">
      <c r="C5017"/>
    </row>
    <row r="5018" spans="3:3" x14ac:dyDescent="0.3">
      <c r="C5018"/>
    </row>
    <row r="5019" spans="3:3" x14ac:dyDescent="0.3">
      <c r="C5019"/>
    </row>
    <row r="5020" spans="3:3" x14ac:dyDescent="0.3">
      <c r="C5020"/>
    </row>
    <row r="5021" spans="3:3" x14ac:dyDescent="0.3">
      <c r="C5021"/>
    </row>
    <row r="5022" spans="3:3" x14ac:dyDescent="0.3">
      <c r="C5022"/>
    </row>
    <row r="5023" spans="3:3" x14ac:dyDescent="0.3">
      <c r="C5023"/>
    </row>
    <row r="5024" spans="3:3" x14ac:dyDescent="0.3">
      <c r="C5024"/>
    </row>
    <row r="5025" spans="3:3" x14ac:dyDescent="0.3">
      <c r="C5025"/>
    </row>
    <row r="5026" spans="3:3" x14ac:dyDescent="0.3">
      <c r="C5026"/>
    </row>
    <row r="5027" spans="3:3" x14ac:dyDescent="0.3">
      <c r="C5027"/>
    </row>
    <row r="5028" spans="3:3" x14ac:dyDescent="0.3">
      <c r="C5028"/>
    </row>
    <row r="5029" spans="3:3" x14ac:dyDescent="0.3">
      <c r="C5029"/>
    </row>
    <row r="5030" spans="3:3" x14ac:dyDescent="0.3">
      <c r="C5030"/>
    </row>
    <row r="5031" spans="3:3" x14ac:dyDescent="0.3">
      <c r="C5031"/>
    </row>
    <row r="5032" spans="3:3" x14ac:dyDescent="0.3">
      <c r="C5032"/>
    </row>
    <row r="5033" spans="3:3" x14ac:dyDescent="0.3">
      <c r="C5033"/>
    </row>
    <row r="5034" spans="3:3" x14ac:dyDescent="0.3">
      <c r="C5034"/>
    </row>
    <row r="5035" spans="3:3" x14ac:dyDescent="0.3">
      <c r="C5035"/>
    </row>
    <row r="5036" spans="3:3" x14ac:dyDescent="0.3">
      <c r="C5036"/>
    </row>
    <row r="5037" spans="3:3" x14ac:dyDescent="0.3">
      <c r="C5037"/>
    </row>
    <row r="5038" spans="3:3" x14ac:dyDescent="0.3">
      <c r="C5038"/>
    </row>
    <row r="5039" spans="3:3" x14ac:dyDescent="0.3">
      <c r="C5039"/>
    </row>
    <row r="5040" spans="3:3" x14ac:dyDescent="0.3">
      <c r="C5040"/>
    </row>
    <row r="5041" spans="3:3" x14ac:dyDescent="0.3">
      <c r="C5041"/>
    </row>
    <row r="5042" spans="3:3" x14ac:dyDescent="0.3">
      <c r="C5042"/>
    </row>
    <row r="5043" spans="3:3" x14ac:dyDescent="0.3">
      <c r="C5043"/>
    </row>
    <row r="5044" spans="3:3" x14ac:dyDescent="0.3">
      <c r="C5044"/>
    </row>
    <row r="5045" spans="3:3" x14ac:dyDescent="0.3">
      <c r="C5045"/>
    </row>
    <row r="5046" spans="3:3" x14ac:dyDescent="0.3">
      <c r="C5046"/>
    </row>
    <row r="5047" spans="3:3" x14ac:dyDescent="0.3">
      <c r="C5047"/>
    </row>
    <row r="5048" spans="3:3" x14ac:dyDescent="0.3">
      <c r="C5048"/>
    </row>
    <row r="5049" spans="3:3" x14ac:dyDescent="0.3">
      <c r="C5049"/>
    </row>
    <row r="5050" spans="3:3" x14ac:dyDescent="0.3">
      <c r="C5050"/>
    </row>
    <row r="5051" spans="3:3" x14ac:dyDescent="0.3">
      <c r="C5051"/>
    </row>
    <row r="5052" spans="3:3" x14ac:dyDescent="0.3">
      <c r="C5052"/>
    </row>
    <row r="5053" spans="3:3" x14ac:dyDescent="0.3">
      <c r="C5053"/>
    </row>
    <row r="5054" spans="3:3" x14ac:dyDescent="0.3">
      <c r="C5054"/>
    </row>
    <row r="5055" spans="3:3" x14ac:dyDescent="0.3">
      <c r="C5055"/>
    </row>
    <row r="5056" spans="3:3" x14ac:dyDescent="0.3">
      <c r="C5056"/>
    </row>
    <row r="5057" spans="3:3" x14ac:dyDescent="0.3">
      <c r="C5057"/>
    </row>
    <row r="5058" spans="3:3" x14ac:dyDescent="0.3">
      <c r="C5058"/>
    </row>
    <row r="5059" spans="3:3" x14ac:dyDescent="0.3">
      <c r="C5059"/>
    </row>
    <row r="5060" spans="3:3" x14ac:dyDescent="0.3">
      <c r="C5060"/>
    </row>
    <row r="5061" spans="3:3" x14ac:dyDescent="0.3">
      <c r="C5061"/>
    </row>
    <row r="5062" spans="3:3" x14ac:dyDescent="0.3">
      <c r="C5062"/>
    </row>
    <row r="5063" spans="3:3" x14ac:dyDescent="0.3">
      <c r="C5063"/>
    </row>
    <row r="5064" spans="3:3" x14ac:dyDescent="0.3">
      <c r="C5064"/>
    </row>
    <row r="5065" spans="3:3" x14ac:dyDescent="0.3">
      <c r="C5065"/>
    </row>
    <row r="5066" spans="3:3" x14ac:dyDescent="0.3">
      <c r="C5066"/>
    </row>
    <row r="5067" spans="3:3" x14ac:dyDescent="0.3">
      <c r="C5067"/>
    </row>
    <row r="5068" spans="3:3" x14ac:dyDescent="0.3">
      <c r="C5068"/>
    </row>
    <row r="5069" spans="3:3" x14ac:dyDescent="0.3">
      <c r="C5069"/>
    </row>
    <row r="5070" spans="3:3" x14ac:dyDescent="0.3">
      <c r="C5070"/>
    </row>
    <row r="5071" spans="3:3" x14ac:dyDescent="0.3">
      <c r="C5071"/>
    </row>
    <row r="5072" spans="3:3" x14ac:dyDescent="0.3">
      <c r="C5072"/>
    </row>
    <row r="5073" spans="3:3" x14ac:dyDescent="0.3">
      <c r="C5073"/>
    </row>
    <row r="5074" spans="3:3" x14ac:dyDescent="0.3">
      <c r="C5074"/>
    </row>
    <row r="5075" spans="3:3" x14ac:dyDescent="0.3">
      <c r="C5075"/>
    </row>
    <row r="5076" spans="3:3" x14ac:dyDescent="0.3">
      <c r="C5076"/>
    </row>
    <row r="5077" spans="3:3" x14ac:dyDescent="0.3">
      <c r="C5077"/>
    </row>
    <row r="5078" spans="3:3" x14ac:dyDescent="0.3">
      <c r="C5078"/>
    </row>
    <row r="5079" spans="3:3" x14ac:dyDescent="0.3">
      <c r="C5079"/>
    </row>
    <row r="5080" spans="3:3" x14ac:dyDescent="0.3">
      <c r="C5080"/>
    </row>
    <row r="5081" spans="3:3" x14ac:dyDescent="0.3">
      <c r="C5081"/>
    </row>
    <row r="5082" spans="3:3" x14ac:dyDescent="0.3">
      <c r="C5082"/>
    </row>
    <row r="5083" spans="3:3" x14ac:dyDescent="0.3">
      <c r="C5083"/>
    </row>
    <row r="5084" spans="3:3" x14ac:dyDescent="0.3">
      <c r="C5084"/>
    </row>
    <row r="5085" spans="3:3" x14ac:dyDescent="0.3">
      <c r="C5085"/>
    </row>
    <row r="5086" spans="3:3" x14ac:dyDescent="0.3">
      <c r="C5086"/>
    </row>
    <row r="5087" spans="3:3" x14ac:dyDescent="0.3">
      <c r="C5087"/>
    </row>
    <row r="5088" spans="3:3" x14ac:dyDescent="0.3">
      <c r="C5088"/>
    </row>
    <row r="5089" spans="3:3" x14ac:dyDescent="0.3">
      <c r="C5089"/>
    </row>
    <row r="5090" spans="3:3" x14ac:dyDescent="0.3">
      <c r="C5090"/>
    </row>
    <row r="5091" spans="3:3" x14ac:dyDescent="0.3">
      <c r="C5091"/>
    </row>
    <row r="5092" spans="3:3" x14ac:dyDescent="0.3">
      <c r="C5092"/>
    </row>
    <row r="5093" spans="3:3" x14ac:dyDescent="0.3">
      <c r="C5093"/>
    </row>
    <row r="5094" spans="3:3" x14ac:dyDescent="0.3">
      <c r="C5094"/>
    </row>
    <row r="5095" spans="3:3" x14ac:dyDescent="0.3">
      <c r="C5095"/>
    </row>
    <row r="5096" spans="3:3" x14ac:dyDescent="0.3">
      <c r="C5096"/>
    </row>
    <row r="5097" spans="3:3" x14ac:dyDescent="0.3">
      <c r="C5097"/>
    </row>
    <row r="5098" spans="3:3" x14ac:dyDescent="0.3">
      <c r="C5098"/>
    </row>
    <row r="5099" spans="3:3" x14ac:dyDescent="0.3">
      <c r="C5099"/>
    </row>
    <row r="5100" spans="3:3" x14ac:dyDescent="0.3">
      <c r="C5100"/>
    </row>
    <row r="5101" spans="3:3" x14ac:dyDescent="0.3">
      <c r="C5101"/>
    </row>
    <row r="5102" spans="3:3" x14ac:dyDescent="0.3">
      <c r="C5102"/>
    </row>
    <row r="5103" spans="3:3" x14ac:dyDescent="0.3">
      <c r="C5103"/>
    </row>
    <row r="5104" spans="3:3" x14ac:dyDescent="0.3">
      <c r="C5104"/>
    </row>
    <row r="5105" spans="3:3" x14ac:dyDescent="0.3">
      <c r="C5105"/>
    </row>
    <row r="5106" spans="3:3" x14ac:dyDescent="0.3">
      <c r="C5106"/>
    </row>
    <row r="5107" spans="3:3" x14ac:dyDescent="0.3">
      <c r="C5107"/>
    </row>
    <row r="5108" spans="3:3" x14ac:dyDescent="0.3">
      <c r="C5108"/>
    </row>
    <row r="5109" spans="3:3" x14ac:dyDescent="0.3">
      <c r="C5109"/>
    </row>
    <row r="5110" spans="3:3" x14ac:dyDescent="0.3">
      <c r="C5110"/>
    </row>
    <row r="5111" spans="3:3" x14ac:dyDescent="0.3">
      <c r="C5111"/>
    </row>
    <row r="5112" spans="3:3" x14ac:dyDescent="0.3">
      <c r="C5112"/>
    </row>
    <row r="5113" spans="3:3" x14ac:dyDescent="0.3">
      <c r="C5113"/>
    </row>
    <row r="5114" spans="3:3" x14ac:dyDescent="0.3">
      <c r="C5114"/>
    </row>
    <row r="5115" spans="3:3" x14ac:dyDescent="0.3">
      <c r="C5115"/>
    </row>
    <row r="5116" spans="3:3" x14ac:dyDescent="0.3">
      <c r="C5116"/>
    </row>
    <row r="5117" spans="3:3" x14ac:dyDescent="0.3">
      <c r="C5117"/>
    </row>
    <row r="5118" spans="3:3" x14ac:dyDescent="0.3">
      <c r="C5118"/>
    </row>
    <row r="5119" spans="3:3" x14ac:dyDescent="0.3">
      <c r="C5119"/>
    </row>
    <row r="5120" spans="3:3" x14ac:dyDescent="0.3">
      <c r="C5120"/>
    </row>
    <row r="5121" spans="3:3" x14ac:dyDescent="0.3">
      <c r="C5121"/>
    </row>
    <row r="5122" spans="3:3" x14ac:dyDescent="0.3">
      <c r="C5122"/>
    </row>
    <row r="5123" spans="3:3" x14ac:dyDescent="0.3">
      <c r="C5123"/>
    </row>
    <row r="5124" spans="3:3" x14ac:dyDescent="0.3">
      <c r="C5124"/>
    </row>
    <row r="5125" spans="3:3" x14ac:dyDescent="0.3">
      <c r="C5125"/>
    </row>
    <row r="5126" spans="3:3" x14ac:dyDescent="0.3">
      <c r="C5126"/>
    </row>
    <row r="5127" spans="3:3" x14ac:dyDescent="0.3">
      <c r="C5127"/>
    </row>
    <row r="5128" spans="3:3" x14ac:dyDescent="0.3">
      <c r="C5128"/>
    </row>
    <row r="5129" spans="3:3" x14ac:dyDescent="0.3">
      <c r="C5129"/>
    </row>
    <row r="5130" spans="3:3" x14ac:dyDescent="0.3">
      <c r="C5130"/>
    </row>
    <row r="5131" spans="3:3" x14ac:dyDescent="0.3">
      <c r="C5131"/>
    </row>
    <row r="5132" spans="3:3" x14ac:dyDescent="0.3">
      <c r="C5132"/>
    </row>
    <row r="5133" spans="3:3" x14ac:dyDescent="0.3">
      <c r="C5133"/>
    </row>
    <row r="5134" spans="3:3" x14ac:dyDescent="0.3">
      <c r="C5134"/>
    </row>
    <row r="5135" spans="3:3" x14ac:dyDescent="0.3">
      <c r="C5135"/>
    </row>
    <row r="5136" spans="3:3" x14ac:dyDescent="0.3">
      <c r="C5136"/>
    </row>
    <row r="5137" spans="3:3" x14ac:dyDescent="0.3">
      <c r="C5137"/>
    </row>
    <row r="5138" spans="3:3" x14ac:dyDescent="0.3">
      <c r="C5138"/>
    </row>
    <row r="5139" spans="3:3" x14ac:dyDescent="0.3">
      <c r="C5139"/>
    </row>
    <row r="5140" spans="3:3" x14ac:dyDescent="0.3">
      <c r="C5140"/>
    </row>
    <row r="5141" spans="3:3" x14ac:dyDescent="0.3">
      <c r="C5141"/>
    </row>
    <row r="5142" spans="3:3" x14ac:dyDescent="0.3">
      <c r="C5142"/>
    </row>
    <row r="5143" spans="3:3" x14ac:dyDescent="0.3">
      <c r="C5143"/>
    </row>
    <row r="5144" spans="3:3" x14ac:dyDescent="0.3">
      <c r="C5144"/>
    </row>
    <row r="5145" spans="3:3" x14ac:dyDescent="0.3">
      <c r="C5145"/>
    </row>
    <row r="5146" spans="3:3" x14ac:dyDescent="0.3">
      <c r="C5146"/>
    </row>
    <row r="5147" spans="3:3" x14ac:dyDescent="0.3">
      <c r="C5147"/>
    </row>
    <row r="5148" spans="3:3" x14ac:dyDescent="0.3">
      <c r="C5148"/>
    </row>
    <row r="5149" spans="3:3" x14ac:dyDescent="0.3">
      <c r="C5149"/>
    </row>
    <row r="5150" spans="3:3" x14ac:dyDescent="0.3">
      <c r="C5150"/>
    </row>
    <row r="5151" spans="3:3" x14ac:dyDescent="0.3">
      <c r="C5151"/>
    </row>
    <row r="5152" spans="3:3" x14ac:dyDescent="0.3">
      <c r="C5152"/>
    </row>
    <row r="5153" spans="3:3" x14ac:dyDescent="0.3">
      <c r="C5153"/>
    </row>
    <row r="5154" spans="3:3" x14ac:dyDescent="0.3">
      <c r="C5154"/>
    </row>
    <row r="5155" spans="3:3" x14ac:dyDescent="0.3">
      <c r="C5155"/>
    </row>
    <row r="5156" spans="3:3" x14ac:dyDescent="0.3">
      <c r="C5156"/>
    </row>
    <row r="5157" spans="3:3" x14ac:dyDescent="0.3">
      <c r="C5157"/>
    </row>
    <row r="5158" spans="3:3" x14ac:dyDescent="0.3">
      <c r="C5158"/>
    </row>
    <row r="5159" spans="3:3" x14ac:dyDescent="0.3">
      <c r="C5159"/>
    </row>
    <row r="5160" spans="3:3" x14ac:dyDescent="0.3">
      <c r="C5160"/>
    </row>
    <row r="5161" spans="3:3" x14ac:dyDescent="0.3">
      <c r="C5161"/>
    </row>
    <row r="5162" spans="3:3" x14ac:dyDescent="0.3">
      <c r="C5162"/>
    </row>
    <row r="5163" spans="3:3" x14ac:dyDescent="0.3">
      <c r="C5163"/>
    </row>
    <row r="5164" spans="3:3" x14ac:dyDescent="0.3">
      <c r="C5164"/>
    </row>
    <row r="5165" spans="3:3" x14ac:dyDescent="0.3">
      <c r="C5165"/>
    </row>
    <row r="5166" spans="3:3" x14ac:dyDescent="0.3">
      <c r="C5166"/>
    </row>
    <row r="5167" spans="3:3" x14ac:dyDescent="0.3">
      <c r="C5167"/>
    </row>
    <row r="5168" spans="3:3" x14ac:dyDescent="0.3">
      <c r="C5168"/>
    </row>
    <row r="5169" spans="3:3" x14ac:dyDescent="0.3">
      <c r="C5169"/>
    </row>
    <row r="5170" spans="3:3" x14ac:dyDescent="0.3">
      <c r="C5170"/>
    </row>
    <row r="5171" spans="3:3" x14ac:dyDescent="0.3">
      <c r="C5171"/>
    </row>
    <row r="5172" spans="3:3" x14ac:dyDescent="0.3">
      <c r="C5172"/>
    </row>
    <row r="5173" spans="3:3" x14ac:dyDescent="0.3">
      <c r="C5173"/>
    </row>
    <row r="5174" spans="3:3" x14ac:dyDescent="0.3">
      <c r="C5174"/>
    </row>
    <row r="5175" spans="3:3" x14ac:dyDescent="0.3">
      <c r="C5175"/>
    </row>
    <row r="5176" spans="3:3" x14ac:dyDescent="0.3">
      <c r="C5176"/>
    </row>
    <row r="5177" spans="3:3" x14ac:dyDescent="0.3">
      <c r="C5177"/>
    </row>
    <row r="5178" spans="3:3" x14ac:dyDescent="0.3">
      <c r="C5178"/>
    </row>
    <row r="5179" spans="3:3" x14ac:dyDescent="0.3">
      <c r="C5179"/>
    </row>
    <row r="5180" spans="3:3" x14ac:dyDescent="0.3">
      <c r="C5180"/>
    </row>
    <row r="5181" spans="3:3" x14ac:dyDescent="0.3">
      <c r="C5181"/>
    </row>
    <row r="5182" spans="3:3" x14ac:dyDescent="0.3">
      <c r="C5182"/>
    </row>
    <row r="5183" spans="3:3" x14ac:dyDescent="0.3">
      <c r="C5183"/>
    </row>
    <row r="5184" spans="3:3" x14ac:dyDescent="0.3">
      <c r="C5184"/>
    </row>
    <row r="5185" spans="3:3" x14ac:dyDescent="0.3">
      <c r="C5185"/>
    </row>
    <row r="5186" spans="3:3" x14ac:dyDescent="0.3">
      <c r="C5186"/>
    </row>
    <row r="5187" spans="3:3" x14ac:dyDescent="0.3">
      <c r="C5187"/>
    </row>
    <row r="5188" spans="3:3" x14ac:dyDescent="0.3">
      <c r="C5188"/>
    </row>
    <row r="5189" spans="3:3" x14ac:dyDescent="0.3">
      <c r="C5189"/>
    </row>
    <row r="5190" spans="3:3" x14ac:dyDescent="0.3">
      <c r="C5190"/>
    </row>
    <row r="5191" spans="3:3" x14ac:dyDescent="0.3">
      <c r="C5191"/>
    </row>
    <row r="5192" spans="3:3" x14ac:dyDescent="0.3">
      <c r="C5192"/>
    </row>
    <row r="5193" spans="3:3" x14ac:dyDescent="0.3">
      <c r="C5193"/>
    </row>
    <row r="5194" spans="3:3" x14ac:dyDescent="0.3">
      <c r="C5194"/>
    </row>
    <row r="5195" spans="3:3" x14ac:dyDescent="0.3">
      <c r="C5195"/>
    </row>
    <row r="5196" spans="3:3" x14ac:dyDescent="0.3">
      <c r="C5196"/>
    </row>
    <row r="5197" spans="3:3" x14ac:dyDescent="0.3">
      <c r="C5197"/>
    </row>
    <row r="5198" spans="3:3" x14ac:dyDescent="0.3">
      <c r="C5198"/>
    </row>
    <row r="5199" spans="3:3" x14ac:dyDescent="0.3">
      <c r="C5199"/>
    </row>
    <row r="5200" spans="3:3" x14ac:dyDescent="0.3">
      <c r="C5200"/>
    </row>
    <row r="5201" spans="3:3" x14ac:dyDescent="0.3">
      <c r="C5201"/>
    </row>
    <row r="5202" spans="3:3" x14ac:dyDescent="0.3">
      <c r="C5202"/>
    </row>
    <row r="5203" spans="3:3" x14ac:dyDescent="0.3">
      <c r="C5203"/>
    </row>
    <row r="5204" spans="3:3" x14ac:dyDescent="0.3">
      <c r="C5204"/>
    </row>
    <row r="5205" spans="3:3" x14ac:dyDescent="0.3">
      <c r="C5205"/>
    </row>
    <row r="5206" spans="3:3" x14ac:dyDescent="0.3">
      <c r="C5206"/>
    </row>
    <row r="5207" spans="3:3" x14ac:dyDescent="0.3">
      <c r="C5207"/>
    </row>
    <row r="5208" spans="3:3" x14ac:dyDescent="0.3">
      <c r="C5208"/>
    </row>
    <row r="5209" spans="3:3" x14ac:dyDescent="0.3">
      <c r="C5209"/>
    </row>
    <row r="5210" spans="3:3" x14ac:dyDescent="0.3">
      <c r="C5210"/>
    </row>
    <row r="5211" spans="3:3" x14ac:dyDescent="0.3">
      <c r="C5211"/>
    </row>
    <row r="5212" spans="3:3" x14ac:dyDescent="0.3">
      <c r="C5212"/>
    </row>
    <row r="5213" spans="3:3" x14ac:dyDescent="0.3">
      <c r="C5213"/>
    </row>
    <row r="5214" spans="3:3" x14ac:dyDescent="0.3">
      <c r="C5214"/>
    </row>
    <row r="5215" spans="3:3" x14ac:dyDescent="0.3">
      <c r="C5215"/>
    </row>
    <row r="5216" spans="3:3" x14ac:dyDescent="0.3">
      <c r="C5216"/>
    </row>
    <row r="5217" spans="3:3" x14ac:dyDescent="0.3">
      <c r="C5217"/>
    </row>
    <row r="5218" spans="3:3" x14ac:dyDescent="0.3">
      <c r="C5218"/>
    </row>
    <row r="5219" spans="3:3" x14ac:dyDescent="0.3">
      <c r="C5219"/>
    </row>
    <row r="5220" spans="3:3" x14ac:dyDescent="0.3">
      <c r="C5220"/>
    </row>
    <row r="5221" spans="3:3" x14ac:dyDescent="0.3">
      <c r="C5221"/>
    </row>
    <row r="5222" spans="3:3" x14ac:dyDescent="0.3">
      <c r="C5222"/>
    </row>
    <row r="5223" spans="3:3" x14ac:dyDescent="0.3">
      <c r="C5223"/>
    </row>
    <row r="5224" spans="3:3" x14ac:dyDescent="0.3">
      <c r="C5224"/>
    </row>
    <row r="5225" spans="3:3" x14ac:dyDescent="0.3">
      <c r="C5225"/>
    </row>
    <row r="5226" spans="3:3" x14ac:dyDescent="0.3">
      <c r="C5226"/>
    </row>
    <row r="5227" spans="3:3" x14ac:dyDescent="0.3">
      <c r="C5227"/>
    </row>
    <row r="5228" spans="3:3" x14ac:dyDescent="0.3">
      <c r="C5228"/>
    </row>
    <row r="5229" spans="3:3" x14ac:dyDescent="0.3">
      <c r="C5229"/>
    </row>
    <row r="5230" spans="3:3" x14ac:dyDescent="0.3">
      <c r="C5230"/>
    </row>
    <row r="5231" spans="3:3" x14ac:dyDescent="0.3">
      <c r="C5231"/>
    </row>
    <row r="5232" spans="3:3" x14ac:dyDescent="0.3">
      <c r="C5232"/>
    </row>
    <row r="5233" spans="3:3" x14ac:dyDescent="0.3">
      <c r="C5233"/>
    </row>
    <row r="5234" spans="3:3" x14ac:dyDescent="0.3">
      <c r="C5234"/>
    </row>
    <row r="5235" spans="3:3" x14ac:dyDescent="0.3">
      <c r="C5235"/>
    </row>
    <row r="5236" spans="3:3" x14ac:dyDescent="0.3">
      <c r="C5236"/>
    </row>
    <row r="5237" spans="3:3" x14ac:dyDescent="0.3">
      <c r="C5237"/>
    </row>
    <row r="5238" spans="3:3" x14ac:dyDescent="0.3">
      <c r="C5238"/>
    </row>
    <row r="5239" spans="3:3" x14ac:dyDescent="0.3">
      <c r="C5239"/>
    </row>
    <row r="5240" spans="3:3" x14ac:dyDescent="0.3">
      <c r="C5240"/>
    </row>
    <row r="5241" spans="3:3" x14ac:dyDescent="0.3">
      <c r="C5241"/>
    </row>
    <row r="5242" spans="3:3" x14ac:dyDescent="0.3">
      <c r="C5242"/>
    </row>
    <row r="5243" spans="3:3" x14ac:dyDescent="0.3">
      <c r="C5243"/>
    </row>
    <row r="5244" spans="3:3" x14ac:dyDescent="0.3">
      <c r="C5244"/>
    </row>
    <row r="5245" spans="3:3" x14ac:dyDescent="0.3">
      <c r="C5245"/>
    </row>
    <row r="5246" spans="3:3" x14ac:dyDescent="0.3">
      <c r="C5246"/>
    </row>
    <row r="5247" spans="3:3" x14ac:dyDescent="0.3">
      <c r="C5247"/>
    </row>
    <row r="5248" spans="3:3" x14ac:dyDescent="0.3">
      <c r="C5248"/>
    </row>
    <row r="5249" spans="3:3" x14ac:dyDescent="0.3">
      <c r="C5249"/>
    </row>
    <row r="5250" spans="3:3" x14ac:dyDescent="0.3">
      <c r="C5250"/>
    </row>
    <row r="5251" spans="3:3" x14ac:dyDescent="0.3">
      <c r="C5251"/>
    </row>
    <row r="5252" spans="3:3" x14ac:dyDescent="0.3">
      <c r="C5252"/>
    </row>
    <row r="5253" spans="3:3" x14ac:dyDescent="0.3">
      <c r="C5253"/>
    </row>
    <row r="5254" spans="3:3" x14ac:dyDescent="0.3">
      <c r="C5254"/>
    </row>
    <row r="5255" spans="3:3" x14ac:dyDescent="0.3">
      <c r="C5255"/>
    </row>
    <row r="5256" spans="3:3" x14ac:dyDescent="0.3">
      <c r="C5256"/>
    </row>
    <row r="5257" spans="3:3" x14ac:dyDescent="0.3">
      <c r="C5257"/>
    </row>
    <row r="5258" spans="3:3" x14ac:dyDescent="0.3">
      <c r="C5258"/>
    </row>
    <row r="5259" spans="3:3" x14ac:dyDescent="0.3">
      <c r="C5259"/>
    </row>
    <row r="5260" spans="3:3" x14ac:dyDescent="0.3">
      <c r="C5260"/>
    </row>
    <row r="5261" spans="3:3" x14ac:dyDescent="0.3">
      <c r="C5261"/>
    </row>
    <row r="5262" spans="3:3" x14ac:dyDescent="0.3">
      <c r="C5262"/>
    </row>
    <row r="5263" spans="3:3" x14ac:dyDescent="0.3">
      <c r="C5263"/>
    </row>
    <row r="5264" spans="3:3" x14ac:dyDescent="0.3">
      <c r="C5264"/>
    </row>
    <row r="5265" spans="3:3" x14ac:dyDescent="0.3">
      <c r="C5265"/>
    </row>
    <row r="5266" spans="3:3" x14ac:dyDescent="0.3">
      <c r="C5266"/>
    </row>
    <row r="5267" spans="3:3" x14ac:dyDescent="0.3">
      <c r="C5267"/>
    </row>
    <row r="5268" spans="3:3" x14ac:dyDescent="0.3">
      <c r="C5268"/>
    </row>
    <row r="5269" spans="3:3" x14ac:dyDescent="0.3">
      <c r="C5269"/>
    </row>
    <row r="5270" spans="3:3" x14ac:dyDescent="0.3">
      <c r="C5270"/>
    </row>
    <row r="5271" spans="3:3" x14ac:dyDescent="0.3">
      <c r="C5271"/>
    </row>
    <row r="5272" spans="3:3" x14ac:dyDescent="0.3">
      <c r="C5272"/>
    </row>
    <row r="5273" spans="3:3" x14ac:dyDescent="0.3">
      <c r="C5273"/>
    </row>
    <row r="5274" spans="3:3" x14ac:dyDescent="0.3">
      <c r="C5274"/>
    </row>
    <row r="5275" spans="3:3" x14ac:dyDescent="0.3">
      <c r="C5275"/>
    </row>
    <row r="5276" spans="3:3" x14ac:dyDescent="0.3">
      <c r="C5276"/>
    </row>
    <row r="5277" spans="3:3" x14ac:dyDescent="0.3">
      <c r="C5277"/>
    </row>
    <row r="5278" spans="3:3" x14ac:dyDescent="0.3">
      <c r="C5278"/>
    </row>
    <row r="5279" spans="3:3" x14ac:dyDescent="0.3">
      <c r="C5279"/>
    </row>
    <row r="5280" spans="3:3" x14ac:dyDescent="0.3">
      <c r="C5280"/>
    </row>
    <row r="5281" spans="3:3" x14ac:dyDescent="0.3">
      <c r="C5281"/>
    </row>
    <row r="5282" spans="3:3" x14ac:dyDescent="0.3">
      <c r="C5282"/>
    </row>
    <row r="5283" spans="3:3" x14ac:dyDescent="0.3">
      <c r="C5283"/>
    </row>
    <row r="5284" spans="3:3" x14ac:dyDescent="0.3">
      <c r="C5284"/>
    </row>
    <row r="5285" spans="3:3" x14ac:dyDescent="0.3">
      <c r="C5285"/>
    </row>
    <row r="5286" spans="3:3" x14ac:dyDescent="0.3">
      <c r="C5286"/>
    </row>
    <row r="5287" spans="3:3" x14ac:dyDescent="0.3">
      <c r="C5287"/>
    </row>
    <row r="5288" spans="3:3" x14ac:dyDescent="0.3">
      <c r="C5288"/>
    </row>
    <row r="5289" spans="3:3" x14ac:dyDescent="0.3">
      <c r="C5289"/>
    </row>
    <row r="5290" spans="3:3" x14ac:dyDescent="0.3">
      <c r="C5290"/>
    </row>
    <row r="5291" spans="3:3" x14ac:dyDescent="0.3">
      <c r="C5291"/>
    </row>
    <row r="5292" spans="3:3" x14ac:dyDescent="0.3">
      <c r="C5292"/>
    </row>
    <row r="5293" spans="3:3" x14ac:dyDescent="0.3">
      <c r="C5293"/>
    </row>
    <row r="5294" spans="3:3" x14ac:dyDescent="0.3">
      <c r="C5294"/>
    </row>
    <row r="5295" spans="3:3" x14ac:dyDescent="0.3">
      <c r="C5295"/>
    </row>
    <row r="5296" spans="3:3" x14ac:dyDescent="0.3">
      <c r="C5296"/>
    </row>
    <row r="5297" spans="3:3" x14ac:dyDescent="0.3">
      <c r="C5297"/>
    </row>
    <row r="5298" spans="3:3" x14ac:dyDescent="0.3">
      <c r="C5298"/>
    </row>
    <row r="5299" spans="3:3" x14ac:dyDescent="0.3">
      <c r="C5299"/>
    </row>
    <row r="5300" spans="3:3" x14ac:dyDescent="0.3">
      <c r="C5300"/>
    </row>
    <row r="5301" spans="3:3" x14ac:dyDescent="0.3">
      <c r="C5301"/>
    </row>
    <row r="5302" spans="3:3" x14ac:dyDescent="0.3">
      <c r="C5302"/>
    </row>
    <row r="5303" spans="3:3" x14ac:dyDescent="0.3">
      <c r="C5303"/>
    </row>
    <row r="5304" spans="3:3" x14ac:dyDescent="0.3">
      <c r="C5304"/>
    </row>
    <row r="5305" spans="3:3" x14ac:dyDescent="0.3">
      <c r="C5305"/>
    </row>
    <row r="5306" spans="3:3" x14ac:dyDescent="0.3">
      <c r="C5306"/>
    </row>
    <row r="5307" spans="3:3" x14ac:dyDescent="0.3">
      <c r="C5307"/>
    </row>
    <row r="5308" spans="3:3" x14ac:dyDescent="0.3">
      <c r="C5308"/>
    </row>
    <row r="5309" spans="3:3" x14ac:dyDescent="0.3">
      <c r="C5309"/>
    </row>
    <row r="5310" spans="3:3" x14ac:dyDescent="0.3">
      <c r="C5310"/>
    </row>
    <row r="5311" spans="3:3" x14ac:dyDescent="0.3">
      <c r="C5311"/>
    </row>
    <row r="5312" spans="3:3" x14ac:dyDescent="0.3">
      <c r="C5312"/>
    </row>
    <row r="5313" spans="3:3" x14ac:dyDescent="0.3">
      <c r="C5313"/>
    </row>
    <row r="5314" spans="3:3" x14ac:dyDescent="0.3">
      <c r="C5314"/>
    </row>
    <row r="5315" spans="3:3" x14ac:dyDescent="0.3">
      <c r="C5315"/>
    </row>
    <row r="5316" spans="3:3" x14ac:dyDescent="0.3">
      <c r="C5316"/>
    </row>
    <row r="5317" spans="3:3" x14ac:dyDescent="0.3">
      <c r="C5317"/>
    </row>
    <row r="5318" spans="3:3" x14ac:dyDescent="0.3">
      <c r="C5318"/>
    </row>
    <row r="5319" spans="3:3" x14ac:dyDescent="0.3">
      <c r="C5319"/>
    </row>
    <row r="5320" spans="3:3" x14ac:dyDescent="0.3">
      <c r="C5320"/>
    </row>
    <row r="5321" spans="3:3" x14ac:dyDescent="0.3">
      <c r="C5321"/>
    </row>
    <row r="5322" spans="3:3" x14ac:dyDescent="0.3">
      <c r="C5322"/>
    </row>
    <row r="5323" spans="3:3" x14ac:dyDescent="0.3">
      <c r="C5323"/>
    </row>
    <row r="5324" spans="3:3" x14ac:dyDescent="0.3">
      <c r="C5324"/>
    </row>
    <row r="5325" spans="3:3" x14ac:dyDescent="0.3">
      <c r="C5325"/>
    </row>
    <row r="5326" spans="3:3" x14ac:dyDescent="0.3">
      <c r="C5326"/>
    </row>
    <row r="5327" spans="3:3" x14ac:dyDescent="0.3">
      <c r="C5327"/>
    </row>
    <row r="5328" spans="3:3" x14ac:dyDescent="0.3">
      <c r="C5328"/>
    </row>
    <row r="5329" spans="3:3" x14ac:dyDescent="0.3">
      <c r="C5329"/>
    </row>
    <row r="5330" spans="3:3" x14ac:dyDescent="0.3">
      <c r="C5330"/>
    </row>
    <row r="5331" spans="3:3" x14ac:dyDescent="0.3">
      <c r="C5331"/>
    </row>
    <row r="5332" spans="3:3" x14ac:dyDescent="0.3">
      <c r="C5332"/>
    </row>
    <row r="5333" spans="3:3" x14ac:dyDescent="0.3">
      <c r="C5333"/>
    </row>
    <row r="5334" spans="3:3" x14ac:dyDescent="0.3">
      <c r="C5334"/>
    </row>
    <row r="5335" spans="3:3" x14ac:dyDescent="0.3">
      <c r="C5335"/>
    </row>
    <row r="5336" spans="3:3" x14ac:dyDescent="0.3">
      <c r="C5336"/>
    </row>
    <row r="5337" spans="3:3" x14ac:dyDescent="0.3">
      <c r="C5337"/>
    </row>
    <row r="5338" spans="3:3" x14ac:dyDescent="0.3">
      <c r="C5338"/>
    </row>
    <row r="5339" spans="3:3" x14ac:dyDescent="0.3">
      <c r="C5339"/>
    </row>
    <row r="5340" spans="3:3" x14ac:dyDescent="0.3">
      <c r="C5340"/>
    </row>
    <row r="5341" spans="3:3" x14ac:dyDescent="0.3">
      <c r="C5341"/>
    </row>
    <row r="5342" spans="3:3" x14ac:dyDescent="0.3">
      <c r="C5342"/>
    </row>
    <row r="5343" spans="3:3" x14ac:dyDescent="0.3">
      <c r="C5343"/>
    </row>
    <row r="5344" spans="3:3" x14ac:dyDescent="0.3">
      <c r="C5344"/>
    </row>
    <row r="5345" spans="3:3" x14ac:dyDescent="0.3">
      <c r="C5345"/>
    </row>
    <row r="5346" spans="3:3" x14ac:dyDescent="0.3">
      <c r="C5346"/>
    </row>
    <row r="5347" spans="3:3" x14ac:dyDescent="0.3">
      <c r="C5347"/>
    </row>
    <row r="5348" spans="3:3" x14ac:dyDescent="0.3">
      <c r="C5348"/>
    </row>
    <row r="5349" spans="3:3" x14ac:dyDescent="0.3">
      <c r="C5349"/>
    </row>
    <row r="5350" spans="3:3" x14ac:dyDescent="0.3">
      <c r="C5350"/>
    </row>
    <row r="5351" spans="3:3" x14ac:dyDescent="0.3">
      <c r="C5351"/>
    </row>
    <row r="5352" spans="3:3" x14ac:dyDescent="0.3">
      <c r="C5352"/>
    </row>
    <row r="5353" spans="3:3" x14ac:dyDescent="0.3">
      <c r="C5353"/>
    </row>
    <row r="5354" spans="3:3" x14ac:dyDescent="0.3">
      <c r="C5354"/>
    </row>
    <row r="5355" spans="3:3" x14ac:dyDescent="0.3">
      <c r="C5355"/>
    </row>
    <row r="5356" spans="3:3" x14ac:dyDescent="0.3">
      <c r="C5356"/>
    </row>
    <row r="5357" spans="3:3" x14ac:dyDescent="0.3">
      <c r="C5357"/>
    </row>
    <row r="5358" spans="3:3" x14ac:dyDescent="0.3">
      <c r="C5358"/>
    </row>
    <row r="5359" spans="3:3" x14ac:dyDescent="0.3">
      <c r="C5359"/>
    </row>
    <row r="5360" spans="3:3" x14ac:dyDescent="0.3">
      <c r="C5360"/>
    </row>
    <row r="5361" spans="3:3" x14ac:dyDescent="0.3">
      <c r="C5361"/>
    </row>
    <row r="5362" spans="3:3" x14ac:dyDescent="0.3">
      <c r="C5362"/>
    </row>
    <row r="5363" spans="3:3" x14ac:dyDescent="0.3">
      <c r="C5363"/>
    </row>
    <row r="5364" spans="3:3" x14ac:dyDescent="0.3">
      <c r="C5364"/>
    </row>
    <row r="5365" spans="3:3" x14ac:dyDescent="0.3">
      <c r="C5365"/>
    </row>
    <row r="5366" spans="3:3" x14ac:dyDescent="0.3">
      <c r="C5366"/>
    </row>
    <row r="5367" spans="3:3" x14ac:dyDescent="0.3">
      <c r="C5367"/>
    </row>
    <row r="5368" spans="3:3" x14ac:dyDescent="0.3">
      <c r="C5368"/>
    </row>
    <row r="5369" spans="3:3" x14ac:dyDescent="0.3">
      <c r="C5369"/>
    </row>
    <row r="5370" spans="3:3" x14ac:dyDescent="0.3">
      <c r="C5370"/>
    </row>
    <row r="5371" spans="3:3" x14ac:dyDescent="0.3">
      <c r="C5371"/>
    </row>
    <row r="5372" spans="3:3" x14ac:dyDescent="0.3">
      <c r="C5372"/>
    </row>
    <row r="5373" spans="3:3" x14ac:dyDescent="0.3">
      <c r="C5373"/>
    </row>
    <row r="5374" spans="3:3" x14ac:dyDescent="0.3">
      <c r="C5374"/>
    </row>
    <row r="5375" spans="3:3" x14ac:dyDescent="0.3">
      <c r="C5375"/>
    </row>
    <row r="5376" spans="3:3" x14ac:dyDescent="0.3">
      <c r="C5376"/>
    </row>
    <row r="5377" spans="3:3" x14ac:dyDescent="0.3">
      <c r="C5377"/>
    </row>
    <row r="5378" spans="3:3" x14ac:dyDescent="0.3">
      <c r="C5378"/>
    </row>
    <row r="5379" spans="3:3" x14ac:dyDescent="0.3">
      <c r="C5379"/>
    </row>
    <row r="5380" spans="3:3" x14ac:dyDescent="0.3">
      <c r="C5380"/>
    </row>
    <row r="5381" spans="3:3" x14ac:dyDescent="0.3">
      <c r="C5381"/>
    </row>
    <row r="5382" spans="3:3" x14ac:dyDescent="0.3">
      <c r="C5382"/>
    </row>
    <row r="5383" spans="3:3" x14ac:dyDescent="0.3">
      <c r="C5383"/>
    </row>
    <row r="5384" spans="3:3" x14ac:dyDescent="0.3">
      <c r="C5384"/>
    </row>
    <row r="5385" spans="3:3" x14ac:dyDescent="0.3">
      <c r="C5385"/>
    </row>
    <row r="5386" spans="3:3" x14ac:dyDescent="0.3">
      <c r="C5386"/>
    </row>
    <row r="5387" spans="3:3" x14ac:dyDescent="0.3">
      <c r="C5387"/>
    </row>
    <row r="5388" spans="3:3" x14ac:dyDescent="0.3">
      <c r="C5388"/>
    </row>
    <row r="5389" spans="3:3" x14ac:dyDescent="0.3">
      <c r="C5389"/>
    </row>
    <row r="5390" spans="3:3" x14ac:dyDescent="0.3">
      <c r="C5390"/>
    </row>
    <row r="5391" spans="3:3" x14ac:dyDescent="0.3">
      <c r="C5391"/>
    </row>
    <row r="5392" spans="3:3" x14ac:dyDescent="0.3">
      <c r="C5392"/>
    </row>
    <row r="5393" spans="3:3" x14ac:dyDescent="0.3">
      <c r="C5393"/>
    </row>
    <row r="5394" spans="3:3" x14ac:dyDescent="0.3">
      <c r="C5394"/>
    </row>
    <row r="5395" spans="3:3" x14ac:dyDescent="0.3">
      <c r="C5395"/>
    </row>
    <row r="5396" spans="3:3" x14ac:dyDescent="0.3">
      <c r="C5396"/>
    </row>
    <row r="5397" spans="3:3" x14ac:dyDescent="0.3">
      <c r="C5397"/>
    </row>
    <row r="5398" spans="3:3" x14ac:dyDescent="0.3">
      <c r="C5398"/>
    </row>
    <row r="5399" spans="3:3" x14ac:dyDescent="0.3">
      <c r="C5399"/>
    </row>
    <row r="5400" spans="3:3" x14ac:dyDescent="0.3">
      <c r="C5400"/>
    </row>
    <row r="5401" spans="3:3" x14ac:dyDescent="0.3">
      <c r="C5401"/>
    </row>
    <row r="5402" spans="3:3" x14ac:dyDescent="0.3">
      <c r="C5402"/>
    </row>
    <row r="5403" spans="3:3" x14ac:dyDescent="0.3">
      <c r="C5403"/>
    </row>
    <row r="5404" spans="3:3" x14ac:dyDescent="0.3">
      <c r="C5404"/>
    </row>
    <row r="5405" spans="3:3" x14ac:dyDescent="0.3">
      <c r="C5405"/>
    </row>
    <row r="5406" spans="3:3" x14ac:dyDescent="0.3">
      <c r="C5406"/>
    </row>
    <row r="5407" spans="3:3" x14ac:dyDescent="0.3">
      <c r="C5407"/>
    </row>
    <row r="5408" spans="3:3" x14ac:dyDescent="0.3">
      <c r="C5408"/>
    </row>
    <row r="5409" spans="3:3" x14ac:dyDescent="0.3">
      <c r="C5409"/>
    </row>
    <row r="5410" spans="3:3" x14ac:dyDescent="0.3">
      <c r="C5410"/>
    </row>
    <row r="5411" spans="3:3" x14ac:dyDescent="0.3">
      <c r="C5411"/>
    </row>
    <row r="5412" spans="3:3" x14ac:dyDescent="0.3">
      <c r="C5412"/>
    </row>
    <row r="5413" spans="3:3" x14ac:dyDescent="0.3">
      <c r="C5413"/>
    </row>
    <row r="5414" spans="3:3" x14ac:dyDescent="0.3">
      <c r="C5414"/>
    </row>
    <row r="5415" spans="3:3" x14ac:dyDescent="0.3">
      <c r="C5415"/>
    </row>
    <row r="5416" spans="3:3" x14ac:dyDescent="0.3">
      <c r="C5416"/>
    </row>
    <row r="5417" spans="3:3" x14ac:dyDescent="0.3">
      <c r="C5417"/>
    </row>
    <row r="5418" spans="3:3" x14ac:dyDescent="0.3">
      <c r="C5418"/>
    </row>
    <row r="5419" spans="3:3" x14ac:dyDescent="0.3">
      <c r="C5419"/>
    </row>
    <row r="5420" spans="3:3" x14ac:dyDescent="0.3">
      <c r="C5420"/>
    </row>
    <row r="5421" spans="3:3" x14ac:dyDescent="0.3">
      <c r="C5421"/>
    </row>
    <row r="5422" spans="3:3" x14ac:dyDescent="0.3">
      <c r="C5422"/>
    </row>
    <row r="5423" spans="3:3" x14ac:dyDescent="0.3">
      <c r="C5423"/>
    </row>
    <row r="5424" spans="3:3" x14ac:dyDescent="0.3">
      <c r="C5424"/>
    </row>
    <row r="5425" spans="3:3" x14ac:dyDescent="0.3">
      <c r="C5425"/>
    </row>
    <row r="5426" spans="3:3" x14ac:dyDescent="0.3">
      <c r="C5426"/>
    </row>
    <row r="5427" spans="3:3" x14ac:dyDescent="0.3">
      <c r="C5427"/>
    </row>
    <row r="5428" spans="3:3" x14ac:dyDescent="0.3">
      <c r="C5428"/>
    </row>
    <row r="5429" spans="3:3" x14ac:dyDescent="0.3">
      <c r="C5429"/>
    </row>
    <row r="5430" spans="3:3" x14ac:dyDescent="0.3">
      <c r="C5430"/>
    </row>
    <row r="5431" spans="3:3" x14ac:dyDescent="0.3">
      <c r="C5431"/>
    </row>
    <row r="5432" spans="3:3" x14ac:dyDescent="0.3">
      <c r="C5432"/>
    </row>
    <row r="5433" spans="3:3" x14ac:dyDescent="0.3">
      <c r="C5433"/>
    </row>
    <row r="5434" spans="3:3" x14ac:dyDescent="0.3">
      <c r="C5434"/>
    </row>
    <row r="5435" spans="3:3" x14ac:dyDescent="0.3">
      <c r="C5435"/>
    </row>
    <row r="5436" spans="3:3" x14ac:dyDescent="0.3">
      <c r="C5436"/>
    </row>
    <row r="5437" spans="3:3" x14ac:dyDescent="0.3">
      <c r="C5437"/>
    </row>
    <row r="5438" spans="3:3" x14ac:dyDescent="0.3">
      <c r="C5438"/>
    </row>
    <row r="5439" spans="3:3" x14ac:dyDescent="0.3">
      <c r="C5439"/>
    </row>
    <row r="5440" spans="3:3" x14ac:dyDescent="0.3">
      <c r="C5440"/>
    </row>
    <row r="5441" spans="3:3" x14ac:dyDescent="0.3">
      <c r="C5441"/>
    </row>
    <row r="5442" spans="3:3" x14ac:dyDescent="0.3">
      <c r="C5442"/>
    </row>
    <row r="5443" spans="3:3" x14ac:dyDescent="0.3">
      <c r="C5443"/>
    </row>
    <row r="5444" spans="3:3" x14ac:dyDescent="0.3">
      <c r="C5444"/>
    </row>
    <row r="5445" spans="3:3" x14ac:dyDescent="0.3">
      <c r="C5445"/>
    </row>
    <row r="5446" spans="3:3" x14ac:dyDescent="0.3">
      <c r="C5446"/>
    </row>
    <row r="5447" spans="3:3" x14ac:dyDescent="0.3">
      <c r="C5447"/>
    </row>
    <row r="5448" spans="3:3" x14ac:dyDescent="0.3">
      <c r="C5448"/>
    </row>
    <row r="5449" spans="3:3" x14ac:dyDescent="0.3">
      <c r="C5449"/>
    </row>
    <row r="5450" spans="3:3" x14ac:dyDescent="0.3">
      <c r="C5450"/>
    </row>
    <row r="5451" spans="3:3" x14ac:dyDescent="0.3">
      <c r="C5451"/>
    </row>
    <row r="5452" spans="3:3" x14ac:dyDescent="0.3">
      <c r="C5452"/>
    </row>
    <row r="5453" spans="3:3" x14ac:dyDescent="0.3">
      <c r="C5453"/>
    </row>
    <row r="5454" spans="3:3" x14ac:dyDescent="0.3">
      <c r="C5454"/>
    </row>
    <row r="5455" spans="3:3" x14ac:dyDescent="0.3">
      <c r="C5455"/>
    </row>
    <row r="5456" spans="3:3" x14ac:dyDescent="0.3">
      <c r="C5456"/>
    </row>
    <row r="5457" spans="3:3" x14ac:dyDescent="0.3">
      <c r="C5457"/>
    </row>
    <row r="5458" spans="3:3" x14ac:dyDescent="0.3">
      <c r="C5458"/>
    </row>
    <row r="5459" spans="3:3" x14ac:dyDescent="0.3">
      <c r="C5459"/>
    </row>
    <row r="5460" spans="3:3" x14ac:dyDescent="0.3">
      <c r="C5460"/>
    </row>
    <row r="5461" spans="3:3" x14ac:dyDescent="0.3">
      <c r="C5461"/>
    </row>
    <row r="5462" spans="3:3" x14ac:dyDescent="0.3">
      <c r="C5462"/>
    </row>
    <row r="5463" spans="3:3" x14ac:dyDescent="0.3">
      <c r="C5463"/>
    </row>
    <row r="5464" spans="3:3" x14ac:dyDescent="0.3">
      <c r="C5464"/>
    </row>
    <row r="5465" spans="3:3" x14ac:dyDescent="0.3">
      <c r="C5465"/>
    </row>
    <row r="5466" spans="3:3" x14ac:dyDescent="0.3">
      <c r="C5466"/>
    </row>
    <row r="5467" spans="3:3" x14ac:dyDescent="0.3">
      <c r="C5467"/>
    </row>
    <row r="5468" spans="3:3" x14ac:dyDescent="0.3">
      <c r="C5468"/>
    </row>
    <row r="5469" spans="3:3" x14ac:dyDescent="0.3">
      <c r="C5469"/>
    </row>
    <row r="5470" spans="3:3" x14ac:dyDescent="0.3">
      <c r="C5470"/>
    </row>
    <row r="5471" spans="3:3" x14ac:dyDescent="0.3">
      <c r="C5471"/>
    </row>
    <row r="5472" spans="3:3" x14ac:dyDescent="0.3">
      <c r="C5472"/>
    </row>
    <row r="5473" spans="3:3" x14ac:dyDescent="0.3">
      <c r="C5473"/>
    </row>
    <row r="5474" spans="3:3" x14ac:dyDescent="0.3">
      <c r="C5474"/>
    </row>
    <row r="5475" spans="3:3" x14ac:dyDescent="0.3">
      <c r="C5475"/>
    </row>
    <row r="5476" spans="3:3" x14ac:dyDescent="0.3">
      <c r="C5476"/>
    </row>
    <row r="5477" spans="3:3" x14ac:dyDescent="0.3">
      <c r="C5477"/>
    </row>
    <row r="5478" spans="3:3" x14ac:dyDescent="0.3">
      <c r="C5478"/>
    </row>
    <row r="5479" spans="3:3" x14ac:dyDescent="0.3">
      <c r="C5479"/>
    </row>
    <row r="5480" spans="3:3" x14ac:dyDescent="0.3">
      <c r="C5480"/>
    </row>
    <row r="5481" spans="3:3" x14ac:dyDescent="0.3">
      <c r="C5481"/>
    </row>
    <row r="5482" spans="3:3" x14ac:dyDescent="0.3">
      <c r="C5482"/>
    </row>
    <row r="5483" spans="3:3" x14ac:dyDescent="0.3">
      <c r="C5483"/>
    </row>
    <row r="5484" spans="3:3" x14ac:dyDescent="0.3">
      <c r="C5484"/>
    </row>
    <row r="5485" spans="3:3" x14ac:dyDescent="0.3">
      <c r="C5485"/>
    </row>
    <row r="5486" spans="3:3" x14ac:dyDescent="0.3">
      <c r="C5486"/>
    </row>
    <row r="5487" spans="3:3" x14ac:dyDescent="0.3">
      <c r="C5487"/>
    </row>
    <row r="5488" spans="3:3" x14ac:dyDescent="0.3">
      <c r="C5488"/>
    </row>
    <row r="5489" spans="3:3" x14ac:dyDescent="0.3">
      <c r="C5489"/>
    </row>
    <row r="5490" spans="3:3" x14ac:dyDescent="0.3">
      <c r="C5490"/>
    </row>
    <row r="5491" spans="3:3" x14ac:dyDescent="0.3">
      <c r="C5491"/>
    </row>
    <row r="5492" spans="3:3" x14ac:dyDescent="0.3">
      <c r="C5492"/>
    </row>
    <row r="5493" spans="3:3" x14ac:dyDescent="0.3">
      <c r="C5493"/>
    </row>
    <row r="5494" spans="3:3" x14ac:dyDescent="0.3">
      <c r="C5494"/>
    </row>
    <row r="5495" spans="3:3" x14ac:dyDescent="0.3">
      <c r="C5495"/>
    </row>
    <row r="5496" spans="3:3" x14ac:dyDescent="0.3">
      <c r="C5496"/>
    </row>
    <row r="5497" spans="3:3" x14ac:dyDescent="0.3">
      <c r="C5497"/>
    </row>
    <row r="5498" spans="3:3" x14ac:dyDescent="0.3">
      <c r="C5498"/>
    </row>
    <row r="5499" spans="3:3" x14ac:dyDescent="0.3">
      <c r="C5499"/>
    </row>
    <row r="5500" spans="3:3" x14ac:dyDescent="0.3">
      <c r="C5500"/>
    </row>
    <row r="5501" spans="3:3" x14ac:dyDescent="0.3">
      <c r="C5501"/>
    </row>
    <row r="5502" spans="3:3" x14ac:dyDescent="0.3">
      <c r="C5502"/>
    </row>
    <row r="5503" spans="3:3" x14ac:dyDescent="0.3">
      <c r="C5503"/>
    </row>
    <row r="5504" spans="3:3" x14ac:dyDescent="0.3">
      <c r="C5504"/>
    </row>
    <row r="5505" spans="3:3" x14ac:dyDescent="0.3">
      <c r="C5505"/>
    </row>
    <row r="5506" spans="3:3" x14ac:dyDescent="0.3">
      <c r="C5506"/>
    </row>
    <row r="5507" spans="3:3" x14ac:dyDescent="0.3">
      <c r="C5507"/>
    </row>
    <row r="5508" spans="3:3" x14ac:dyDescent="0.3">
      <c r="C5508"/>
    </row>
    <row r="5509" spans="3:3" x14ac:dyDescent="0.3">
      <c r="C5509"/>
    </row>
    <row r="5510" spans="3:3" x14ac:dyDescent="0.3">
      <c r="C5510"/>
    </row>
    <row r="5511" spans="3:3" x14ac:dyDescent="0.3">
      <c r="C5511"/>
    </row>
    <row r="5512" spans="3:3" x14ac:dyDescent="0.3">
      <c r="C5512"/>
    </row>
    <row r="5513" spans="3:3" x14ac:dyDescent="0.3">
      <c r="C5513"/>
    </row>
    <row r="5514" spans="3:3" x14ac:dyDescent="0.3">
      <c r="C5514"/>
    </row>
    <row r="5515" spans="3:3" x14ac:dyDescent="0.3">
      <c r="C5515"/>
    </row>
    <row r="5516" spans="3:3" x14ac:dyDescent="0.3">
      <c r="C5516"/>
    </row>
    <row r="5517" spans="3:3" x14ac:dyDescent="0.3">
      <c r="C5517"/>
    </row>
    <row r="5518" spans="3:3" x14ac:dyDescent="0.3">
      <c r="C5518"/>
    </row>
    <row r="5519" spans="3:3" x14ac:dyDescent="0.3">
      <c r="C5519"/>
    </row>
    <row r="5520" spans="3:3" x14ac:dyDescent="0.3">
      <c r="C5520"/>
    </row>
    <row r="5521" spans="3:3" x14ac:dyDescent="0.3">
      <c r="C5521"/>
    </row>
    <row r="5522" spans="3:3" x14ac:dyDescent="0.3">
      <c r="C5522"/>
    </row>
    <row r="5523" spans="3:3" x14ac:dyDescent="0.3">
      <c r="C5523"/>
    </row>
    <row r="5524" spans="3:3" x14ac:dyDescent="0.3">
      <c r="C5524"/>
    </row>
    <row r="5525" spans="3:3" x14ac:dyDescent="0.3">
      <c r="C5525"/>
    </row>
    <row r="5526" spans="3:3" x14ac:dyDescent="0.3">
      <c r="C5526"/>
    </row>
    <row r="5527" spans="3:3" x14ac:dyDescent="0.3">
      <c r="C5527"/>
    </row>
    <row r="5528" spans="3:3" x14ac:dyDescent="0.3">
      <c r="C5528"/>
    </row>
    <row r="5529" spans="3:3" x14ac:dyDescent="0.3">
      <c r="C5529"/>
    </row>
    <row r="5530" spans="3:3" x14ac:dyDescent="0.3">
      <c r="C5530"/>
    </row>
    <row r="5531" spans="3:3" x14ac:dyDescent="0.3">
      <c r="C5531"/>
    </row>
    <row r="5532" spans="3:3" x14ac:dyDescent="0.3">
      <c r="C5532"/>
    </row>
    <row r="5533" spans="3:3" x14ac:dyDescent="0.3">
      <c r="C5533"/>
    </row>
    <row r="5534" spans="3:3" x14ac:dyDescent="0.3">
      <c r="C5534"/>
    </row>
    <row r="5535" spans="3:3" x14ac:dyDescent="0.3">
      <c r="C5535"/>
    </row>
    <row r="5536" spans="3:3" x14ac:dyDescent="0.3">
      <c r="C5536"/>
    </row>
    <row r="5537" spans="3:3" x14ac:dyDescent="0.3">
      <c r="C5537"/>
    </row>
    <row r="5538" spans="3:3" x14ac:dyDescent="0.3">
      <c r="C5538"/>
    </row>
    <row r="5539" spans="3:3" x14ac:dyDescent="0.3">
      <c r="C5539"/>
    </row>
    <row r="5540" spans="3:3" x14ac:dyDescent="0.3">
      <c r="C5540"/>
    </row>
    <row r="5541" spans="3:3" x14ac:dyDescent="0.3">
      <c r="C5541"/>
    </row>
    <row r="5542" spans="3:3" x14ac:dyDescent="0.3">
      <c r="C5542"/>
    </row>
    <row r="5543" spans="3:3" x14ac:dyDescent="0.3">
      <c r="C5543"/>
    </row>
    <row r="5544" spans="3:3" x14ac:dyDescent="0.3">
      <c r="C5544"/>
    </row>
    <row r="5545" spans="3:3" x14ac:dyDescent="0.3">
      <c r="C5545"/>
    </row>
    <row r="5546" spans="3:3" x14ac:dyDescent="0.3">
      <c r="C5546"/>
    </row>
    <row r="5547" spans="3:3" x14ac:dyDescent="0.3">
      <c r="C5547"/>
    </row>
    <row r="5548" spans="3:3" x14ac:dyDescent="0.3">
      <c r="C5548"/>
    </row>
    <row r="5549" spans="3:3" x14ac:dyDescent="0.3">
      <c r="C5549"/>
    </row>
    <row r="5550" spans="3:3" x14ac:dyDescent="0.3">
      <c r="C5550"/>
    </row>
    <row r="5551" spans="3:3" x14ac:dyDescent="0.3">
      <c r="C5551"/>
    </row>
    <row r="5552" spans="3:3" x14ac:dyDescent="0.3">
      <c r="C5552"/>
    </row>
    <row r="5553" spans="3:3" x14ac:dyDescent="0.3">
      <c r="C5553"/>
    </row>
    <row r="5554" spans="3:3" x14ac:dyDescent="0.3">
      <c r="C5554"/>
    </row>
    <row r="5555" spans="3:3" x14ac:dyDescent="0.3">
      <c r="C5555"/>
    </row>
    <row r="5556" spans="3:3" x14ac:dyDescent="0.3">
      <c r="C5556"/>
    </row>
    <row r="5557" spans="3:3" x14ac:dyDescent="0.3">
      <c r="C5557"/>
    </row>
    <row r="5558" spans="3:3" x14ac:dyDescent="0.3">
      <c r="C5558"/>
    </row>
    <row r="5559" spans="3:3" x14ac:dyDescent="0.3">
      <c r="C5559"/>
    </row>
    <row r="5560" spans="3:3" x14ac:dyDescent="0.3">
      <c r="C5560"/>
    </row>
    <row r="5561" spans="3:3" x14ac:dyDescent="0.3">
      <c r="C5561"/>
    </row>
    <row r="5562" spans="3:3" x14ac:dyDescent="0.3">
      <c r="C5562"/>
    </row>
    <row r="5563" spans="3:3" x14ac:dyDescent="0.3">
      <c r="C5563"/>
    </row>
    <row r="5564" spans="3:3" x14ac:dyDescent="0.3">
      <c r="C5564"/>
    </row>
    <row r="5565" spans="3:3" x14ac:dyDescent="0.3">
      <c r="C5565"/>
    </row>
    <row r="5566" spans="3:3" x14ac:dyDescent="0.3">
      <c r="C5566"/>
    </row>
    <row r="5567" spans="3:3" x14ac:dyDescent="0.3">
      <c r="C5567"/>
    </row>
    <row r="5568" spans="3:3" x14ac:dyDescent="0.3">
      <c r="C5568"/>
    </row>
    <row r="5569" spans="3:3" x14ac:dyDescent="0.3">
      <c r="C5569"/>
    </row>
    <row r="5570" spans="3:3" x14ac:dyDescent="0.3">
      <c r="C5570"/>
    </row>
    <row r="5571" spans="3:3" x14ac:dyDescent="0.3">
      <c r="C5571"/>
    </row>
    <row r="5572" spans="3:3" x14ac:dyDescent="0.3">
      <c r="C5572"/>
    </row>
    <row r="5573" spans="3:3" x14ac:dyDescent="0.3">
      <c r="C5573"/>
    </row>
    <row r="5574" spans="3:3" x14ac:dyDescent="0.3">
      <c r="C5574"/>
    </row>
    <row r="5575" spans="3:3" x14ac:dyDescent="0.3">
      <c r="C5575"/>
    </row>
    <row r="5576" spans="3:3" x14ac:dyDescent="0.3">
      <c r="C5576"/>
    </row>
    <row r="5577" spans="3:3" x14ac:dyDescent="0.3">
      <c r="C5577"/>
    </row>
    <row r="5578" spans="3:3" x14ac:dyDescent="0.3">
      <c r="C5578"/>
    </row>
    <row r="5579" spans="3:3" x14ac:dyDescent="0.3">
      <c r="C5579"/>
    </row>
    <row r="5580" spans="3:3" x14ac:dyDescent="0.3">
      <c r="C5580"/>
    </row>
    <row r="5581" spans="3:3" x14ac:dyDescent="0.3">
      <c r="C5581"/>
    </row>
    <row r="5582" spans="3:3" x14ac:dyDescent="0.3">
      <c r="C5582"/>
    </row>
    <row r="5583" spans="3:3" x14ac:dyDescent="0.3">
      <c r="C5583"/>
    </row>
    <row r="5584" spans="3:3" x14ac:dyDescent="0.3">
      <c r="C5584"/>
    </row>
    <row r="5585" spans="3:3" x14ac:dyDescent="0.3">
      <c r="C5585"/>
    </row>
    <row r="5586" spans="3:3" x14ac:dyDescent="0.3">
      <c r="C5586"/>
    </row>
    <row r="5587" spans="3:3" x14ac:dyDescent="0.3">
      <c r="C5587"/>
    </row>
    <row r="5588" spans="3:3" x14ac:dyDescent="0.3">
      <c r="C5588"/>
    </row>
    <row r="5589" spans="3:3" x14ac:dyDescent="0.3">
      <c r="C5589"/>
    </row>
    <row r="5590" spans="3:3" x14ac:dyDescent="0.3">
      <c r="C5590"/>
    </row>
    <row r="5591" spans="3:3" x14ac:dyDescent="0.3">
      <c r="C5591"/>
    </row>
    <row r="5592" spans="3:3" x14ac:dyDescent="0.3">
      <c r="C5592"/>
    </row>
    <row r="5593" spans="3:3" x14ac:dyDescent="0.3">
      <c r="C5593"/>
    </row>
    <row r="5594" spans="3:3" x14ac:dyDescent="0.3">
      <c r="C5594"/>
    </row>
    <row r="5595" spans="3:3" x14ac:dyDescent="0.3">
      <c r="C5595"/>
    </row>
    <row r="5596" spans="3:3" x14ac:dyDescent="0.3">
      <c r="C5596"/>
    </row>
    <row r="5597" spans="3:3" x14ac:dyDescent="0.3">
      <c r="C5597"/>
    </row>
    <row r="5598" spans="3:3" x14ac:dyDescent="0.3">
      <c r="C5598"/>
    </row>
    <row r="5599" spans="3:3" x14ac:dyDescent="0.3">
      <c r="C5599"/>
    </row>
    <row r="5600" spans="3:3" x14ac:dyDescent="0.3">
      <c r="C5600"/>
    </row>
    <row r="5601" spans="3:3" x14ac:dyDescent="0.3">
      <c r="C5601"/>
    </row>
    <row r="5602" spans="3:3" x14ac:dyDescent="0.3">
      <c r="C5602"/>
    </row>
    <row r="5603" spans="3:3" x14ac:dyDescent="0.3">
      <c r="C5603"/>
    </row>
    <row r="5604" spans="3:3" x14ac:dyDescent="0.3">
      <c r="C5604"/>
    </row>
    <row r="5605" spans="3:3" x14ac:dyDescent="0.3">
      <c r="C5605"/>
    </row>
    <row r="5606" spans="3:3" x14ac:dyDescent="0.3">
      <c r="C5606"/>
    </row>
    <row r="5607" spans="3:3" x14ac:dyDescent="0.3">
      <c r="C5607"/>
    </row>
    <row r="5608" spans="3:3" x14ac:dyDescent="0.3">
      <c r="C5608"/>
    </row>
    <row r="5609" spans="3:3" x14ac:dyDescent="0.3">
      <c r="C5609"/>
    </row>
    <row r="5610" spans="3:3" x14ac:dyDescent="0.3">
      <c r="C5610"/>
    </row>
    <row r="5611" spans="3:3" x14ac:dyDescent="0.3">
      <c r="C5611"/>
    </row>
    <row r="5612" spans="3:3" x14ac:dyDescent="0.3">
      <c r="C5612"/>
    </row>
    <row r="5613" spans="3:3" x14ac:dyDescent="0.3">
      <c r="C5613"/>
    </row>
    <row r="5614" spans="3:3" x14ac:dyDescent="0.3">
      <c r="C5614"/>
    </row>
    <row r="5615" spans="3:3" x14ac:dyDescent="0.3">
      <c r="C5615"/>
    </row>
    <row r="5616" spans="3:3" x14ac:dyDescent="0.3">
      <c r="C5616"/>
    </row>
    <row r="5617" spans="3:3" x14ac:dyDescent="0.3">
      <c r="C5617"/>
    </row>
    <row r="5618" spans="3:3" x14ac:dyDescent="0.3">
      <c r="C5618"/>
    </row>
    <row r="5619" spans="3:3" x14ac:dyDescent="0.3">
      <c r="C5619"/>
    </row>
    <row r="5620" spans="3:3" x14ac:dyDescent="0.3">
      <c r="C5620"/>
    </row>
    <row r="5621" spans="3:3" x14ac:dyDescent="0.3">
      <c r="C5621"/>
    </row>
    <row r="5622" spans="3:3" x14ac:dyDescent="0.3">
      <c r="C5622"/>
    </row>
    <row r="5623" spans="3:3" x14ac:dyDescent="0.3">
      <c r="C5623"/>
    </row>
    <row r="5624" spans="3:3" x14ac:dyDescent="0.3">
      <c r="C5624"/>
    </row>
    <row r="5625" spans="3:3" x14ac:dyDescent="0.3">
      <c r="C5625"/>
    </row>
    <row r="5626" spans="3:3" x14ac:dyDescent="0.3">
      <c r="C5626"/>
    </row>
    <row r="5627" spans="3:3" x14ac:dyDescent="0.3">
      <c r="C5627"/>
    </row>
    <row r="5628" spans="3:3" x14ac:dyDescent="0.3">
      <c r="C5628"/>
    </row>
    <row r="5629" spans="3:3" x14ac:dyDescent="0.3">
      <c r="C5629"/>
    </row>
    <row r="5630" spans="3:3" x14ac:dyDescent="0.3">
      <c r="C5630"/>
    </row>
    <row r="5631" spans="3:3" x14ac:dyDescent="0.3">
      <c r="C5631"/>
    </row>
    <row r="5632" spans="3:3" x14ac:dyDescent="0.3">
      <c r="C5632"/>
    </row>
    <row r="5633" spans="3:3" x14ac:dyDescent="0.3">
      <c r="C5633"/>
    </row>
    <row r="5634" spans="3:3" x14ac:dyDescent="0.3">
      <c r="C5634"/>
    </row>
    <row r="5635" spans="3:3" x14ac:dyDescent="0.3">
      <c r="C5635"/>
    </row>
    <row r="5636" spans="3:3" x14ac:dyDescent="0.3">
      <c r="C5636"/>
    </row>
    <row r="5637" spans="3:3" x14ac:dyDescent="0.3">
      <c r="C5637"/>
    </row>
    <row r="5638" spans="3:3" x14ac:dyDescent="0.3">
      <c r="C5638"/>
    </row>
    <row r="5639" spans="3:3" x14ac:dyDescent="0.3">
      <c r="C5639"/>
    </row>
    <row r="5640" spans="3:3" x14ac:dyDescent="0.3">
      <c r="C5640"/>
    </row>
    <row r="5641" spans="3:3" x14ac:dyDescent="0.3">
      <c r="C5641"/>
    </row>
    <row r="5642" spans="3:3" x14ac:dyDescent="0.3">
      <c r="C5642"/>
    </row>
    <row r="5643" spans="3:3" x14ac:dyDescent="0.3">
      <c r="C5643"/>
    </row>
    <row r="5644" spans="3:3" x14ac:dyDescent="0.3">
      <c r="C5644"/>
    </row>
    <row r="5645" spans="3:3" x14ac:dyDescent="0.3">
      <c r="C5645"/>
    </row>
    <row r="5646" spans="3:3" x14ac:dyDescent="0.3">
      <c r="C5646"/>
    </row>
    <row r="5647" spans="3:3" x14ac:dyDescent="0.3">
      <c r="C5647"/>
    </row>
    <row r="5648" spans="3:3" x14ac:dyDescent="0.3">
      <c r="C5648"/>
    </row>
    <row r="5649" spans="3:3" x14ac:dyDescent="0.3">
      <c r="C5649"/>
    </row>
    <row r="5650" spans="3:3" x14ac:dyDescent="0.3">
      <c r="C5650"/>
    </row>
    <row r="5651" spans="3:3" x14ac:dyDescent="0.3">
      <c r="C5651"/>
    </row>
    <row r="5652" spans="3:3" x14ac:dyDescent="0.3">
      <c r="C5652"/>
    </row>
    <row r="5653" spans="3:3" x14ac:dyDescent="0.3">
      <c r="C5653"/>
    </row>
    <row r="5654" spans="3:3" x14ac:dyDescent="0.3">
      <c r="C5654"/>
    </row>
    <row r="5655" spans="3:3" x14ac:dyDescent="0.3">
      <c r="C5655"/>
    </row>
    <row r="5656" spans="3:3" x14ac:dyDescent="0.3">
      <c r="C5656"/>
    </row>
    <row r="5657" spans="3:3" x14ac:dyDescent="0.3">
      <c r="C5657"/>
    </row>
    <row r="5658" spans="3:3" x14ac:dyDescent="0.3">
      <c r="C5658"/>
    </row>
    <row r="5659" spans="3:3" x14ac:dyDescent="0.3">
      <c r="C5659"/>
    </row>
    <row r="5660" spans="3:3" x14ac:dyDescent="0.3">
      <c r="C5660"/>
    </row>
    <row r="5661" spans="3:3" x14ac:dyDescent="0.3">
      <c r="C5661"/>
    </row>
    <row r="5662" spans="3:3" x14ac:dyDescent="0.3">
      <c r="C5662"/>
    </row>
    <row r="5663" spans="3:3" x14ac:dyDescent="0.3">
      <c r="C5663"/>
    </row>
    <row r="5664" spans="3:3" x14ac:dyDescent="0.3">
      <c r="C5664"/>
    </row>
    <row r="5665" spans="3:3" x14ac:dyDescent="0.3">
      <c r="C5665"/>
    </row>
    <row r="5666" spans="3:3" x14ac:dyDescent="0.3">
      <c r="C5666"/>
    </row>
    <row r="5667" spans="3:3" x14ac:dyDescent="0.3">
      <c r="C5667"/>
    </row>
    <row r="5668" spans="3:3" x14ac:dyDescent="0.3">
      <c r="C5668"/>
    </row>
    <row r="5669" spans="3:3" x14ac:dyDescent="0.3">
      <c r="C5669"/>
    </row>
    <row r="5670" spans="3:3" x14ac:dyDescent="0.3">
      <c r="C5670"/>
    </row>
    <row r="5671" spans="3:3" x14ac:dyDescent="0.3">
      <c r="C5671"/>
    </row>
    <row r="5672" spans="3:3" x14ac:dyDescent="0.3">
      <c r="C5672"/>
    </row>
    <row r="5673" spans="3:3" x14ac:dyDescent="0.3">
      <c r="C5673"/>
    </row>
    <row r="5674" spans="3:3" x14ac:dyDescent="0.3">
      <c r="C5674"/>
    </row>
    <row r="5675" spans="3:3" x14ac:dyDescent="0.3">
      <c r="C5675"/>
    </row>
    <row r="5676" spans="3:3" x14ac:dyDescent="0.3">
      <c r="C5676"/>
    </row>
    <row r="5677" spans="3:3" x14ac:dyDescent="0.3">
      <c r="C5677"/>
    </row>
    <row r="5678" spans="3:3" x14ac:dyDescent="0.3">
      <c r="C5678"/>
    </row>
    <row r="5679" spans="3:3" x14ac:dyDescent="0.3">
      <c r="C5679"/>
    </row>
    <row r="5680" spans="3:3" x14ac:dyDescent="0.3">
      <c r="C5680"/>
    </row>
    <row r="5681" spans="3:3" x14ac:dyDescent="0.3">
      <c r="C5681"/>
    </row>
    <row r="5682" spans="3:3" x14ac:dyDescent="0.3">
      <c r="C5682"/>
    </row>
    <row r="5683" spans="3:3" x14ac:dyDescent="0.3">
      <c r="C5683"/>
    </row>
    <row r="5684" spans="3:3" x14ac:dyDescent="0.3">
      <c r="C5684"/>
    </row>
    <row r="5685" spans="3:3" x14ac:dyDescent="0.3">
      <c r="C5685"/>
    </row>
    <row r="5686" spans="3:3" x14ac:dyDescent="0.3">
      <c r="C5686"/>
    </row>
    <row r="5687" spans="3:3" x14ac:dyDescent="0.3">
      <c r="C5687"/>
    </row>
    <row r="5688" spans="3:3" x14ac:dyDescent="0.3">
      <c r="C5688"/>
    </row>
    <row r="5689" spans="3:3" x14ac:dyDescent="0.3">
      <c r="C5689"/>
    </row>
    <row r="5690" spans="3:3" x14ac:dyDescent="0.3">
      <c r="C5690"/>
    </row>
    <row r="5691" spans="3:3" x14ac:dyDescent="0.3">
      <c r="C5691"/>
    </row>
    <row r="5692" spans="3:3" x14ac:dyDescent="0.3">
      <c r="C5692"/>
    </row>
    <row r="5693" spans="3:3" x14ac:dyDescent="0.3">
      <c r="C5693"/>
    </row>
    <row r="5694" spans="3:3" x14ac:dyDescent="0.3">
      <c r="C5694"/>
    </row>
    <row r="5695" spans="3:3" x14ac:dyDescent="0.3">
      <c r="C5695"/>
    </row>
    <row r="5696" spans="3:3" x14ac:dyDescent="0.3">
      <c r="C5696"/>
    </row>
    <row r="5697" spans="3:3" x14ac:dyDescent="0.3">
      <c r="C5697"/>
    </row>
    <row r="5698" spans="3:3" x14ac:dyDescent="0.3">
      <c r="C5698"/>
    </row>
    <row r="5699" spans="3:3" x14ac:dyDescent="0.3">
      <c r="C5699"/>
    </row>
    <row r="5700" spans="3:3" x14ac:dyDescent="0.3">
      <c r="C5700"/>
    </row>
    <row r="5701" spans="3:3" x14ac:dyDescent="0.3">
      <c r="C5701"/>
    </row>
    <row r="5702" spans="3:3" x14ac:dyDescent="0.3">
      <c r="C5702"/>
    </row>
    <row r="5703" spans="3:3" x14ac:dyDescent="0.3">
      <c r="C5703"/>
    </row>
    <row r="5704" spans="3:3" x14ac:dyDescent="0.3">
      <c r="C5704"/>
    </row>
    <row r="5705" spans="3:3" x14ac:dyDescent="0.3">
      <c r="C5705"/>
    </row>
    <row r="5706" spans="3:3" x14ac:dyDescent="0.3">
      <c r="C5706"/>
    </row>
    <row r="5707" spans="3:3" x14ac:dyDescent="0.3">
      <c r="C5707"/>
    </row>
    <row r="5708" spans="3:3" x14ac:dyDescent="0.3">
      <c r="C5708"/>
    </row>
    <row r="5709" spans="3:3" x14ac:dyDescent="0.3">
      <c r="C5709"/>
    </row>
    <row r="5710" spans="3:3" x14ac:dyDescent="0.3">
      <c r="C5710"/>
    </row>
    <row r="5711" spans="3:3" x14ac:dyDescent="0.3">
      <c r="C5711"/>
    </row>
    <row r="5712" spans="3:3" x14ac:dyDescent="0.3">
      <c r="C5712"/>
    </row>
    <row r="5713" spans="3:3" x14ac:dyDescent="0.3">
      <c r="C5713"/>
    </row>
    <row r="5714" spans="3:3" x14ac:dyDescent="0.3">
      <c r="C5714"/>
    </row>
    <row r="5715" spans="3:3" x14ac:dyDescent="0.3">
      <c r="C5715"/>
    </row>
    <row r="5716" spans="3:3" x14ac:dyDescent="0.3">
      <c r="C5716"/>
    </row>
    <row r="5717" spans="3:3" x14ac:dyDescent="0.3">
      <c r="C5717"/>
    </row>
    <row r="5718" spans="3:3" x14ac:dyDescent="0.3">
      <c r="C5718"/>
    </row>
    <row r="5719" spans="3:3" x14ac:dyDescent="0.3">
      <c r="C5719"/>
    </row>
    <row r="5720" spans="3:3" x14ac:dyDescent="0.3">
      <c r="C5720"/>
    </row>
    <row r="5721" spans="3:3" x14ac:dyDescent="0.3">
      <c r="C5721"/>
    </row>
    <row r="5722" spans="3:3" x14ac:dyDescent="0.3">
      <c r="C5722"/>
    </row>
    <row r="5723" spans="3:3" x14ac:dyDescent="0.3">
      <c r="C5723"/>
    </row>
    <row r="5724" spans="3:3" x14ac:dyDescent="0.3">
      <c r="C5724"/>
    </row>
    <row r="5725" spans="3:3" x14ac:dyDescent="0.3">
      <c r="C5725"/>
    </row>
    <row r="5726" spans="3:3" x14ac:dyDescent="0.3">
      <c r="C5726"/>
    </row>
    <row r="5727" spans="3:3" x14ac:dyDescent="0.3">
      <c r="C5727"/>
    </row>
    <row r="5728" spans="3:3" x14ac:dyDescent="0.3">
      <c r="C5728"/>
    </row>
    <row r="5729" spans="3:3" x14ac:dyDescent="0.3">
      <c r="C5729"/>
    </row>
    <row r="5730" spans="3:3" x14ac:dyDescent="0.3">
      <c r="C5730"/>
    </row>
    <row r="5731" spans="3:3" x14ac:dyDescent="0.3">
      <c r="C5731"/>
    </row>
    <row r="5732" spans="3:3" x14ac:dyDescent="0.3">
      <c r="C5732"/>
    </row>
    <row r="5733" spans="3:3" x14ac:dyDescent="0.3">
      <c r="C5733"/>
    </row>
    <row r="5734" spans="3:3" x14ac:dyDescent="0.3">
      <c r="C5734"/>
    </row>
    <row r="5735" spans="3:3" x14ac:dyDescent="0.3">
      <c r="C5735"/>
    </row>
    <row r="5736" spans="3:3" x14ac:dyDescent="0.3">
      <c r="C5736"/>
    </row>
    <row r="5737" spans="3:3" x14ac:dyDescent="0.3">
      <c r="C5737"/>
    </row>
    <row r="5738" spans="3:3" x14ac:dyDescent="0.3">
      <c r="C5738"/>
    </row>
    <row r="5739" spans="3:3" x14ac:dyDescent="0.3">
      <c r="C5739"/>
    </row>
    <row r="5740" spans="3:3" x14ac:dyDescent="0.3">
      <c r="C5740"/>
    </row>
    <row r="5741" spans="3:3" x14ac:dyDescent="0.3">
      <c r="C5741"/>
    </row>
    <row r="5742" spans="3:3" x14ac:dyDescent="0.3">
      <c r="C5742"/>
    </row>
    <row r="5743" spans="3:3" x14ac:dyDescent="0.3">
      <c r="C5743"/>
    </row>
    <row r="5744" spans="3:3" x14ac:dyDescent="0.3">
      <c r="C5744"/>
    </row>
    <row r="5745" spans="3:3" x14ac:dyDescent="0.3">
      <c r="C5745"/>
    </row>
    <row r="5746" spans="3:3" x14ac:dyDescent="0.3">
      <c r="C5746"/>
    </row>
    <row r="5747" spans="3:3" x14ac:dyDescent="0.3">
      <c r="C5747"/>
    </row>
    <row r="5748" spans="3:3" x14ac:dyDescent="0.3">
      <c r="C5748"/>
    </row>
    <row r="5749" spans="3:3" x14ac:dyDescent="0.3">
      <c r="C5749"/>
    </row>
    <row r="5750" spans="3:3" x14ac:dyDescent="0.3">
      <c r="C5750"/>
    </row>
    <row r="5751" spans="3:3" x14ac:dyDescent="0.3">
      <c r="C5751"/>
    </row>
    <row r="5752" spans="3:3" x14ac:dyDescent="0.3">
      <c r="C5752"/>
    </row>
    <row r="5753" spans="3:3" x14ac:dyDescent="0.3">
      <c r="C5753"/>
    </row>
    <row r="5754" spans="3:3" x14ac:dyDescent="0.3">
      <c r="C5754"/>
    </row>
    <row r="5755" spans="3:3" x14ac:dyDescent="0.3">
      <c r="C5755"/>
    </row>
    <row r="5756" spans="3:3" x14ac:dyDescent="0.3">
      <c r="C5756"/>
    </row>
    <row r="5757" spans="3:3" x14ac:dyDescent="0.3">
      <c r="C5757"/>
    </row>
    <row r="5758" spans="3:3" x14ac:dyDescent="0.3">
      <c r="C5758"/>
    </row>
    <row r="5759" spans="3:3" x14ac:dyDescent="0.3">
      <c r="C5759"/>
    </row>
    <row r="5760" spans="3:3" x14ac:dyDescent="0.3">
      <c r="C5760"/>
    </row>
    <row r="5761" spans="3:3" x14ac:dyDescent="0.3">
      <c r="C5761"/>
    </row>
    <row r="5762" spans="3:3" x14ac:dyDescent="0.3">
      <c r="C5762"/>
    </row>
    <row r="5763" spans="3:3" x14ac:dyDescent="0.3">
      <c r="C5763"/>
    </row>
    <row r="5764" spans="3:3" x14ac:dyDescent="0.3">
      <c r="C5764"/>
    </row>
    <row r="5765" spans="3:3" x14ac:dyDescent="0.3">
      <c r="C5765"/>
    </row>
    <row r="5766" spans="3:3" x14ac:dyDescent="0.3">
      <c r="C5766"/>
    </row>
    <row r="5767" spans="3:3" x14ac:dyDescent="0.3">
      <c r="C5767"/>
    </row>
    <row r="5768" spans="3:3" x14ac:dyDescent="0.3">
      <c r="C5768"/>
    </row>
    <row r="5769" spans="3:3" x14ac:dyDescent="0.3">
      <c r="C5769"/>
    </row>
    <row r="5770" spans="3:3" x14ac:dyDescent="0.3">
      <c r="C5770"/>
    </row>
    <row r="5771" spans="3:3" x14ac:dyDescent="0.3">
      <c r="C5771"/>
    </row>
    <row r="5772" spans="3:3" x14ac:dyDescent="0.3">
      <c r="C5772"/>
    </row>
    <row r="5773" spans="3:3" x14ac:dyDescent="0.3">
      <c r="C5773"/>
    </row>
    <row r="5774" spans="3:3" x14ac:dyDescent="0.3">
      <c r="C5774"/>
    </row>
    <row r="5775" spans="3:3" x14ac:dyDescent="0.3">
      <c r="C5775"/>
    </row>
    <row r="5776" spans="3:3" x14ac:dyDescent="0.3">
      <c r="C5776"/>
    </row>
    <row r="5777" spans="3:3" x14ac:dyDescent="0.3">
      <c r="C5777"/>
    </row>
    <row r="5778" spans="3:3" x14ac:dyDescent="0.3">
      <c r="C5778"/>
    </row>
    <row r="5779" spans="3:3" x14ac:dyDescent="0.3">
      <c r="C5779"/>
    </row>
    <row r="5780" spans="3:3" x14ac:dyDescent="0.3">
      <c r="C5780"/>
    </row>
    <row r="5781" spans="3:3" x14ac:dyDescent="0.3">
      <c r="C5781"/>
    </row>
    <row r="5782" spans="3:3" x14ac:dyDescent="0.3">
      <c r="C5782"/>
    </row>
    <row r="5783" spans="3:3" x14ac:dyDescent="0.3">
      <c r="C5783"/>
    </row>
    <row r="5784" spans="3:3" x14ac:dyDescent="0.3">
      <c r="C5784"/>
    </row>
    <row r="5785" spans="3:3" x14ac:dyDescent="0.3">
      <c r="C5785"/>
    </row>
    <row r="5786" spans="3:3" x14ac:dyDescent="0.3">
      <c r="C5786"/>
    </row>
    <row r="5787" spans="3:3" x14ac:dyDescent="0.3">
      <c r="C5787"/>
    </row>
    <row r="5788" spans="3:3" x14ac:dyDescent="0.3">
      <c r="C5788"/>
    </row>
    <row r="5789" spans="3:3" x14ac:dyDescent="0.3">
      <c r="C5789"/>
    </row>
    <row r="5790" spans="3:3" x14ac:dyDescent="0.3">
      <c r="C5790"/>
    </row>
    <row r="5791" spans="3:3" x14ac:dyDescent="0.3">
      <c r="C5791"/>
    </row>
    <row r="5792" spans="3:3" x14ac:dyDescent="0.3">
      <c r="C5792"/>
    </row>
    <row r="5793" spans="3:3" x14ac:dyDescent="0.3">
      <c r="C5793"/>
    </row>
    <row r="5794" spans="3:3" x14ac:dyDescent="0.3">
      <c r="C5794"/>
    </row>
    <row r="5795" spans="3:3" x14ac:dyDescent="0.3">
      <c r="C5795"/>
    </row>
    <row r="5796" spans="3:3" x14ac:dyDescent="0.3">
      <c r="C5796"/>
    </row>
    <row r="5797" spans="3:3" x14ac:dyDescent="0.3">
      <c r="C5797"/>
    </row>
    <row r="5798" spans="3:3" x14ac:dyDescent="0.3">
      <c r="C5798"/>
    </row>
    <row r="5799" spans="3:3" x14ac:dyDescent="0.3">
      <c r="C5799"/>
    </row>
    <row r="5800" spans="3:3" x14ac:dyDescent="0.3">
      <c r="C5800"/>
    </row>
    <row r="5801" spans="3:3" x14ac:dyDescent="0.3">
      <c r="C5801"/>
    </row>
    <row r="5802" spans="3:3" x14ac:dyDescent="0.3">
      <c r="C5802"/>
    </row>
    <row r="5803" spans="3:3" x14ac:dyDescent="0.3">
      <c r="C5803"/>
    </row>
    <row r="5804" spans="3:3" x14ac:dyDescent="0.3">
      <c r="C5804"/>
    </row>
    <row r="5805" spans="3:3" x14ac:dyDescent="0.3">
      <c r="C5805"/>
    </row>
    <row r="5806" spans="3:3" x14ac:dyDescent="0.3">
      <c r="C5806"/>
    </row>
    <row r="5807" spans="3:3" x14ac:dyDescent="0.3">
      <c r="C5807"/>
    </row>
    <row r="5808" spans="3:3" x14ac:dyDescent="0.3">
      <c r="C5808"/>
    </row>
    <row r="5809" spans="3:3" x14ac:dyDescent="0.3">
      <c r="C5809"/>
    </row>
    <row r="5810" spans="3:3" x14ac:dyDescent="0.3">
      <c r="C5810"/>
    </row>
    <row r="5811" spans="3:3" x14ac:dyDescent="0.3">
      <c r="C5811"/>
    </row>
    <row r="5812" spans="3:3" x14ac:dyDescent="0.3">
      <c r="C5812"/>
    </row>
    <row r="5813" spans="3:3" x14ac:dyDescent="0.3">
      <c r="C5813"/>
    </row>
    <row r="5814" spans="3:3" x14ac:dyDescent="0.3">
      <c r="C5814"/>
    </row>
    <row r="5815" spans="3:3" x14ac:dyDescent="0.3">
      <c r="C5815"/>
    </row>
    <row r="5816" spans="3:3" x14ac:dyDescent="0.3">
      <c r="C5816"/>
    </row>
    <row r="5817" spans="3:3" x14ac:dyDescent="0.3">
      <c r="C5817"/>
    </row>
    <row r="5818" spans="3:3" x14ac:dyDescent="0.3">
      <c r="C5818"/>
    </row>
    <row r="5819" spans="3:3" x14ac:dyDescent="0.3">
      <c r="C5819"/>
    </row>
    <row r="5820" spans="3:3" x14ac:dyDescent="0.3">
      <c r="C5820"/>
    </row>
    <row r="5821" spans="3:3" x14ac:dyDescent="0.3">
      <c r="C5821"/>
    </row>
    <row r="5822" spans="3:3" x14ac:dyDescent="0.3">
      <c r="C5822"/>
    </row>
    <row r="5823" spans="3:3" x14ac:dyDescent="0.3">
      <c r="C5823"/>
    </row>
    <row r="5824" spans="3:3" x14ac:dyDescent="0.3">
      <c r="C5824"/>
    </row>
    <row r="5825" spans="3:3" x14ac:dyDescent="0.3">
      <c r="C5825"/>
    </row>
    <row r="5826" spans="3:3" x14ac:dyDescent="0.3">
      <c r="C5826"/>
    </row>
    <row r="5827" spans="3:3" x14ac:dyDescent="0.3">
      <c r="C5827"/>
    </row>
    <row r="5828" spans="3:3" x14ac:dyDescent="0.3">
      <c r="C5828"/>
    </row>
    <row r="5829" spans="3:3" x14ac:dyDescent="0.3">
      <c r="C5829"/>
    </row>
    <row r="5830" spans="3:3" x14ac:dyDescent="0.3">
      <c r="C5830"/>
    </row>
    <row r="5831" spans="3:3" x14ac:dyDescent="0.3">
      <c r="C5831"/>
    </row>
    <row r="5832" spans="3:3" x14ac:dyDescent="0.3">
      <c r="C5832"/>
    </row>
    <row r="5833" spans="3:3" x14ac:dyDescent="0.3">
      <c r="C5833"/>
    </row>
    <row r="5834" spans="3:3" x14ac:dyDescent="0.3">
      <c r="C5834"/>
    </row>
    <row r="5835" spans="3:3" x14ac:dyDescent="0.3">
      <c r="C5835"/>
    </row>
    <row r="5836" spans="3:3" x14ac:dyDescent="0.3">
      <c r="C5836"/>
    </row>
    <row r="5837" spans="3:3" x14ac:dyDescent="0.3">
      <c r="C5837"/>
    </row>
    <row r="5838" spans="3:3" x14ac:dyDescent="0.3">
      <c r="C5838"/>
    </row>
    <row r="5839" spans="3:3" x14ac:dyDescent="0.3">
      <c r="C5839"/>
    </row>
    <row r="5840" spans="3:3" x14ac:dyDescent="0.3">
      <c r="C5840"/>
    </row>
    <row r="5841" spans="3:3" x14ac:dyDescent="0.3">
      <c r="C5841"/>
    </row>
    <row r="5842" spans="3:3" x14ac:dyDescent="0.3">
      <c r="C5842"/>
    </row>
    <row r="5843" spans="3:3" x14ac:dyDescent="0.3">
      <c r="C5843"/>
    </row>
    <row r="5844" spans="3:3" x14ac:dyDescent="0.3">
      <c r="C5844"/>
    </row>
    <row r="5845" spans="3:3" x14ac:dyDescent="0.3">
      <c r="C5845"/>
    </row>
    <row r="5846" spans="3:3" x14ac:dyDescent="0.3">
      <c r="C5846"/>
    </row>
    <row r="5847" spans="3:3" x14ac:dyDescent="0.3">
      <c r="C5847"/>
    </row>
    <row r="5848" spans="3:3" x14ac:dyDescent="0.3">
      <c r="C5848"/>
    </row>
    <row r="5849" spans="3:3" x14ac:dyDescent="0.3">
      <c r="C5849"/>
    </row>
    <row r="5850" spans="3:3" x14ac:dyDescent="0.3">
      <c r="C5850"/>
    </row>
    <row r="5851" spans="3:3" x14ac:dyDescent="0.3">
      <c r="C5851"/>
    </row>
    <row r="5852" spans="3:3" x14ac:dyDescent="0.3">
      <c r="C5852"/>
    </row>
    <row r="5853" spans="3:3" x14ac:dyDescent="0.3">
      <c r="C5853"/>
    </row>
    <row r="5854" spans="3:3" x14ac:dyDescent="0.3">
      <c r="C5854"/>
    </row>
    <row r="5855" spans="3:3" x14ac:dyDescent="0.3">
      <c r="C5855"/>
    </row>
    <row r="5856" spans="3:3" x14ac:dyDescent="0.3">
      <c r="C5856"/>
    </row>
    <row r="5857" spans="3:3" x14ac:dyDescent="0.3">
      <c r="C5857"/>
    </row>
    <row r="5858" spans="3:3" x14ac:dyDescent="0.3">
      <c r="C5858"/>
    </row>
    <row r="5859" spans="3:3" x14ac:dyDescent="0.3">
      <c r="C5859"/>
    </row>
    <row r="5860" spans="3:3" x14ac:dyDescent="0.3">
      <c r="C5860"/>
    </row>
    <row r="5861" spans="3:3" x14ac:dyDescent="0.3">
      <c r="C5861"/>
    </row>
    <row r="5862" spans="3:3" x14ac:dyDescent="0.3">
      <c r="C5862"/>
    </row>
    <row r="5863" spans="3:3" x14ac:dyDescent="0.3">
      <c r="C5863"/>
    </row>
    <row r="5864" spans="3:3" x14ac:dyDescent="0.3">
      <c r="C5864"/>
    </row>
    <row r="5865" spans="3:3" x14ac:dyDescent="0.3">
      <c r="C5865"/>
    </row>
    <row r="5866" spans="3:3" x14ac:dyDescent="0.3">
      <c r="C5866"/>
    </row>
    <row r="5867" spans="3:3" x14ac:dyDescent="0.3">
      <c r="C5867"/>
    </row>
    <row r="5868" spans="3:3" x14ac:dyDescent="0.3">
      <c r="C5868"/>
    </row>
    <row r="5869" spans="3:3" x14ac:dyDescent="0.3">
      <c r="C5869"/>
    </row>
    <row r="5870" spans="3:3" x14ac:dyDescent="0.3">
      <c r="C5870"/>
    </row>
    <row r="5871" spans="3:3" x14ac:dyDescent="0.3">
      <c r="C5871"/>
    </row>
    <row r="5872" spans="3:3" x14ac:dyDescent="0.3">
      <c r="C5872"/>
    </row>
    <row r="5873" spans="3:3" x14ac:dyDescent="0.3">
      <c r="C5873"/>
    </row>
    <row r="5874" spans="3:3" x14ac:dyDescent="0.3">
      <c r="C5874"/>
    </row>
    <row r="5875" spans="3:3" x14ac:dyDescent="0.3">
      <c r="C5875"/>
    </row>
    <row r="5876" spans="3:3" x14ac:dyDescent="0.3">
      <c r="C5876"/>
    </row>
    <row r="5877" spans="3:3" x14ac:dyDescent="0.3">
      <c r="C5877"/>
    </row>
    <row r="5878" spans="3:3" x14ac:dyDescent="0.3">
      <c r="C5878"/>
    </row>
    <row r="5879" spans="3:3" x14ac:dyDescent="0.3">
      <c r="C5879"/>
    </row>
    <row r="5880" spans="3:3" x14ac:dyDescent="0.3">
      <c r="C5880"/>
    </row>
    <row r="5881" spans="3:3" x14ac:dyDescent="0.3">
      <c r="C5881"/>
    </row>
    <row r="5882" spans="3:3" x14ac:dyDescent="0.3">
      <c r="C5882"/>
    </row>
    <row r="5883" spans="3:3" x14ac:dyDescent="0.3">
      <c r="C5883"/>
    </row>
    <row r="5884" spans="3:3" x14ac:dyDescent="0.3">
      <c r="C5884"/>
    </row>
    <row r="5885" spans="3:3" x14ac:dyDescent="0.3">
      <c r="C5885"/>
    </row>
    <row r="5886" spans="3:3" x14ac:dyDescent="0.3">
      <c r="C5886"/>
    </row>
    <row r="5887" spans="3:3" x14ac:dyDescent="0.3">
      <c r="C5887"/>
    </row>
    <row r="5888" spans="3:3" x14ac:dyDescent="0.3">
      <c r="C5888"/>
    </row>
    <row r="5889" spans="3:3" x14ac:dyDescent="0.3">
      <c r="C5889"/>
    </row>
    <row r="5890" spans="3:3" x14ac:dyDescent="0.3">
      <c r="C5890"/>
    </row>
    <row r="5891" spans="3:3" x14ac:dyDescent="0.3">
      <c r="C5891"/>
    </row>
    <row r="5892" spans="3:3" x14ac:dyDescent="0.3">
      <c r="C5892"/>
    </row>
    <row r="5893" spans="3:3" x14ac:dyDescent="0.3">
      <c r="C5893"/>
    </row>
    <row r="5894" spans="3:3" x14ac:dyDescent="0.3">
      <c r="C5894"/>
    </row>
    <row r="5895" spans="3:3" x14ac:dyDescent="0.3">
      <c r="C5895"/>
    </row>
    <row r="5896" spans="3:3" x14ac:dyDescent="0.3">
      <c r="C5896"/>
    </row>
    <row r="5897" spans="3:3" x14ac:dyDescent="0.3">
      <c r="C5897"/>
    </row>
    <row r="5898" spans="3:3" x14ac:dyDescent="0.3">
      <c r="C5898"/>
    </row>
    <row r="5899" spans="3:3" x14ac:dyDescent="0.3">
      <c r="C5899"/>
    </row>
    <row r="5900" spans="3:3" x14ac:dyDescent="0.3">
      <c r="C5900"/>
    </row>
    <row r="5901" spans="3:3" x14ac:dyDescent="0.3">
      <c r="C5901"/>
    </row>
    <row r="5902" spans="3:3" x14ac:dyDescent="0.3">
      <c r="C5902"/>
    </row>
    <row r="5903" spans="3:3" x14ac:dyDescent="0.3">
      <c r="C5903"/>
    </row>
    <row r="5904" spans="3:3" x14ac:dyDescent="0.3">
      <c r="C5904"/>
    </row>
    <row r="5905" spans="3:3" x14ac:dyDescent="0.3">
      <c r="C5905"/>
    </row>
    <row r="5906" spans="3:3" x14ac:dyDescent="0.3">
      <c r="C5906"/>
    </row>
    <row r="5907" spans="3:3" x14ac:dyDescent="0.3">
      <c r="C5907"/>
    </row>
    <row r="5908" spans="3:3" x14ac:dyDescent="0.3">
      <c r="C5908"/>
    </row>
    <row r="5909" spans="3:3" x14ac:dyDescent="0.3">
      <c r="C5909"/>
    </row>
    <row r="5910" spans="3:3" x14ac:dyDescent="0.3">
      <c r="C5910"/>
    </row>
    <row r="5911" spans="3:3" x14ac:dyDescent="0.3">
      <c r="C5911"/>
    </row>
    <row r="5912" spans="3:3" x14ac:dyDescent="0.3">
      <c r="C5912"/>
    </row>
    <row r="5913" spans="3:3" x14ac:dyDescent="0.3">
      <c r="C5913"/>
    </row>
    <row r="5914" spans="3:3" x14ac:dyDescent="0.3">
      <c r="C5914"/>
    </row>
    <row r="5915" spans="3:3" x14ac:dyDescent="0.3">
      <c r="C5915"/>
    </row>
    <row r="5916" spans="3:3" x14ac:dyDescent="0.3">
      <c r="C5916"/>
    </row>
    <row r="5917" spans="3:3" x14ac:dyDescent="0.3">
      <c r="C5917"/>
    </row>
    <row r="5918" spans="3:3" x14ac:dyDescent="0.3">
      <c r="C5918"/>
    </row>
    <row r="5919" spans="3:3" x14ac:dyDescent="0.3">
      <c r="C5919"/>
    </row>
    <row r="5920" spans="3:3" x14ac:dyDescent="0.3">
      <c r="C5920"/>
    </row>
    <row r="5921" spans="3:3" x14ac:dyDescent="0.3">
      <c r="C5921"/>
    </row>
    <row r="5922" spans="3:3" x14ac:dyDescent="0.3">
      <c r="C5922"/>
    </row>
    <row r="5923" spans="3:3" x14ac:dyDescent="0.3">
      <c r="C5923"/>
    </row>
    <row r="5924" spans="3:3" x14ac:dyDescent="0.3">
      <c r="C5924"/>
    </row>
    <row r="5925" spans="3:3" x14ac:dyDescent="0.3">
      <c r="C5925"/>
    </row>
    <row r="5926" spans="3:3" x14ac:dyDescent="0.3">
      <c r="C5926"/>
    </row>
    <row r="5927" spans="3:3" x14ac:dyDescent="0.3">
      <c r="C5927"/>
    </row>
    <row r="5928" spans="3:3" x14ac:dyDescent="0.3">
      <c r="C5928"/>
    </row>
    <row r="5929" spans="3:3" x14ac:dyDescent="0.3">
      <c r="C5929"/>
    </row>
    <row r="5930" spans="3:3" x14ac:dyDescent="0.3">
      <c r="C5930"/>
    </row>
    <row r="5931" spans="3:3" x14ac:dyDescent="0.3">
      <c r="C5931"/>
    </row>
    <row r="5932" spans="3:3" x14ac:dyDescent="0.3">
      <c r="C5932"/>
    </row>
    <row r="5933" spans="3:3" x14ac:dyDescent="0.3">
      <c r="C5933"/>
    </row>
    <row r="5934" spans="3:3" x14ac:dyDescent="0.3">
      <c r="C5934"/>
    </row>
    <row r="5935" spans="3:3" x14ac:dyDescent="0.3">
      <c r="C5935"/>
    </row>
    <row r="5936" spans="3:3" x14ac:dyDescent="0.3">
      <c r="C5936"/>
    </row>
    <row r="5937" spans="3:3" x14ac:dyDescent="0.3">
      <c r="C5937"/>
    </row>
    <row r="5938" spans="3:3" x14ac:dyDescent="0.3">
      <c r="C5938"/>
    </row>
    <row r="5939" spans="3:3" x14ac:dyDescent="0.3">
      <c r="C5939"/>
    </row>
    <row r="5940" spans="3:3" x14ac:dyDescent="0.3">
      <c r="C5940"/>
    </row>
    <row r="5941" spans="3:3" x14ac:dyDescent="0.3">
      <c r="C5941"/>
    </row>
    <row r="5942" spans="3:3" x14ac:dyDescent="0.3">
      <c r="C5942"/>
    </row>
    <row r="5943" spans="3:3" x14ac:dyDescent="0.3">
      <c r="C5943"/>
    </row>
    <row r="5944" spans="3:3" x14ac:dyDescent="0.3">
      <c r="C5944"/>
    </row>
    <row r="5945" spans="3:3" x14ac:dyDescent="0.3">
      <c r="C5945"/>
    </row>
    <row r="5946" spans="3:3" x14ac:dyDescent="0.3">
      <c r="C5946"/>
    </row>
    <row r="5947" spans="3:3" x14ac:dyDescent="0.3">
      <c r="C5947"/>
    </row>
    <row r="5948" spans="3:3" x14ac:dyDescent="0.3">
      <c r="C5948"/>
    </row>
    <row r="5949" spans="3:3" x14ac:dyDescent="0.3">
      <c r="C5949"/>
    </row>
    <row r="5950" spans="3:3" x14ac:dyDescent="0.3">
      <c r="C5950"/>
    </row>
    <row r="5951" spans="3:3" x14ac:dyDescent="0.3">
      <c r="C5951"/>
    </row>
    <row r="5952" spans="3:3" x14ac:dyDescent="0.3">
      <c r="C5952"/>
    </row>
    <row r="5953" spans="3:3" x14ac:dyDescent="0.3">
      <c r="C5953"/>
    </row>
    <row r="5954" spans="3:3" x14ac:dyDescent="0.3">
      <c r="C5954"/>
    </row>
    <row r="5955" spans="3:3" x14ac:dyDescent="0.3">
      <c r="C5955"/>
    </row>
    <row r="5956" spans="3:3" x14ac:dyDescent="0.3">
      <c r="C5956"/>
    </row>
    <row r="5957" spans="3:3" x14ac:dyDescent="0.3">
      <c r="C5957"/>
    </row>
    <row r="5958" spans="3:3" x14ac:dyDescent="0.3">
      <c r="C5958"/>
    </row>
    <row r="5959" spans="3:3" x14ac:dyDescent="0.3">
      <c r="C5959"/>
    </row>
    <row r="5960" spans="3:3" x14ac:dyDescent="0.3">
      <c r="C5960"/>
    </row>
    <row r="5961" spans="3:3" x14ac:dyDescent="0.3">
      <c r="C5961"/>
    </row>
    <row r="5962" spans="3:3" x14ac:dyDescent="0.3">
      <c r="C5962"/>
    </row>
    <row r="5963" spans="3:3" x14ac:dyDescent="0.3">
      <c r="C5963"/>
    </row>
    <row r="5964" spans="3:3" x14ac:dyDescent="0.3">
      <c r="C5964"/>
    </row>
    <row r="5965" spans="3:3" x14ac:dyDescent="0.3">
      <c r="C5965"/>
    </row>
    <row r="5966" spans="3:3" x14ac:dyDescent="0.3">
      <c r="C5966"/>
    </row>
    <row r="5967" spans="3:3" x14ac:dyDescent="0.3">
      <c r="C5967"/>
    </row>
    <row r="5968" spans="3:3" x14ac:dyDescent="0.3">
      <c r="C5968"/>
    </row>
    <row r="5969" spans="3:3" x14ac:dyDescent="0.3">
      <c r="C5969"/>
    </row>
    <row r="5970" spans="3:3" x14ac:dyDescent="0.3">
      <c r="C5970"/>
    </row>
    <row r="5971" spans="3:3" x14ac:dyDescent="0.3">
      <c r="C5971"/>
    </row>
    <row r="5972" spans="3:3" x14ac:dyDescent="0.3">
      <c r="C5972"/>
    </row>
    <row r="5973" spans="3:3" x14ac:dyDescent="0.3">
      <c r="C5973"/>
    </row>
    <row r="5974" spans="3:3" x14ac:dyDescent="0.3">
      <c r="C5974"/>
    </row>
    <row r="5975" spans="3:3" x14ac:dyDescent="0.3">
      <c r="C5975"/>
    </row>
    <row r="5976" spans="3:3" x14ac:dyDescent="0.3">
      <c r="C5976"/>
    </row>
    <row r="5977" spans="3:3" x14ac:dyDescent="0.3">
      <c r="C5977"/>
    </row>
    <row r="5978" spans="3:3" x14ac:dyDescent="0.3">
      <c r="C5978"/>
    </row>
    <row r="5979" spans="3:3" x14ac:dyDescent="0.3">
      <c r="C5979"/>
    </row>
    <row r="5980" spans="3:3" x14ac:dyDescent="0.3">
      <c r="C5980"/>
    </row>
    <row r="5981" spans="3:3" x14ac:dyDescent="0.3">
      <c r="C5981"/>
    </row>
    <row r="5982" spans="3:3" x14ac:dyDescent="0.3">
      <c r="C5982"/>
    </row>
    <row r="5983" spans="3:3" x14ac:dyDescent="0.3">
      <c r="C5983"/>
    </row>
    <row r="5984" spans="3:3" x14ac:dyDescent="0.3">
      <c r="C5984"/>
    </row>
    <row r="5985" spans="3:3" x14ac:dyDescent="0.3">
      <c r="C5985"/>
    </row>
    <row r="5986" spans="3:3" x14ac:dyDescent="0.3">
      <c r="C5986"/>
    </row>
    <row r="5987" spans="3:3" x14ac:dyDescent="0.3">
      <c r="C5987"/>
    </row>
    <row r="5988" spans="3:3" x14ac:dyDescent="0.3">
      <c r="C5988"/>
    </row>
    <row r="5989" spans="3:3" x14ac:dyDescent="0.3">
      <c r="C5989"/>
    </row>
    <row r="5990" spans="3:3" x14ac:dyDescent="0.3">
      <c r="C5990"/>
    </row>
    <row r="5991" spans="3:3" x14ac:dyDescent="0.3">
      <c r="C5991"/>
    </row>
    <row r="5992" spans="3:3" x14ac:dyDescent="0.3">
      <c r="C5992"/>
    </row>
    <row r="5993" spans="3:3" x14ac:dyDescent="0.3">
      <c r="C5993"/>
    </row>
    <row r="5994" spans="3:3" x14ac:dyDescent="0.3">
      <c r="C5994"/>
    </row>
    <row r="5995" spans="3:3" x14ac:dyDescent="0.3">
      <c r="C5995"/>
    </row>
    <row r="5996" spans="3:3" x14ac:dyDescent="0.3">
      <c r="C5996"/>
    </row>
    <row r="5997" spans="3:3" x14ac:dyDescent="0.3">
      <c r="C5997"/>
    </row>
    <row r="5998" spans="3:3" x14ac:dyDescent="0.3">
      <c r="C5998"/>
    </row>
    <row r="5999" spans="3:3" x14ac:dyDescent="0.3">
      <c r="C5999"/>
    </row>
    <row r="6000" spans="3:3" x14ac:dyDescent="0.3">
      <c r="C6000"/>
    </row>
    <row r="6001" spans="3:3" x14ac:dyDescent="0.3">
      <c r="C6001"/>
    </row>
    <row r="6002" spans="3:3" x14ac:dyDescent="0.3">
      <c r="C6002"/>
    </row>
    <row r="6003" spans="3:3" x14ac:dyDescent="0.3">
      <c r="C6003"/>
    </row>
    <row r="6004" spans="3:3" x14ac:dyDescent="0.3">
      <c r="C6004"/>
    </row>
    <row r="6005" spans="3:3" x14ac:dyDescent="0.3">
      <c r="C6005"/>
    </row>
    <row r="6006" spans="3:3" x14ac:dyDescent="0.3">
      <c r="C6006"/>
    </row>
    <row r="6007" spans="3:3" x14ac:dyDescent="0.3">
      <c r="C6007"/>
    </row>
    <row r="6008" spans="3:3" x14ac:dyDescent="0.3">
      <c r="C6008"/>
    </row>
    <row r="6009" spans="3:3" x14ac:dyDescent="0.3">
      <c r="C6009"/>
    </row>
    <row r="6010" spans="3:3" x14ac:dyDescent="0.3">
      <c r="C6010"/>
    </row>
    <row r="6011" spans="3:3" x14ac:dyDescent="0.3">
      <c r="C6011"/>
    </row>
    <row r="6012" spans="3:3" x14ac:dyDescent="0.3">
      <c r="C6012"/>
    </row>
    <row r="6013" spans="3:3" x14ac:dyDescent="0.3">
      <c r="C6013"/>
    </row>
    <row r="6014" spans="3:3" x14ac:dyDescent="0.3">
      <c r="C6014"/>
    </row>
    <row r="6015" spans="3:3" x14ac:dyDescent="0.3">
      <c r="C6015"/>
    </row>
    <row r="6016" spans="3:3" x14ac:dyDescent="0.3">
      <c r="C6016"/>
    </row>
    <row r="6017" spans="3:3" x14ac:dyDescent="0.3">
      <c r="C6017"/>
    </row>
    <row r="6018" spans="3:3" x14ac:dyDescent="0.3">
      <c r="C6018"/>
    </row>
    <row r="6019" spans="3:3" x14ac:dyDescent="0.3">
      <c r="C6019"/>
    </row>
    <row r="6020" spans="3:3" x14ac:dyDescent="0.3">
      <c r="C6020"/>
    </row>
    <row r="6021" spans="3:3" x14ac:dyDescent="0.3">
      <c r="C6021"/>
    </row>
    <row r="6022" spans="3:3" x14ac:dyDescent="0.3">
      <c r="C6022"/>
    </row>
    <row r="6023" spans="3:3" x14ac:dyDescent="0.3">
      <c r="C6023"/>
    </row>
    <row r="6024" spans="3:3" x14ac:dyDescent="0.3">
      <c r="C6024"/>
    </row>
    <row r="6025" spans="3:3" x14ac:dyDescent="0.3">
      <c r="C6025"/>
    </row>
    <row r="6026" spans="3:3" x14ac:dyDescent="0.3">
      <c r="C6026"/>
    </row>
    <row r="6027" spans="3:3" x14ac:dyDescent="0.3">
      <c r="C6027"/>
    </row>
    <row r="6028" spans="3:3" x14ac:dyDescent="0.3">
      <c r="C6028"/>
    </row>
    <row r="6029" spans="3:3" x14ac:dyDescent="0.3">
      <c r="C6029"/>
    </row>
    <row r="6030" spans="3:3" x14ac:dyDescent="0.3">
      <c r="C6030"/>
    </row>
    <row r="6031" spans="3:3" x14ac:dyDescent="0.3">
      <c r="C6031"/>
    </row>
    <row r="6032" spans="3:3" x14ac:dyDescent="0.3">
      <c r="C6032"/>
    </row>
    <row r="6033" spans="3:3" x14ac:dyDescent="0.3">
      <c r="C6033"/>
    </row>
    <row r="6034" spans="3:3" x14ac:dyDescent="0.3">
      <c r="C6034"/>
    </row>
    <row r="6035" spans="3:3" x14ac:dyDescent="0.3">
      <c r="C6035"/>
    </row>
    <row r="6036" spans="3:3" x14ac:dyDescent="0.3">
      <c r="C6036"/>
    </row>
    <row r="6037" spans="3:3" x14ac:dyDescent="0.3">
      <c r="C6037"/>
    </row>
    <row r="6038" spans="3:3" x14ac:dyDescent="0.3">
      <c r="C6038"/>
    </row>
    <row r="6039" spans="3:3" x14ac:dyDescent="0.3">
      <c r="C6039"/>
    </row>
    <row r="6040" spans="3:3" x14ac:dyDescent="0.3">
      <c r="C6040"/>
    </row>
    <row r="6041" spans="3:3" x14ac:dyDescent="0.3">
      <c r="C6041"/>
    </row>
    <row r="6042" spans="3:3" x14ac:dyDescent="0.3">
      <c r="C6042"/>
    </row>
    <row r="6043" spans="3:3" x14ac:dyDescent="0.3">
      <c r="C6043"/>
    </row>
    <row r="6044" spans="3:3" x14ac:dyDescent="0.3">
      <c r="C6044"/>
    </row>
    <row r="6045" spans="3:3" x14ac:dyDescent="0.3">
      <c r="C6045"/>
    </row>
    <row r="6046" spans="3:3" x14ac:dyDescent="0.3">
      <c r="C6046"/>
    </row>
    <row r="6047" spans="3:3" x14ac:dyDescent="0.3">
      <c r="C6047"/>
    </row>
    <row r="6048" spans="3:3" x14ac:dyDescent="0.3">
      <c r="C6048"/>
    </row>
    <row r="6049" spans="3:3" x14ac:dyDescent="0.3">
      <c r="C6049"/>
    </row>
    <row r="6050" spans="3:3" x14ac:dyDescent="0.3">
      <c r="C6050"/>
    </row>
    <row r="6051" spans="3:3" x14ac:dyDescent="0.3">
      <c r="C6051"/>
    </row>
    <row r="6052" spans="3:3" x14ac:dyDescent="0.3">
      <c r="C6052"/>
    </row>
    <row r="6053" spans="3:3" x14ac:dyDescent="0.3">
      <c r="C6053"/>
    </row>
    <row r="6054" spans="3:3" x14ac:dyDescent="0.3">
      <c r="C6054"/>
    </row>
    <row r="6055" spans="3:3" x14ac:dyDescent="0.3">
      <c r="C6055"/>
    </row>
    <row r="6056" spans="3:3" x14ac:dyDescent="0.3">
      <c r="C6056"/>
    </row>
    <row r="6057" spans="3:3" x14ac:dyDescent="0.3">
      <c r="C6057"/>
    </row>
    <row r="6058" spans="3:3" x14ac:dyDescent="0.3">
      <c r="C6058"/>
    </row>
    <row r="6059" spans="3:3" x14ac:dyDescent="0.3">
      <c r="C6059"/>
    </row>
    <row r="6060" spans="3:3" x14ac:dyDescent="0.3">
      <c r="C6060"/>
    </row>
    <row r="6061" spans="3:3" x14ac:dyDescent="0.3">
      <c r="C6061"/>
    </row>
    <row r="6062" spans="3:3" x14ac:dyDescent="0.3">
      <c r="C6062"/>
    </row>
    <row r="6063" spans="3:3" x14ac:dyDescent="0.3">
      <c r="C6063"/>
    </row>
    <row r="6064" spans="3:3" x14ac:dyDescent="0.3">
      <c r="C6064"/>
    </row>
    <row r="6065" spans="3:3" x14ac:dyDescent="0.3">
      <c r="C6065"/>
    </row>
    <row r="6066" spans="3:3" x14ac:dyDescent="0.3">
      <c r="C6066"/>
    </row>
    <row r="6067" spans="3:3" x14ac:dyDescent="0.3">
      <c r="C6067"/>
    </row>
    <row r="6068" spans="3:3" x14ac:dyDescent="0.3">
      <c r="C6068"/>
    </row>
    <row r="6069" spans="3:3" x14ac:dyDescent="0.3">
      <c r="C6069"/>
    </row>
    <row r="6070" spans="3:3" x14ac:dyDescent="0.3">
      <c r="C6070"/>
    </row>
    <row r="6071" spans="3:3" x14ac:dyDescent="0.3">
      <c r="C6071"/>
    </row>
    <row r="6072" spans="3:3" x14ac:dyDescent="0.3">
      <c r="C6072"/>
    </row>
    <row r="6073" spans="3:3" x14ac:dyDescent="0.3">
      <c r="C6073"/>
    </row>
    <row r="6074" spans="3:3" x14ac:dyDescent="0.3">
      <c r="C6074"/>
    </row>
    <row r="6075" spans="3:3" x14ac:dyDescent="0.3">
      <c r="C6075"/>
    </row>
    <row r="6076" spans="3:3" x14ac:dyDescent="0.3">
      <c r="C6076"/>
    </row>
    <row r="6077" spans="3:3" x14ac:dyDescent="0.3">
      <c r="C6077"/>
    </row>
    <row r="6078" spans="3:3" x14ac:dyDescent="0.3">
      <c r="C6078"/>
    </row>
    <row r="6079" spans="3:3" x14ac:dyDescent="0.3">
      <c r="C6079"/>
    </row>
    <row r="6080" spans="3:3" x14ac:dyDescent="0.3">
      <c r="C6080"/>
    </row>
    <row r="6081" spans="3:3" x14ac:dyDescent="0.3">
      <c r="C6081"/>
    </row>
    <row r="6082" spans="3:3" x14ac:dyDescent="0.3">
      <c r="C6082"/>
    </row>
    <row r="6083" spans="3:3" x14ac:dyDescent="0.3">
      <c r="C6083"/>
    </row>
    <row r="6084" spans="3:3" x14ac:dyDescent="0.3">
      <c r="C6084"/>
    </row>
    <row r="6085" spans="3:3" x14ac:dyDescent="0.3">
      <c r="C6085"/>
    </row>
    <row r="6086" spans="3:3" x14ac:dyDescent="0.3">
      <c r="C6086"/>
    </row>
    <row r="6087" spans="3:3" x14ac:dyDescent="0.3">
      <c r="C6087"/>
    </row>
    <row r="6088" spans="3:3" x14ac:dyDescent="0.3">
      <c r="C6088"/>
    </row>
    <row r="6089" spans="3:3" x14ac:dyDescent="0.3">
      <c r="C6089"/>
    </row>
    <row r="6090" spans="3:3" x14ac:dyDescent="0.3">
      <c r="C6090"/>
    </row>
    <row r="6091" spans="3:3" x14ac:dyDescent="0.3">
      <c r="C6091"/>
    </row>
    <row r="6092" spans="3:3" x14ac:dyDescent="0.3">
      <c r="C6092"/>
    </row>
    <row r="6093" spans="3:3" x14ac:dyDescent="0.3">
      <c r="C6093"/>
    </row>
    <row r="6094" spans="3:3" x14ac:dyDescent="0.3">
      <c r="C6094"/>
    </row>
    <row r="6095" spans="3:3" x14ac:dyDescent="0.3">
      <c r="C6095"/>
    </row>
    <row r="6096" spans="3:3" x14ac:dyDescent="0.3">
      <c r="C6096"/>
    </row>
    <row r="6097" spans="3:3" x14ac:dyDescent="0.3">
      <c r="C6097"/>
    </row>
    <row r="6098" spans="3:3" x14ac:dyDescent="0.3">
      <c r="C6098"/>
    </row>
    <row r="6099" spans="3:3" x14ac:dyDescent="0.3">
      <c r="C6099"/>
    </row>
    <row r="6100" spans="3:3" x14ac:dyDescent="0.3">
      <c r="C6100"/>
    </row>
    <row r="6101" spans="3:3" x14ac:dyDescent="0.3">
      <c r="C6101"/>
    </row>
    <row r="6102" spans="3:3" x14ac:dyDescent="0.3">
      <c r="C6102"/>
    </row>
    <row r="6103" spans="3:3" x14ac:dyDescent="0.3">
      <c r="C6103"/>
    </row>
    <row r="6104" spans="3:3" x14ac:dyDescent="0.3">
      <c r="C6104"/>
    </row>
    <row r="6105" spans="3:3" x14ac:dyDescent="0.3">
      <c r="C6105"/>
    </row>
    <row r="6106" spans="3:3" x14ac:dyDescent="0.3">
      <c r="C6106"/>
    </row>
    <row r="6107" spans="3:3" x14ac:dyDescent="0.3">
      <c r="C6107"/>
    </row>
    <row r="6108" spans="3:3" x14ac:dyDescent="0.3">
      <c r="C6108"/>
    </row>
    <row r="6109" spans="3:3" x14ac:dyDescent="0.3">
      <c r="C6109"/>
    </row>
    <row r="6110" spans="3:3" x14ac:dyDescent="0.3">
      <c r="C6110"/>
    </row>
    <row r="6111" spans="3:3" x14ac:dyDescent="0.3">
      <c r="C6111"/>
    </row>
    <row r="6112" spans="3:3" x14ac:dyDescent="0.3">
      <c r="C6112"/>
    </row>
    <row r="6113" spans="3:3" x14ac:dyDescent="0.3">
      <c r="C6113"/>
    </row>
    <row r="6114" spans="3:3" x14ac:dyDescent="0.3">
      <c r="C6114"/>
    </row>
    <row r="6115" spans="3:3" x14ac:dyDescent="0.3">
      <c r="C6115"/>
    </row>
    <row r="6116" spans="3:3" x14ac:dyDescent="0.3">
      <c r="C6116"/>
    </row>
    <row r="6117" spans="3:3" x14ac:dyDescent="0.3">
      <c r="C6117"/>
    </row>
    <row r="6118" spans="3:3" x14ac:dyDescent="0.3">
      <c r="C6118"/>
    </row>
    <row r="6119" spans="3:3" x14ac:dyDescent="0.3">
      <c r="C6119"/>
    </row>
    <row r="6120" spans="3:3" x14ac:dyDescent="0.3">
      <c r="C6120"/>
    </row>
    <row r="6121" spans="3:3" x14ac:dyDescent="0.3">
      <c r="C6121"/>
    </row>
  </sheetData>
  <sortState xmlns:xlrd2="http://schemas.microsoft.com/office/spreadsheetml/2017/richdata2" ref="B6:L451">
    <sortCondition descending="1" ref="B6:B451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60AF00-03CB-4F94-99C1-D10653795C9B}">
  <dimension ref="B16:Y275"/>
  <sheetViews>
    <sheetView tabSelected="1" topLeftCell="A67" workbookViewId="0">
      <selection activeCell="G85" sqref="G85"/>
    </sheetView>
  </sheetViews>
  <sheetFormatPr defaultRowHeight="14.4" x14ac:dyDescent="0.3"/>
  <cols>
    <col min="2" max="2" width="15.5546875" bestFit="1" customWidth="1"/>
    <col min="3" max="3" width="17" bestFit="1" customWidth="1"/>
    <col min="4" max="4" width="11.77734375" bestFit="1" customWidth="1"/>
    <col min="7" max="7" width="12.5546875" bestFit="1" customWidth="1"/>
    <col min="8" max="8" width="17.33203125" style="28" bestFit="1" customWidth="1"/>
    <col min="9" max="9" width="13.6640625" style="28" bestFit="1" customWidth="1"/>
    <col min="10" max="10" width="15.33203125" style="28" bestFit="1" customWidth="1"/>
    <col min="11" max="16" width="3" style="28" bestFit="1" customWidth="1"/>
    <col min="17" max="19" width="3" bestFit="1" customWidth="1"/>
    <col min="20" max="75" width="4" bestFit="1" customWidth="1"/>
    <col min="76" max="95" width="5" bestFit="1" customWidth="1"/>
    <col min="96" max="96" width="8" bestFit="1" customWidth="1"/>
    <col min="97" max="107" width="5" bestFit="1" customWidth="1"/>
    <col min="108" max="108" width="8" bestFit="1" customWidth="1"/>
    <col min="109" max="198" width="5" bestFit="1" customWidth="1"/>
    <col min="199" max="199" width="8" bestFit="1" customWidth="1"/>
    <col min="200" max="247" width="5" bestFit="1" customWidth="1"/>
    <col min="248" max="389" width="6" bestFit="1" customWidth="1"/>
    <col min="390" max="436" width="7" bestFit="1" customWidth="1"/>
    <col min="437" max="448" width="8" bestFit="1" customWidth="1"/>
    <col min="449" max="451" width="9" bestFit="1" customWidth="1"/>
    <col min="452" max="452" width="10" bestFit="1" customWidth="1"/>
    <col min="453" max="453" width="10.77734375" bestFit="1" customWidth="1"/>
  </cols>
  <sheetData>
    <row r="16" spans="2:3" x14ac:dyDescent="0.3">
      <c r="B16" s="15" t="s">
        <v>8304</v>
      </c>
      <c r="C16" t="s" vm="1">
        <v>8218</v>
      </c>
    </row>
    <row r="18" spans="2:15" x14ac:dyDescent="0.3">
      <c r="B18" s="15" t="s">
        <v>8358</v>
      </c>
      <c r="C18" t="s">
        <v>8361</v>
      </c>
      <c r="D18" t="s">
        <v>8401</v>
      </c>
      <c r="G18" s="15" t="s">
        <v>8361</v>
      </c>
      <c r="H18" s="30" t="s">
        <v>8360</v>
      </c>
    </row>
    <row r="19" spans="2:15" x14ac:dyDescent="0.3">
      <c r="B19" s="16" t="s">
        <v>8366</v>
      </c>
      <c r="C19" s="8"/>
      <c r="D19" s="8"/>
      <c r="G19" s="15" t="s">
        <v>8358</v>
      </c>
      <c r="H19" s="28" t="s">
        <v>8219</v>
      </c>
      <c r="I19" s="28" t="s">
        <v>8220</v>
      </c>
      <c r="J19" s="28" t="s">
        <v>8221</v>
      </c>
      <c r="K19" s="28" t="s">
        <v>8218</v>
      </c>
      <c r="L19" s="28" t="s">
        <v>8359</v>
      </c>
    </row>
    <row r="20" spans="2:15" x14ac:dyDescent="0.3">
      <c r="B20" s="18" t="s">
        <v>8307</v>
      </c>
      <c r="C20" s="8"/>
      <c r="D20" s="8"/>
      <c r="G20" s="16" t="s">
        <v>8381</v>
      </c>
      <c r="H20" s="29">
        <v>34</v>
      </c>
      <c r="I20" s="29">
        <v>149</v>
      </c>
      <c r="J20" s="29">
        <v>2</v>
      </c>
      <c r="K20" s="29">
        <v>182</v>
      </c>
      <c r="L20" s="29">
        <v>367</v>
      </c>
      <c r="M20" s="35"/>
    </row>
    <row r="21" spans="2:15" x14ac:dyDescent="0.3">
      <c r="B21" s="19" t="s">
        <v>8223</v>
      </c>
      <c r="C21" s="8">
        <v>2</v>
      </c>
      <c r="D21" s="8">
        <v>10500</v>
      </c>
      <c r="G21" s="16" t="s">
        <v>8382</v>
      </c>
      <c r="H21" s="29">
        <v>27</v>
      </c>
      <c r="I21" s="29">
        <v>106</v>
      </c>
      <c r="J21" s="29">
        <v>18</v>
      </c>
      <c r="K21" s="29">
        <v>202</v>
      </c>
      <c r="L21" s="29">
        <v>353</v>
      </c>
      <c r="M21" s="35"/>
    </row>
    <row r="22" spans="2:15" x14ac:dyDescent="0.3">
      <c r="B22" s="18" t="s">
        <v>8322</v>
      </c>
      <c r="C22" s="8"/>
      <c r="D22" s="8"/>
      <c r="G22" s="16" t="s">
        <v>8383</v>
      </c>
      <c r="H22" s="29">
        <v>28</v>
      </c>
      <c r="I22" s="29">
        <v>108</v>
      </c>
      <c r="J22" s="29">
        <v>30</v>
      </c>
      <c r="K22" s="29">
        <v>180</v>
      </c>
      <c r="L22" s="29">
        <v>346</v>
      </c>
      <c r="M22" s="35"/>
    </row>
    <row r="23" spans="2:15" x14ac:dyDescent="0.3">
      <c r="B23" s="19" t="s">
        <v>8223</v>
      </c>
      <c r="C23" s="8">
        <v>6</v>
      </c>
      <c r="D23" s="8">
        <v>27000</v>
      </c>
      <c r="G23" s="16" t="s">
        <v>8384</v>
      </c>
      <c r="H23" s="29">
        <v>27</v>
      </c>
      <c r="I23" s="29">
        <v>102</v>
      </c>
      <c r="J23" s="29"/>
      <c r="K23" s="29">
        <v>192</v>
      </c>
      <c r="L23" s="29">
        <v>321</v>
      </c>
      <c r="M23" s="35"/>
    </row>
    <row r="24" spans="2:15" x14ac:dyDescent="0.3">
      <c r="B24" s="18" t="s">
        <v>8316</v>
      </c>
      <c r="C24" s="8"/>
      <c r="D24" s="8"/>
      <c r="G24" s="16" t="s">
        <v>8375</v>
      </c>
      <c r="H24" s="29">
        <v>26</v>
      </c>
      <c r="I24" s="29">
        <v>126</v>
      </c>
      <c r="J24" s="29"/>
      <c r="K24" s="29">
        <v>234</v>
      </c>
      <c r="L24" s="29">
        <v>386</v>
      </c>
      <c r="M24" s="35"/>
    </row>
    <row r="25" spans="2:15" x14ac:dyDescent="0.3">
      <c r="B25" s="19" t="s">
        <v>8223</v>
      </c>
      <c r="C25" s="8">
        <v>1</v>
      </c>
      <c r="D25" s="8">
        <v>800</v>
      </c>
      <c r="G25" s="16" t="s">
        <v>8385</v>
      </c>
      <c r="H25" s="29">
        <v>27</v>
      </c>
      <c r="I25" s="29">
        <v>147</v>
      </c>
      <c r="J25" s="29"/>
      <c r="K25" s="29">
        <v>211</v>
      </c>
      <c r="L25" s="29">
        <v>385</v>
      </c>
      <c r="M25" s="35"/>
    </row>
    <row r="26" spans="2:15" x14ac:dyDescent="0.3">
      <c r="B26" s="16" t="s">
        <v>8367</v>
      </c>
      <c r="C26" s="8"/>
      <c r="D26" s="8"/>
      <c r="G26" s="16" t="s">
        <v>8376</v>
      </c>
      <c r="H26" s="29">
        <v>43</v>
      </c>
      <c r="I26" s="29">
        <v>150</v>
      </c>
      <c r="J26" s="29"/>
      <c r="K26" s="29">
        <v>194</v>
      </c>
      <c r="L26" s="29">
        <v>387</v>
      </c>
      <c r="M26" s="35"/>
    </row>
    <row r="27" spans="2:15" x14ac:dyDescent="0.3">
      <c r="B27" s="18" t="s">
        <v>8307</v>
      </c>
      <c r="C27" s="8"/>
      <c r="D27" s="8"/>
      <c r="G27" s="16" t="s">
        <v>8377</v>
      </c>
      <c r="H27" s="29">
        <v>33</v>
      </c>
      <c r="I27" s="29">
        <v>134</v>
      </c>
      <c r="J27" s="29"/>
      <c r="K27" s="29">
        <v>166</v>
      </c>
      <c r="L27" s="29">
        <v>333</v>
      </c>
      <c r="M27" s="35"/>
    </row>
    <row r="28" spans="2:15" x14ac:dyDescent="0.3">
      <c r="B28" s="19" t="s">
        <v>8223</v>
      </c>
      <c r="C28" s="8">
        <v>20</v>
      </c>
      <c r="D28" s="8">
        <v>164869</v>
      </c>
      <c r="G28" s="16" t="s">
        <v>8378</v>
      </c>
      <c r="H28" s="29">
        <v>24</v>
      </c>
      <c r="I28" s="29">
        <v>127</v>
      </c>
      <c r="J28" s="29"/>
      <c r="K28" s="29">
        <v>147</v>
      </c>
      <c r="L28" s="29">
        <v>298</v>
      </c>
      <c r="M28" s="35"/>
    </row>
    <row r="29" spans="2:15" x14ac:dyDescent="0.3">
      <c r="B29" s="18" t="s">
        <v>8322</v>
      </c>
      <c r="C29" s="8"/>
      <c r="D29" s="8"/>
      <c r="G29" s="16" t="s">
        <v>8379</v>
      </c>
      <c r="H29" s="29">
        <v>20</v>
      </c>
      <c r="I29" s="29">
        <v>149</v>
      </c>
      <c r="J29" s="29"/>
      <c r="K29" s="29">
        <v>183</v>
      </c>
      <c r="L29" s="29">
        <v>352</v>
      </c>
      <c r="M29" s="35"/>
    </row>
    <row r="30" spans="2:15" x14ac:dyDescent="0.3">
      <c r="B30" s="19" t="s">
        <v>8223</v>
      </c>
      <c r="C30" s="8">
        <v>21</v>
      </c>
      <c r="D30" s="8">
        <v>86850</v>
      </c>
      <c r="G30" s="16" t="s">
        <v>8380</v>
      </c>
      <c r="H30" s="29">
        <v>37</v>
      </c>
      <c r="I30" s="29">
        <v>114</v>
      </c>
      <c r="J30" s="29"/>
      <c r="K30" s="29">
        <v>183</v>
      </c>
      <c r="L30" s="29">
        <v>334</v>
      </c>
      <c r="M30" s="35"/>
    </row>
    <row r="31" spans="2:15" x14ac:dyDescent="0.3">
      <c r="B31" s="18" t="s">
        <v>8335</v>
      </c>
      <c r="C31" s="8"/>
      <c r="D31" s="8"/>
      <c r="G31" s="16" t="s">
        <v>8386</v>
      </c>
      <c r="H31" s="29">
        <v>23</v>
      </c>
      <c r="I31" s="29">
        <v>118</v>
      </c>
      <c r="J31" s="29"/>
      <c r="K31" s="29">
        <v>111</v>
      </c>
      <c r="L31" s="29">
        <v>252</v>
      </c>
      <c r="M31" s="35"/>
    </row>
    <row r="32" spans="2:15" x14ac:dyDescent="0.3">
      <c r="B32" s="19" t="s">
        <v>8223</v>
      </c>
      <c r="C32" s="8">
        <v>1</v>
      </c>
      <c r="D32" s="8">
        <v>1200</v>
      </c>
      <c r="G32" s="16" t="s">
        <v>8359</v>
      </c>
      <c r="H32" s="29">
        <v>349</v>
      </c>
      <c r="I32" s="29">
        <v>1530</v>
      </c>
      <c r="J32" s="29">
        <v>50</v>
      </c>
      <c r="K32" s="29">
        <v>2185</v>
      </c>
      <c r="L32" s="29">
        <v>4114</v>
      </c>
      <c r="O32" s="28" t="s">
        <v>8414</v>
      </c>
    </row>
    <row r="33" spans="2:25" x14ac:dyDescent="0.3">
      <c r="B33" s="18" t="s">
        <v>8319</v>
      </c>
      <c r="C33" s="8"/>
      <c r="D33" s="8"/>
    </row>
    <row r="34" spans="2:25" x14ac:dyDescent="0.3">
      <c r="B34" s="19" t="s">
        <v>8223</v>
      </c>
      <c r="C34" s="8">
        <v>1</v>
      </c>
      <c r="D34" s="8">
        <v>2500</v>
      </c>
      <c r="G34" s="30" t="s">
        <v>8304</v>
      </c>
      <c r="H34" s="28" t="s" vm="1">
        <v>8218</v>
      </c>
    </row>
    <row r="35" spans="2:25" x14ac:dyDescent="0.3">
      <c r="B35" s="18" t="s">
        <v>8316</v>
      </c>
      <c r="C35" s="8"/>
      <c r="D35" s="8"/>
    </row>
    <row r="36" spans="2:25" x14ac:dyDescent="0.3">
      <c r="B36" s="19" t="s">
        <v>8223</v>
      </c>
      <c r="C36" s="8">
        <v>3</v>
      </c>
      <c r="D36" s="8">
        <v>13500</v>
      </c>
      <c r="G36" s="15" t="s">
        <v>8361</v>
      </c>
      <c r="H36" s="30" t="s">
        <v>8360</v>
      </c>
    </row>
    <row r="37" spans="2:25" x14ac:dyDescent="0.3">
      <c r="B37" s="18" t="s">
        <v>8314</v>
      </c>
      <c r="C37" s="8"/>
      <c r="D37" s="8"/>
      <c r="G37" s="15" t="s">
        <v>8358</v>
      </c>
      <c r="H37" s="28" t="s">
        <v>8307</v>
      </c>
      <c r="I37" s="28" t="s">
        <v>8333</v>
      </c>
      <c r="J37" s="28" t="s">
        <v>8330</v>
      </c>
      <c r="K37" s="28" t="s">
        <v>8322</v>
      </c>
      <c r="L37" s="28" t="s">
        <v>8335</v>
      </c>
      <c r="M37" s="28" t="s">
        <v>8319</v>
      </c>
      <c r="N37" s="28" t="s">
        <v>8316</v>
      </c>
      <c r="O37" s="28" t="s">
        <v>8314</v>
      </c>
      <c r="P37" s="28" t="s">
        <v>8359</v>
      </c>
      <c r="R37" s="32"/>
      <c r="S37" s="31"/>
      <c r="T37" s="32"/>
      <c r="U37" s="33"/>
      <c r="V37" s="31"/>
      <c r="W37" s="31"/>
      <c r="X37" s="31"/>
      <c r="Y37" s="31"/>
    </row>
    <row r="38" spans="2:25" x14ac:dyDescent="0.3">
      <c r="B38" s="19" t="s">
        <v>8223</v>
      </c>
      <c r="C38" s="8">
        <v>3</v>
      </c>
      <c r="D38" s="8">
        <v>9000</v>
      </c>
      <c r="G38" s="16" t="s">
        <v>8381</v>
      </c>
      <c r="H38" s="29">
        <v>25</v>
      </c>
      <c r="I38" s="29">
        <v>4</v>
      </c>
      <c r="J38" s="29">
        <v>13</v>
      </c>
      <c r="K38" s="29">
        <v>54</v>
      </c>
      <c r="L38" s="29">
        <v>10</v>
      </c>
      <c r="M38" s="29">
        <v>11</v>
      </c>
      <c r="N38" s="29">
        <v>9</v>
      </c>
      <c r="O38" s="29">
        <v>56</v>
      </c>
      <c r="P38" s="29">
        <v>182</v>
      </c>
      <c r="R38" s="31"/>
      <c r="S38" s="31"/>
      <c r="T38" s="34"/>
      <c r="U38" s="31"/>
      <c r="V38" s="31"/>
      <c r="W38" s="31"/>
      <c r="X38" s="31"/>
      <c r="Y38" s="31"/>
    </row>
    <row r="39" spans="2:25" x14ac:dyDescent="0.3">
      <c r="B39" s="16" t="s">
        <v>8368</v>
      </c>
      <c r="C39" s="8"/>
      <c r="D39" s="8"/>
      <c r="G39" s="16" t="s">
        <v>8382</v>
      </c>
      <c r="H39" s="29">
        <v>27</v>
      </c>
      <c r="I39" s="29">
        <v>5</v>
      </c>
      <c r="J39" s="29">
        <v>11</v>
      </c>
      <c r="K39" s="29">
        <v>49</v>
      </c>
      <c r="L39" s="29">
        <v>13</v>
      </c>
      <c r="M39" s="29">
        <v>6</v>
      </c>
      <c r="N39" s="29">
        <v>20</v>
      </c>
      <c r="O39" s="29">
        <v>71</v>
      </c>
      <c r="P39" s="29">
        <v>202</v>
      </c>
      <c r="R39" s="31"/>
      <c r="S39" s="31"/>
      <c r="T39" s="34"/>
      <c r="U39" s="31"/>
      <c r="V39" s="31"/>
      <c r="W39" s="31"/>
      <c r="X39" s="31"/>
      <c r="Y39" s="31"/>
    </row>
    <row r="40" spans="2:25" x14ac:dyDescent="0.3">
      <c r="B40" s="18" t="s">
        <v>8307</v>
      </c>
      <c r="C40" s="8"/>
      <c r="D40" s="8"/>
      <c r="G40" s="16" t="s">
        <v>8383</v>
      </c>
      <c r="H40" s="29">
        <v>37</v>
      </c>
      <c r="I40" s="29">
        <v>1</v>
      </c>
      <c r="J40" s="29">
        <v>6</v>
      </c>
      <c r="K40" s="29">
        <v>49</v>
      </c>
      <c r="L40" s="29">
        <v>9</v>
      </c>
      <c r="M40" s="29">
        <v>5</v>
      </c>
      <c r="N40" s="29">
        <v>17</v>
      </c>
      <c r="O40" s="29">
        <v>56</v>
      </c>
      <c r="P40" s="29">
        <v>180</v>
      </c>
      <c r="R40" s="31"/>
      <c r="S40" s="31"/>
      <c r="T40" s="34"/>
      <c r="U40" s="31"/>
      <c r="V40" s="31"/>
      <c r="W40" s="31"/>
      <c r="X40" s="31"/>
      <c r="Y40" s="31"/>
    </row>
    <row r="41" spans="2:25" x14ac:dyDescent="0.3">
      <c r="B41" s="19" t="s">
        <v>8223</v>
      </c>
      <c r="C41" s="8">
        <v>41</v>
      </c>
      <c r="D41" s="8">
        <v>502650</v>
      </c>
      <c r="G41" s="16" t="s">
        <v>8384</v>
      </c>
      <c r="H41" s="29">
        <v>31</v>
      </c>
      <c r="I41" s="29">
        <v>1</v>
      </c>
      <c r="J41" s="29">
        <v>3</v>
      </c>
      <c r="K41" s="29">
        <v>48</v>
      </c>
      <c r="L41" s="29">
        <v>6</v>
      </c>
      <c r="M41" s="29">
        <v>6</v>
      </c>
      <c r="N41" s="29">
        <v>26</v>
      </c>
      <c r="O41" s="29">
        <v>71</v>
      </c>
      <c r="P41" s="29">
        <v>192</v>
      </c>
      <c r="R41" s="31"/>
      <c r="S41" s="31"/>
      <c r="T41" s="34"/>
      <c r="U41" s="31"/>
      <c r="V41" s="31"/>
      <c r="W41" s="31"/>
      <c r="X41" s="31"/>
      <c r="Y41" s="31"/>
    </row>
    <row r="42" spans="2:25" x14ac:dyDescent="0.3">
      <c r="B42" s="18" t="s">
        <v>8330</v>
      </c>
      <c r="C42" s="8"/>
      <c r="D42" s="8"/>
      <c r="G42" s="16" t="s">
        <v>8375</v>
      </c>
      <c r="H42" s="29">
        <v>23</v>
      </c>
      <c r="I42" s="29">
        <v>6</v>
      </c>
      <c r="J42" s="29">
        <v>5</v>
      </c>
      <c r="K42" s="29">
        <v>54</v>
      </c>
      <c r="L42" s="29">
        <v>13</v>
      </c>
      <c r="M42" s="29">
        <v>8</v>
      </c>
      <c r="N42" s="29">
        <v>14</v>
      </c>
      <c r="O42" s="29">
        <v>111</v>
      </c>
      <c r="P42" s="29">
        <v>234</v>
      </c>
      <c r="R42" s="31"/>
      <c r="S42" s="31"/>
      <c r="T42" s="34"/>
      <c r="U42" s="31"/>
      <c r="V42" s="31"/>
      <c r="W42" s="31"/>
      <c r="X42" s="31"/>
      <c r="Y42" s="31"/>
    </row>
    <row r="43" spans="2:25" x14ac:dyDescent="0.3">
      <c r="B43" s="19" t="s">
        <v>8223</v>
      </c>
      <c r="C43" s="8">
        <v>1</v>
      </c>
      <c r="D43" s="8">
        <v>500</v>
      </c>
      <c r="G43" s="16" t="s">
        <v>8385</v>
      </c>
      <c r="H43" s="29">
        <v>30</v>
      </c>
      <c r="I43" s="29">
        <v>1</v>
      </c>
      <c r="J43" s="29">
        <v>2</v>
      </c>
      <c r="K43" s="29">
        <v>46</v>
      </c>
      <c r="L43" s="29">
        <v>8</v>
      </c>
      <c r="M43" s="29">
        <v>7</v>
      </c>
      <c r="N43" s="29">
        <v>17</v>
      </c>
      <c r="O43" s="29">
        <v>100</v>
      </c>
      <c r="P43" s="29">
        <v>211</v>
      </c>
      <c r="R43" s="31"/>
      <c r="S43" s="31"/>
      <c r="T43" s="34"/>
      <c r="U43" s="31"/>
      <c r="V43" s="31"/>
      <c r="W43" s="31"/>
      <c r="X43" s="31"/>
      <c r="Y43" s="31"/>
    </row>
    <row r="44" spans="2:25" x14ac:dyDescent="0.3">
      <c r="B44" s="18" t="s">
        <v>8322</v>
      </c>
      <c r="C44" s="8"/>
      <c r="D44" s="8"/>
      <c r="G44" s="16" t="s">
        <v>8376</v>
      </c>
      <c r="H44" s="29">
        <v>25</v>
      </c>
      <c r="I44" s="29">
        <v>4</v>
      </c>
      <c r="J44" s="29">
        <v>6</v>
      </c>
      <c r="K44" s="29">
        <v>39</v>
      </c>
      <c r="L44" s="29">
        <v>6</v>
      </c>
      <c r="M44" s="29">
        <v>9</v>
      </c>
      <c r="N44" s="29">
        <v>18</v>
      </c>
      <c r="O44" s="29">
        <v>87</v>
      </c>
      <c r="P44" s="29">
        <v>194</v>
      </c>
      <c r="R44" s="31"/>
      <c r="S44" s="31"/>
      <c r="T44" s="34"/>
      <c r="U44" s="31"/>
      <c r="V44" s="31"/>
      <c r="W44" s="31"/>
      <c r="X44" s="31"/>
      <c r="Y44" s="31"/>
    </row>
    <row r="45" spans="2:25" x14ac:dyDescent="0.3">
      <c r="B45" s="19" t="s">
        <v>8223</v>
      </c>
      <c r="C45" s="8">
        <v>74</v>
      </c>
      <c r="D45" s="8">
        <v>272230.55</v>
      </c>
      <c r="G45" s="16" t="s">
        <v>8377</v>
      </c>
      <c r="H45" s="29">
        <v>16</v>
      </c>
      <c r="I45" s="29">
        <v>2</v>
      </c>
      <c r="J45" s="29">
        <v>5</v>
      </c>
      <c r="K45" s="29">
        <v>44</v>
      </c>
      <c r="L45" s="29">
        <v>7</v>
      </c>
      <c r="M45" s="29">
        <v>2</v>
      </c>
      <c r="N45" s="29">
        <v>18</v>
      </c>
      <c r="O45" s="29">
        <v>72</v>
      </c>
      <c r="P45" s="29">
        <v>166</v>
      </c>
      <c r="R45" s="31"/>
      <c r="S45" s="31"/>
      <c r="T45" s="34"/>
      <c r="U45" s="31"/>
      <c r="V45" s="31"/>
      <c r="W45" s="31"/>
      <c r="X45" s="31"/>
      <c r="Y45" s="31"/>
    </row>
    <row r="46" spans="2:25" x14ac:dyDescent="0.3">
      <c r="B46" s="18" t="s">
        <v>8319</v>
      </c>
      <c r="C46" s="8"/>
      <c r="D46" s="8"/>
      <c r="G46" s="16" t="s">
        <v>8378</v>
      </c>
      <c r="H46" s="29">
        <v>19</v>
      </c>
      <c r="I46" s="29">
        <v>2</v>
      </c>
      <c r="J46" s="29">
        <v>2</v>
      </c>
      <c r="K46" s="29">
        <v>38</v>
      </c>
      <c r="L46" s="29">
        <v>7</v>
      </c>
      <c r="M46" s="29">
        <v>5</v>
      </c>
      <c r="N46" s="29">
        <v>15</v>
      </c>
      <c r="O46" s="29">
        <v>59</v>
      </c>
      <c r="P46" s="29">
        <v>147</v>
      </c>
      <c r="R46" s="31"/>
      <c r="S46" s="31"/>
      <c r="T46" s="34"/>
      <c r="U46" s="31"/>
      <c r="V46" s="31"/>
      <c r="W46" s="31"/>
      <c r="X46" s="31"/>
      <c r="Y46" s="31"/>
    </row>
    <row r="47" spans="2:25" x14ac:dyDescent="0.3">
      <c r="B47" s="19" t="s">
        <v>8223</v>
      </c>
      <c r="C47" s="8">
        <v>11</v>
      </c>
      <c r="D47" s="8">
        <v>92360</v>
      </c>
      <c r="G47" s="16" t="s">
        <v>8379</v>
      </c>
      <c r="H47" s="29">
        <v>29</v>
      </c>
      <c r="I47" s="29">
        <v>4</v>
      </c>
      <c r="J47" s="29">
        <v>10</v>
      </c>
      <c r="K47" s="29">
        <v>43</v>
      </c>
      <c r="L47" s="29">
        <v>9</v>
      </c>
      <c r="M47" s="29">
        <v>3</v>
      </c>
      <c r="N47" s="29">
        <v>20</v>
      </c>
      <c r="O47" s="29">
        <v>65</v>
      </c>
      <c r="P47" s="29">
        <v>183</v>
      </c>
      <c r="R47" s="31"/>
      <c r="S47" s="31"/>
      <c r="T47" s="34"/>
      <c r="U47" s="31"/>
      <c r="V47" s="31"/>
      <c r="W47" s="31"/>
      <c r="X47" s="31"/>
      <c r="Y47" s="31"/>
    </row>
    <row r="48" spans="2:25" x14ac:dyDescent="0.3">
      <c r="B48" s="18" t="s">
        <v>8316</v>
      </c>
      <c r="C48" s="8"/>
      <c r="D48" s="8"/>
      <c r="G48" s="16" t="s">
        <v>8380</v>
      </c>
      <c r="H48" s="29">
        <v>23</v>
      </c>
      <c r="I48" s="29">
        <v>4</v>
      </c>
      <c r="J48" s="29">
        <v>13</v>
      </c>
      <c r="K48" s="29">
        <v>46</v>
      </c>
      <c r="L48" s="29">
        <v>8</v>
      </c>
      <c r="M48" s="29">
        <v>11</v>
      </c>
      <c r="N48" s="29">
        <v>24</v>
      </c>
      <c r="O48" s="29">
        <v>54</v>
      </c>
      <c r="P48" s="29">
        <v>183</v>
      </c>
      <c r="R48" s="31"/>
      <c r="S48" s="31"/>
      <c r="T48" s="34"/>
      <c r="U48" s="31"/>
      <c r="V48" s="31"/>
      <c r="W48" s="31"/>
      <c r="X48" s="31"/>
      <c r="Y48" s="31"/>
    </row>
    <row r="49" spans="2:25" x14ac:dyDescent="0.3">
      <c r="B49" s="19" t="s">
        <v>8223</v>
      </c>
      <c r="C49" s="8">
        <v>5</v>
      </c>
      <c r="D49" s="8">
        <v>67770.790000000008</v>
      </c>
      <c r="G49" s="16" t="s">
        <v>8386</v>
      </c>
      <c r="H49" s="29">
        <v>15</v>
      </c>
      <c r="I49" s="29"/>
      <c r="J49" s="29">
        <v>4</v>
      </c>
      <c r="K49" s="29">
        <v>30</v>
      </c>
      <c r="L49" s="29">
        <v>7</v>
      </c>
      <c r="M49" s="29">
        <v>7</v>
      </c>
      <c r="N49" s="29">
        <v>11</v>
      </c>
      <c r="O49" s="29">
        <v>37</v>
      </c>
      <c r="P49" s="29">
        <v>111</v>
      </c>
      <c r="R49" s="31"/>
      <c r="S49" s="31"/>
      <c r="T49" s="34"/>
      <c r="U49" s="31"/>
      <c r="V49" s="31"/>
      <c r="W49" s="31"/>
      <c r="X49" s="31"/>
      <c r="Y49" s="31"/>
    </row>
    <row r="50" spans="2:25" x14ac:dyDescent="0.3">
      <c r="B50" s="18" t="s">
        <v>8314</v>
      </c>
      <c r="C50" s="8"/>
      <c r="D50" s="8"/>
      <c r="G50" s="16" t="s">
        <v>8359</v>
      </c>
      <c r="H50" s="29">
        <v>300</v>
      </c>
      <c r="I50" s="29">
        <v>34</v>
      </c>
      <c r="J50" s="29">
        <v>80</v>
      </c>
      <c r="K50" s="29">
        <v>540</v>
      </c>
      <c r="L50" s="29">
        <v>103</v>
      </c>
      <c r="M50" s="29">
        <v>80</v>
      </c>
      <c r="N50" s="29">
        <v>209</v>
      </c>
      <c r="O50" s="29">
        <v>839</v>
      </c>
      <c r="P50" s="29">
        <v>2185</v>
      </c>
      <c r="R50" s="31"/>
      <c r="S50" s="31"/>
      <c r="T50" s="34"/>
      <c r="U50" s="31"/>
      <c r="V50" s="31"/>
      <c r="W50" s="31"/>
      <c r="X50" s="31"/>
      <c r="Y50" s="31"/>
    </row>
    <row r="51" spans="2:25" x14ac:dyDescent="0.3">
      <c r="B51" s="19" t="s">
        <v>8223</v>
      </c>
      <c r="C51" s="8">
        <v>4</v>
      </c>
      <c r="D51" s="8">
        <v>12250</v>
      </c>
      <c r="R51" s="31"/>
      <c r="S51" s="31"/>
      <c r="T51" s="34"/>
      <c r="U51" s="31"/>
      <c r="V51" s="31"/>
      <c r="W51" s="31"/>
      <c r="X51" s="31"/>
      <c r="Y51" s="31"/>
    </row>
    <row r="52" spans="2:25" x14ac:dyDescent="0.3">
      <c r="B52" s="16" t="s">
        <v>8369</v>
      </c>
      <c r="C52" s="8"/>
      <c r="D52" s="8"/>
      <c r="G52" s="15" t="s">
        <v>8304</v>
      </c>
      <c r="H52" s="28" t="s" vm="1">
        <v>8218</v>
      </c>
      <c r="Q52" t="s">
        <v>8415</v>
      </c>
      <c r="R52" s="31"/>
      <c r="S52" s="31"/>
      <c r="T52" s="34"/>
      <c r="U52" s="31"/>
      <c r="V52" s="31"/>
      <c r="W52" s="31"/>
      <c r="X52" s="31"/>
      <c r="Y52" s="31"/>
    </row>
    <row r="53" spans="2:25" x14ac:dyDescent="0.3">
      <c r="B53" s="18" t="s">
        <v>8307</v>
      </c>
      <c r="C53" s="8"/>
      <c r="D53" s="8"/>
      <c r="R53" s="31"/>
      <c r="S53" s="31"/>
      <c r="T53" s="34"/>
      <c r="U53" s="31"/>
      <c r="V53" s="31"/>
      <c r="W53" s="31"/>
      <c r="X53" s="31"/>
      <c r="Y53" s="31"/>
    </row>
    <row r="54" spans="2:25" x14ac:dyDescent="0.3">
      <c r="B54" s="19" t="s">
        <v>8223</v>
      </c>
      <c r="C54" s="8">
        <v>41</v>
      </c>
      <c r="D54" s="8">
        <v>573950</v>
      </c>
      <c r="G54" s="15" t="s">
        <v>8416</v>
      </c>
      <c r="H54" s="30" t="s">
        <v>8360</v>
      </c>
      <c r="J54"/>
      <c r="K54"/>
      <c r="L54"/>
      <c r="M54"/>
      <c r="N54"/>
      <c r="O54"/>
      <c r="P54"/>
    </row>
    <row r="55" spans="2:25" x14ac:dyDescent="0.3">
      <c r="B55" s="18" t="s">
        <v>8330</v>
      </c>
      <c r="C55" s="8"/>
      <c r="D55" s="8"/>
      <c r="G55" s="15" t="s">
        <v>8358</v>
      </c>
      <c r="H55" s="28" t="s">
        <v>8375</v>
      </c>
      <c r="I55" t="s">
        <v>8359</v>
      </c>
      <c r="J55"/>
      <c r="K55"/>
      <c r="L55"/>
      <c r="M55"/>
      <c r="N55"/>
      <c r="O55"/>
      <c r="P55"/>
    </row>
    <row r="56" spans="2:25" x14ac:dyDescent="0.3">
      <c r="B56" s="19" t="s">
        <v>8223</v>
      </c>
      <c r="C56" s="8">
        <v>1</v>
      </c>
      <c r="D56" s="8">
        <v>8500</v>
      </c>
      <c r="G56" s="16" t="s">
        <v>8324</v>
      </c>
      <c r="H56" s="29">
        <v>1</v>
      </c>
      <c r="I56" s="8">
        <v>1</v>
      </c>
      <c r="J56"/>
      <c r="K56"/>
      <c r="L56"/>
      <c r="M56"/>
      <c r="N56"/>
      <c r="O56"/>
      <c r="P56"/>
    </row>
    <row r="57" spans="2:25" x14ac:dyDescent="0.3">
      <c r="B57" s="18" t="s">
        <v>8322</v>
      </c>
      <c r="C57" s="8"/>
      <c r="D57" s="8"/>
      <c r="G57" s="16" t="s">
        <v>8351</v>
      </c>
      <c r="H57" s="29">
        <v>2</v>
      </c>
      <c r="I57" s="8">
        <v>2</v>
      </c>
      <c r="J57"/>
      <c r="K57"/>
      <c r="L57"/>
      <c r="M57"/>
      <c r="N57"/>
      <c r="O57"/>
      <c r="P57"/>
    </row>
    <row r="58" spans="2:25" x14ac:dyDescent="0.3">
      <c r="B58" s="19" t="s">
        <v>8223</v>
      </c>
      <c r="C58" s="8">
        <v>136</v>
      </c>
      <c r="D58" s="8">
        <v>569036.47</v>
      </c>
      <c r="G58" s="16" t="s">
        <v>8352</v>
      </c>
      <c r="H58" s="29">
        <v>3</v>
      </c>
      <c r="I58" s="8">
        <v>3</v>
      </c>
      <c r="J58"/>
      <c r="K58"/>
      <c r="L58"/>
      <c r="M58"/>
      <c r="N58"/>
      <c r="O58"/>
      <c r="P58"/>
    </row>
    <row r="59" spans="2:25" x14ac:dyDescent="0.3">
      <c r="B59" s="18" t="s">
        <v>8319</v>
      </c>
      <c r="C59" s="8"/>
      <c r="D59" s="8"/>
      <c r="G59" s="16" t="s">
        <v>8343</v>
      </c>
      <c r="H59" s="29">
        <v>4</v>
      </c>
      <c r="I59" s="8">
        <v>4</v>
      </c>
      <c r="J59"/>
      <c r="K59"/>
      <c r="L59"/>
      <c r="M59"/>
      <c r="N59"/>
      <c r="O59"/>
      <c r="P59"/>
    </row>
    <row r="60" spans="2:25" x14ac:dyDescent="0.3">
      <c r="B60" s="19" t="s">
        <v>8224</v>
      </c>
      <c r="C60" s="8">
        <v>1</v>
      </c>
      <c r="D60" s="8">
        <v>2500</v>
      </c>
      <c r="G60" s="16" t="s">
        <v>8327</v>
      </c>
      <c r="H60" s="29">
        <v>4</v>
      </c>
      <c r="I60" s="8">
        <v>4</v>
      </c>
      <c r="J60"/>
      <c r="K60"/>
      <c r="L60"/>
      <c r="M60"/>
      <c r="N60"/>
      <c r="O60"/>
      <c r="P60"/>
    </row>
    <row r="61" spans="2:25" x14ac:dyDescent="0.3">
      <c r="B61" s="19" t="s">
        <v>8223</v>
      </c>
      <c r="C61" s="8">
        <v>14</v>
      </c>
      <c r="D61" s="8">
        <v>119687</v>
      </c>
      <c r="G61" s="16" t="s">
        <v>8348</v>
      </c>
      <c r="H61" s="29">
        <v>5</v>
      </c>
      <c r="I61" s="8">
        <v>5</v>
      </c>
      <c r="J61"/>
      <c r="K61"/>
      <c r="L61"/>
      <c r="M61"/>
      <c r="N61"/>
      <c r="O61"/>
      <c r="P61"/>
    </row>
    <row r="62" spans="2:25" x14ac:dyDescent="0.3">
      <c r="B62" s="18" t="s">
        <v>8316</v>
      </c>
      <c r="C62" s="8"/>
      <c r="D62" s="8"/>
      <c r="G62" s="16" t="s">
        <v>8309</v>
      </c>
      <c r="H62" s="29">
        <v>6</v>
      </c>
      <c r="I62" s="8">
        <v>6</v>
      </c>
      <c r="J62"/>
      <c r="K62"/>
      <c r="L62"/>
      <c r="M62"/>
      <c r="N62"/>
      <c r="O62"/>
      <c r="P62"/>
    </row>
    <row r="63" spans="2:25" x14ac:dyDescent="0.3">
      <c r="B63" s="19" t="s">
        <v>8224</v>
      </c>
      <c r="C63" s="8">
        <v>1</v>
      </c>
      <c r="D63" s="8">
        <v>32768</v>
      </c>
      <c r="G63" s="16" t="s">
        <v>8349</v>
      </c>
      <c r="H63" s="29">
        <v>6</v>
      </c>
      <c r="I63" s="8">
        <v>6</v>
      </c>
      <c r="J63"/>
      <c r="K63"/>
      <c r="L63"/>
      <c r="M63"/>
      <c r="N63"/>
      <c r="O63"/>
      <c r="P63"/>
    </row>
    <row r="64" spans="2:25" x14ac:dyDescent="0.3">
      <c r="B64" s="19" t="s">
        <v>8223</v>
      </c>
      <c r="C64" s="8">
        <v>14</v>
      </c>
      <c r="D64" s="8">
        <v>254400</v>
      </c>
      <c r="G64" s="16" t="s">
        <v>8308</v>
      </c>
      <c r="H64" s="29">
        <v>7</v>
      </c>
      <c r="I64" s="8">
        <v>7</v>
      </c>
      <c r="J64"/>
      <c r="K64"/>
      <c r="L64"/>
      <c r="M64"/>
      <c r="N64"/>
      <c r="O64"/>
      <c r="P64"/>
    </row>
    <row r="65" spans="2:16" x14ac:dyDescent="0.3">
      <c r="B65" s="18" t="s">
        <v>8314</v>
      </c>
      <c r="C65" s="8"/>
      <c r="D65" s="8"/>
      <c r="G65" s="16" t="s">
        <v>8320</v>
      </c>
      <c r="H65" s="29">
        <v>8</v>
      </c>
      <c r="I65" s="8">
        <v>8</v>
      </c>
      <c r="J65"/>
      <c r="K65"/>
      <c r="L65"/>
      <c r="M65"/>
      <c r="N65"/>
      <c r="O65"/>
      <c r="P65"/>
    </row>
    <row r="66" spans="2:16" x14ac:dyDescent="0.3">
      <c r="B66" s="19" t="s">
        <v>8224</v>
      </c>
      <c r="C66" s="8">
        <v>1</v>
      </c>
      <c r="D66" s="8">
        <v>5000</v>
      </c>
      <c r="G66" s="16" t="s">
        <v>8356</v>
      </c>
      <c r="H66" s="29">
        <v>9</v>
      </c>
      <c r="I66" s="8">
        <v>9</v>
      </c>
      <c r="J66"/>
      <c r="K66"/>
      <c r="L66"/>
      <c r="M66"/>
      <c r="N66"/>
      <c r="O66"/>
      <c r="P66"/>
    </row>
    <row r="67" spans="2:16" x14ac:dyDescent="0.3">
      <c r="B67" s="19" t="s">
        <v>8223</v>
      </c>
      <c r="C67" s="8">
        <v>7</v>
      </c>
      <c r="D67" s="8">
        <v>30750</v>
      </c>
      <c r="G67" s="16" t="s">
        <v>8354</v>
      </c>
      <c r="H67" s="29">
        <v>9</v>
      </c>
      <c r="I67" s="8">
        <v>9</v>
      </c>
      <c r="J67"/>
      <c r="K67"/>
      <c r="L67"/>
      <c r="M67"/>
      <c r="N67"/>
      <c r="O67"/>
      <c r="P67"/>
    </row>
    <row r="68" spans="2:16" x14ac:dyDescent="0.3">
      <c r="B68" s="16" t="s">
        <v>8370</v>
      </c>
      <c r="C68" s="8"/>
      <c r="D68" s="8"/>
      <c r="G68" s="16" t="s">
        <v>8312</v>
      </c>
      <c r="H68" s="29">
        <v>10</v>
      </c>
      <c r="I68" s="8">
        <v>10</v>
      </c>
      <c r="J68"/>
      <c r="K68"/>
      <c r="L68"/>
      <c r="M68"/>
      <c r="N68"/>
      <c r="O68"/>
      <c r="P68"/>
    </row>
    <row r="69" spans="2:16" x14ac:dyDescent="0.3">
      <c r="B69" s="18" t="s">
        <v>8307</v>
      </c>
      <c r="C69" s="8"/>
      <c r="D69" s="8"/>
      <c r="G69" s="16" t="s">
        <v>8346</v>
      </c>
      <c r="H69" s="29">
        <v>11</v>
      </c>
      <c r="I69" s="8">
        <v>11</v>
      </c>
      <c r="J69"/>
      <c r="K69"/>
      <c r="L69"/>
      <c r="M69"/>
      <c r="N69"/>
      <c r="O69"/>
      <c r="P69"/>
    </row>
    <row r="70" spans="2:16" x14ac:dyDescent="0.3">
      <c r="B70" s="19" t="s">
        <v>8224</v>
      </c>
      <c r="C70" s="8">
        <v>1</v>
      </c>
      <c r="D70" s="8">
        <v>15000</v>
      </c>
      <c r="G70" s="16" t="s">
        <v>8336</v>
      </c>
      <c r="H70" s="29">
        <v>13</v>
      </c>
      <c r="I70" s="8">
        <v>13</v>
      </c>
      <c r="J70"/>
      <c r="K70"/>
      <c r="L70"/>
      <c r="M70"/>
      <c r="N70"/>
      <c r="O70"/>
      <c r="P70"/>
    </row>
    <row r="71" spans="2:16" x14ac:dyDescent="0.3">
      <c r="B71" s="19" t="s">
        <v>8223</v>
      </c>
      <c r="C71" s="8">
        <v>34</v>
      </c>
      <c r="D71" s="8">
        <v>459500</v>
      </c>
      <c r="G71" s="16" t="s">
        <v>8326</v>
      </c>
      <c r="H71" s="29">
        <v>14</v>
      </c>
      <c r="I71" s="8">
        <v>14</v>
      </c>
      <c r="J71"/>
      <c r="K71"/>
      <c r="L71"/>
      <c r="M71"/>
      <c r="N71"/>
      <c r="O71"/>
      <c r="P71"/>
    </row>
    <row r="72" spans="2:16" x14ac:dyDescent="0.3">
      <c r="B72" s="18" t="s">
        <v>8330</v>
      </c>
      <c r="C72" s="8"/>
      <c r="D72" s="8"/>
      <c r="G72" s="16" t="s">
        <v>8323</v>
      </c>
      <c r="H72" s="29">
        <v>29</v>
      </c>
      <c r="I72" s="8">
        <v>29</v>
      </c>
      <c r="J72"/>
      <c r="K72"/>
      <c r="L72"/>
      <c r="M72"/>
      <c r="N72"/>
      <c r="O72"/>
      <c r="P72"/>
    </row>
    <row r="73" spans="2:16" x14ac:dyDescent="0.3">
      <c r="B73" s="19" t="s">
        <v>8224</v>
      </c>
      <c r="C73" s="8">
        <v>2</v>
      </c>
      <c r="D73" s="8">
        <v>18000</v>
      </c>
      <c r="G73" s="16" t="s">
        <v>8315</v>
      </c>
      <c r="H73" s="29">
        <v>93</v>
      </c>
      <c r="I73" s="8">
        <v>93</v>
      </c>
      <c r="J73"/>
      <c r="K73"/>
      <c r="L73"/>
      <c r="M73"/>
      <c r="N73"/>
      <c r="O73"/>
      <c r="P73"/>
    </row>
    <row r="74" spans="2:16" x14ac:dyDescent="0.3">
      <c r="B74" s="19" t="s">
        <v>8223</v>
      </c>
      <c r="C74" s="8">
        <v>6</v>
      </c>
      <c r="D74" s="8">
        <v>53601</v>
      </c>
      <c r="G74" s="16" t="s">
        <v>8359</v>
      </c>
      <c r="H74" s="29">
        <v>234</v>
      </c>
      <c r="I74" s="8">
        <v>234</v>
      </c>
      <c r="J74"/>
      <c r="K74"/>
      <c r="L74"/>
      <c r="M74"/>
      <c r="N74"/>
      <c r="O74"/>
      <c r="P74"/>
    </row>
    <row r="75" spans="2:16" x14ac:dyDescent="0.3">
      <c r="B75" s="18" t="s">
        <v>8322</v>
      </c>
      <c r="C75" s="8"/>
      <c r="D75" s="8"/>
      <c r="H75"/>
      <c r="I75"/>
      <c r="J75"/>
      <c r="K75"/>
      <c r="L75"/>
      <c r="M75"/>
      <c r="N75"/>
      <c r="O75"/>
      <c r="P75"/>
    </row>
    <row r="76" spans="2:16" x14ac:dyDescent="0.3">
      <c r="B76" s="19" t="s">
        <v>8228</v>
      </c>
      <c r="C76" s="8">
        <v>3</v>
      </c>
      <c r="D76" s="8">
        <v>11550</v>
      </c>
      <c r="H76"/>
      <c r="I76"/>
      <c r="J76"/>
      <c r="K76"/>
      <c r="L76"/>
      <c r="M76"/>
      <c r="N76"/>
      <c r="O76"/>
      <c r="P76"/>
    </row>
    <row r="77" spans="2:16" x14ac:dyDescent="0.3">
      <c r="B77" s="19" t="s">
        <v>8224</v>
      </c>
      <c r="C77" s="8">
        <v>5</v>
      </c>
      <c r="D77" s="8">
        <v>6430</v>
      </c>
      <c r="H77"/>
      <c r="I77"/>
      <c r="J77"/>
      <c r="K77"/>
      <c r="L77"/>
      <c r="M77"/>
      <c r="N77"/>
      <c r="O77"/>
      <c r="P77"/>
    </row>
    <row r="78" spans="2:16" x14ac:dyDescent="0.3">
      <c r="B78" s="19" t="s">
        <v>8223</v>
      </c>
      <c r="C78" s="8">
        <v>89</v>
      </c>
      <c r="D78" s="8">
        <v>434075</v>
      </c>
    </row>
    <row r="79" spans="2:16" x14ac:dyDescent="0.3">
      <c r="B79" s="18" t="s">
        <v>8319</v>
      </c>
      <c r="C79" s="8"/>
      <c r="D79" s="8"/>
    </row>
    <row r="80" spans="2:16" x14ac:dyDescent="0.3">
      <c r="B80" s="19" t="s">
        <v>8224</v>
      </c>
      <c r="C80" s="8">
        <v>2</v>
      </c>
      <c r="D80" s="8">
        <v>2540</v>
      </c>
      <c r="M80" s="28">
        <v>234</v>
      </c>
    </row>
    <row r="81" spans="2:16" x14ac:dyDescent="0.3">
      <c r="B81" s="19" t="s">
        <v>8223</v>
      </c>
      <c r="C81" s="8">
        <v>19</v>
      </c>
      <c r="D81" s="8">
        <v>222414</v>
      </c>
      <c r="M81" s="38">
        <f>93/234</f>
        <v>0.39743589743589741</v>
      </c>
    </row>
    <row r="82" spans="2:16" x14ac:dyDescent="0.3">
      <c r="B82" s="18" t="s">
        <v>8316</v>
      </c>
      <c r="C82" s="8"/>
      <c r="D82" s="8"/>
    </row>
    <row r="83" spans="2:16" x14ac:dyDescent="0.3">
      <c r="B83" s="19" t="s">
        <v>8228</v>
      </c>
      <c r="C83" s="8">
        <v>1</v>
      </c>
      <c r="D83" s="8">
        <v>35000</v>
      </c>
      <c r="G83" s="15" t="s">
        <v>8304</v>
      </c>
      <c r="H83" t="s" vm="1">
        <v>8218</v>
      </c>
    </row>
    <row r="84" spans="2:16" x14ac:dyDescent="0.3">
      <c r="B84" s="19" t="s">
        <v>8224</v>
      </c>
      <c r="C84" s="8">
        <v>7</v>
      </c>
      <c r="D84" s="8">
        <v>123500</v>
      </c>
    </row>
    <row r="85" spans="2:16" x14ac:dyDescent="0.3">
      <c r="B85" s="19" t="s">
        <v>8223</v>
      </c>
      <c r="C85" s="8">
        <v>20</v>
      </c>
      <c r="D85" s="8">
        <v>1011711</v>
      </c>
      <c r="G85" s="15" t="s">
        <v>8358</v>
      </c>
      <c r="H85" t="s">
        <v>8361</v>
      </c>
      <c r="I85" t="s">
        <v>8401</v>
      </c>
      <c r="J85" t="s">
        <v>8451</v>
      </c>
      <c r="K85"/>
      <c r="L85"/>
      <c r="M85"/>
      <c r="N85"/>
      <c r="O85"/>
      <c r="P85"/>
    </row>
    <row r="86" spans="2:16" x14ac:dyDescent="0.3">
      <c r="B86" s="18" t="s">
        <v>8314</v>
      </c>
      <c r="C86" s="8"/>
      <c r="D86" s="8"/>
      <c r="G86" s="16" t="s">
        <v>8381</v>
      </c>
      <c r="H86" s="8">
        <v>182</v>
      </c>
      <c r="I86" s="47">
        <v>1345039</v>
      </c>
      <c r="J86" s="47">
        <v>7390.3241758241757</v>
      </c>
      <c r="K86"/>
      <c r="L86"/>
      <c r="M86"/>
      <c r="N86"/>
      <c r="O86"/>
      <c r="P86"/>
    </row>
    <row r="87" spans="2:16" x14ac:dyDescent="0.3">
      <c r="B87" s="19" t="s">
        <v>8224</v>
      </c>
      <c r="C87" s="8">
        <v>1</v>
      </c>
      <c r="D87" s="8">
        <v>2200</v>
      </c>
      <c r="G87" s="16" t="s">
        <v>8382</v>
      </c>
      <c r="H87" s="8">
        <v>202</v>
      </c>
      <c r="I87" s="47">
        <v>2124934</v>
      </c>
      <c r="J87" s="47">
        <v>10519.475247524753</v>
      </c>
      <c r="K87"/>
      <c r="L87"/>
      <c r="M87"/>
      <c r="N87"/>
      <c r="O87"/>
      <c r="P87"/>
    </row>
    <row r="88" spans="2:16" x14ac:dyDescent="0.3">
      <c r="B88" s="19" t="s">
        <v>8223</v>
      </c>
      <c r="C88" s="8">
        <v>10</v>
      </c>
      <c r="D88" s="8">
        <v>105100</v>
      </c>
      <c r="G88" s="16" t="s">
        <v>8383</v>
      </c>
      <c r="H88" s="8">
        <v>180</v>
      </c>
      <c r="I88" s="47">
        <v>1932665</v>
      </c>
      <c r="J88" s="47">
        <v>10737.027777777777</v>
      </c>
      <c r="K88"/>
      <c r="L88"/>
      <c r="M88"/>
      <c r="N88"/>
      <c r="O88"/>
      <c r="P88"/>
    </row>
    <row r="89" spans="2:16" x14ac:dyDescent="0.3">
      <c r="B89" s="16" t="s">
        <v>8371</v>
      </c>
      <c r="C89" s="8"/>
      <c r="D89" s="8"/>
      <c r="G89" s="16" t="s">
        <v>8384</v>
      </c>
      <c r="H89" s="8">
        <v>192</v>
      </c>
      <c r="I89" s="47">
        <v>2379814.4699999997</v>
      </c>
      <c r="J89" s="47">
        <v>12394.867031249998</v>
      </c>
      <c r="K89"/>
      <c r="L89"/>
      <c r="M89"/>
      <c r="N89"/>
      <c r="O89"/>
      <c r="P89"/>
    </row>
    <row r="90" spans="2:16" x14ac:dyDescent="0.3">
      <c r="B90" s="18" t="s">
        <v>8307</v>
      </c>
      <c r="C90" s="8"/>
      <c r="D90" s="8"/>
      <c r="G90" s="16" t="s">
        <v>8375</v>
      </c>
      <c r="H90" s="8">
        <v>234</v>
      </c>
      <c r="I90" s="47">
        <v>2038459</v>
      </c>
      <c r="J90" s="47">
        <v>8711.363247863248</v>
      </c>
      <c r="K90"/>
      <c r="L90"/>
      <c r="M90"/>
      <c r="N90"/>
      <c r="O90"/>
      <c r="P90"/>
    </row>
    <row r="91" spans="2:16" x14ac:dyDescent="0.3">
      <c r="B91" s="19" t="s">
        <v>8225</v>
      </c>
      <c r="C91" s="8">
        <v>1</v>
      </c>
      <c r="D91" s="8">
        <v>6000</v>
      </c>
      <c r="G91" s="16" t="s">
        <v>8385</v>
      </c>
      <c r="H91" s="8">
        <v>211</v>
      </c>
      <c r="I91" s="47">
        <v>1651472</v>
      </c>
      <c r="J91" s="47">
        <v>7826.8815165876777</v>
      </c>
      <c r="K91"/>
      <c r="L91"/>
      <c r="M91"/>
      <c r="N91"/>
      <c r="O91"/>
      <c r="P91"/>
    </row>
    <row r="92" spans="2:16" x14ac:dyDescent="0.3">
      <c r="B92" s="19" t="s">
        <v>8228</v>
      </c>
      <c r="C92" s="8">
        <v>3</v>
      </c>
      <c r="D92" s="8">
        <v>23400</v>
      </c>
      <c r="G92" s="16" t="s">
        <v>8376</v>
      </c>
      <c r="H92" s="8">
        <v>194</v>
      </c>
      <c r="I92" s="47">
        <v>1630130</v>
      </c>
      <c r="J92" s="47">
        <v>8402.7319587628863</v>
      </c>
      <c r="K92"/>
      <c r="L92"/>
      <c r="M92"/>
      <c r="N92"/>
      <c r="O92"/>
      <c r="P92"/>
    </row>
    <row r="93" spans="2:16" x14ac:dyDescent="0.3">
      <c r="B93" s="19" t="s">
        <v>8224</v>
      </c>
      <c r="C93" s="8">
        <v>11</v>
      </c>
      <c r="D93" s="8">
        <v>62900</v>
      </c>
      <c r="G93" s="16" t="s">
        <v>8377</v>
      </c>
      <c r="H93" s="8">
        <v>166</v>
      </c>
      <c r="I93" s="47">
        <v>1226330.79</v>
      </c>
      <c r="J93" s="47">
        <v>7387.5348795180726</v>
      </c>
      <c r="K93"/>
      <c r="L93"/>
      <c r="M93"/>
      <c r="N93"/>
      <c r="O93"/>
      <c r="P93"/>
    </row>
    <row r="94" spans="2:16" x14ac:dyDescent="0.3">
      <c r="B94" s="19" t="s">
        <v>8227</v>
      </c>
      <c r="C94" s="8">
        <v>1</v>
      </c>
      <c r="D94" s="8">
        <v>20000</v>
      </c>
      <c r="G94" s="16" t="s">
        <v>8378</v>
      </c>
      <c r="H94" s="8">
        <v>147</v>
      </c>
      <c r="I94" s="47">
        <v>1606900</v>
      </c>
      <c r="J94" s="47">
        <v>10931.292517006803</v>
      </c>
      <c r="K94"/>
      <c r="L94"/>
      <c r="M94"/>
      <c r="N94"/>
      <c r="O94"/>
      <c r="P94"/>
    </row>
    <row r="95" spans="2:16" x14ac:dyDescent="0.3">
      <c r="B95" s="19" t="s">
        <v>8223</v>
      </c>
      <c r="C95" s="8">
        <v>44</v>
      </c>
      <c r="D95" s="8">
        <v>792284</v>
      </c>
      <c r="G95" s="16" t="s">
        <v>8379</v>
      </c>
      <c r="H95" s="8">
        <v>183</v>
      </c>
      <c r="I95" s="47">
        <v>2454263.5499999998</v>
      </c>
      <c r="J95" s="47">
        <v>13411.276229508196</v>
      </c>
      <c r="K95"/>
      <c r="L95"/>
      <c r="M95"/>
      <c r="N95"/>
      <c r="O95"/>
      <c r="P95"/>
    </row>
    <row r="96" spans="2:16" x14ac:dyDescent="0.3">
      <c r="B96" s="18" t="s">
        <v>8333</v>
      </c>
      <c r="C96" s="8"/>
      <c r="D96" s="8"/>
      <c r="G96" s="16" t="s">
        <v>8380</v>
      </c>
      <c r="H96" s="8">
        <v>183</v>
      </c>
      <c r="I96" s="47">
        <v>2152020</v>
      </c>
      <c r="J96" s="47">
        <v>11759.672131147541</v>
      </c>
      <c r="K96"/>
      <c r="L96"/>
      <c r="M96"/>
      <c r="N96"/>
      <c r="O96"/>
      <c r="P96"/>
    </row>
    <row r="97" spans="2:16" x14ac:dyDescent="0.3">
      <c r="B97" s="19" t="s">
        <v>8223</v>
      </c>
      <c r="C97" s="8">
        <v>12</v>
      </c>
      <c r="D97" s="8">
        <v>189600</v>
      </c>
      <c r="G97" s="16" t="s">
        <v>8386</v>
      </c>
      <c r="H97" s="8">
        <v>111</v>
      </c>
      <c r="I97" s="47">
        <v>1017336</v>
      </c>
      <c r="J97" s="47">
        <v>9165.1891891891901</v>
      </c>
      <c r="K97"/>
      <c r="L97"/>
      <c r="M97"/>
      <c r="N97"/>
      <c r="O97"/>
      <c r="P97"/>
    </row>
    <row r="98" spans="2:16" x14ac:dyDescent="0.3">
      <c r="B98" s="18" t="s">
        <v>8330</v>
      </c>
      <c r="C98" s="8"/>
      <c r="D98" s="8"/>
      <c r="G98" s="16" t="s">
        <v>8359</v>
      </c>
      <c r="H98" s="8">
        <v>2185</v>
      </c>
      <c r="I98" s="8">
        <v>21559363.810000002</v>
      </c>
      <c r="J98" s="8">
        <v>9866.9857254004583</v>
      </c>
      <c r="K98"/>
      <c r="L98"/>
      <c r="M98"/>
      <c r="N98"/>
      <c r="O98"/>
      <c r="P98"/>
    </row>
    <row r="99" spans="2:16" x14ac:dyDescent="0.3">
      <c r="B99" s="19" t="s">
        <v>8228</v>
      </c>
      <c r="C99" s="8">
        <v>1</v>
      </c>
      <c r="D99" s="8">
        <v>3000</v>
      </c>
      <c r="H99"/>
      <c r="I99"/>
      <c r="J99"/>
      <c r="K99"/>
      <c r="L99"/>
      <c r="M99"/>
      <c r="N99"/>
      <c r="O99"/>
      <c r="P99"/>
    </row>
    <row r="100" spans="2:16" x14ac:dyDescent="0.3">
      <c r="B100" s="19" t="s">
        <v>8224</v>
      </c>
      <c r="C100" s="8">
        <v>2</v>
      </c>
      <c r="D100" s="8">
        <v>21650</v>
      </c>
      <c r="H100"/>
      <c r="I100"/>
      <c r="J100"/>
    </row>
    <row r="101" spans="2:16" x14ac:dyDescent="0.3">
      <c r="B101" s="19" t="s">
        <v>8223</v>
      </c>
      <c r="C101" s="8">
        <v>9</v>
      </c>
      <c r="D101" s="8">
        <v>72300</v>
      </c>
      <c r="H101"/>
      <c r="I101"/>
      <c r="J101"/>
    </row>
    <row r="102" spans="2:16" x14ac:dyDescent="0.3">
      <c r="B102" s="18" t="s">
        <v>8322</v>
      </c>
      <c r="C102" s="8"/>
      <c r="D102" s="8"/>
      <c r="H102"/>
      <c r="I102"/>
      <c r="J102"/>
    </row>
    <row r="103" spans="2:16" x14ac:dyDescent="0.3">
      <c r="B103" s="19" t="s">
        <v>8228</v>
      </c>
      <c r="C103" s="8">
        <v>3</v>
      </c>
      <c r="D103" s="8">
        <v>15000</v>
      </c>
      <c r="H103"/>
      <c r="I103"/>
      <c r="J103"/>
    </row>
    <row r="104" spans="2:16" x14ac:dyDescent="0.3">
      <c r="B104" s="19" t="s">
        <v>8231</v>
      </c>
      <c r="C104" s="8">
        <v>1</v>
      </c>
      <c r="D104" s="8">
        <v>42000</v>
      </c>
    </row>
    <row r="105" spans="2:16" x14ac:dyDescent="0.3">
      <c r="B105" s="19" t="s">
        <v>8224</v>
      </c>
      <c r="C105" s="8">
        <v>5</v>
      </c>
      <c r="D105" s="8">
        <v>6000</v>
      </c>
    </row>
    <row r="106" spans="2:16" x14ac:dyDescent="0.3">
      <c r="B106" s="19" t="s">
        <v>8223</v>
      </c>
      <c r="C106" s="8">
        <v>67</v>
      </c>
      <c r="D106" s="8">
        <v>451587</v>
      </c>
    </row>
    <row r="107" spans="2:16" x14ac:dyDescent="0.3">
      <c r="B107" s="18" t="s">
        <v>8335</v>
      </c>
      <c r="C107" s="8"/>
      <c r="D107" s="8"/>
    </row>
    <row r="108" spans="2:16" x14ac:dyDescent="0.3">
      <c r="B108" s="19" t="s">
        <v>8224</v>
      </c>
      <c r="C108" s="8">
        <v>4</v>
      </c>
      <c r="D108" s="8">
        <v>32000</v>
      </c>
    </row>
    <row r="109" spans="2:16" x14ac:dyDescent="0.3">
      <c r="B109" s="19" t="s">
        <v>8223</v>
      </c>
      <c r="C109" s="8">
        <v>12</v>
      </c>
      <c r="D109" s="8">
        <v>167350</v>
      </c>
    </row>
    <row r="110" spans="2:16" x14ac:dyDescent="0.3">
      <c r="B110" s="18" t="s">
        <v>8319</v>
      </c>
      <c r="C110" s="8"/>
      <c r="D110" s="8"/>
    </row>
    <row r="111" spans="2:16" x14ac:dyDescent="0.3">
      <c r="B111" s="19" t="s">
        <v>8224</v>
      </c>
      <c r="C111" s="8">
        <v>2</v>
      </c>
      <c r="D111" s="8">
        <v>11000</v>
      </c>
    </row>
    <row r="112" spans="2:16" x14ac:dyDescent="0.3">
      <c r="B112" s="19" t="s">
        <v>8232</v>
      </c>
      <c r="C112" s="8">
        <v>1</v>
      </c>
      <c r="D112" s="8">
        <v>7000</v>
      </c>
    </row>
    <row r="113" spans="2:4" x14ac:dyDescent="0.3">
      <c r="B113" s="19" t="s">
        <v>8223</v>
      </c>
      <c r="C113" s="8">
        <v>12</v>
      </c>
      <c r="D113" s="8">
        <v>108875</v>
      </c>
    </row>
    <row r="114" spans="2:4" x14ac:dyDescent="0.3">
      <c r="B114" s="18" t="s">
        <v>8316</v>
      </c>
      <c r="C114" s="8"/>
      <c r="D114" s="8"/>
    </row>
    <row r="115" spans="2:4" x14ac:dyDescent="0.3">
      <c r="B115" s="19" t="s">
        <v>8228</v>
      </c>
      <c r="C115" s="8">
        <v>1</v>
      </c>
      <c r="D115" s="8">
        <v>8000</v>
      </c>
    </row>
    <row r="116" spans="2:4" x14ac:dyDescent="0.3">
      <c r="B116" s="19" t="s">
        <v>8224</v>
      </c>
      <c r="C116" s="8">
        <v>5</v>
      </c>
      <c r="D116" s="8">
        <v>284100</v>
      </c>
    </row>
    <row r="117" spans="2:4" x14ac:dyDescent="0.3">
      <c r="B117" s="19" t="s">
        <v>8232</v>
      </c>
      <c r="C117" s="8">
        <v>1</v>
      </c>
      <c r="D117" s="8">
        <v>50000</v>
      </c>
    </row>
    <row r="118" spans="2:4" x14ac:dyDescent="0.3">
      <c r="B118" s="19" t="s">
        <v>8234</v>
      </c>
      <c r="C118" s="8">
        <v>1</v>
      </c>
      <c r="D118" s="8">
        <v>70000</v>
      </c>
    </row>
    <row r="119" spans="2:4" x14ac:dyDescent="0.3">
      <c r="B119" s="19" t="s">
        <v>8223</v>
      </c>
      <c r="C119" s="8">
        <v>34</v>
      </c>
      <c r="D119" s="8">
        <v>841486</v>
      </c>
    </row>
    <row r="120" spans="2:4" x14ac:dyDescent="0.3">
      <c r="B120" s="18" t="s">
        <v>8314</v>
      </c>
      <c r="C120" s="8"/>
      <c r="D120" s="8"/>
    </row>
    <row r="121" spans="2:4" x14ac:dyDescent="0.3">
      <c r="B121" s="19" t="s">
        <v>8225</v>
      </c>
      <c r="C121" s="8">
        <v>2</v>
      </c>
      <c r="D121" s="8">
        <v>10500</v>
      </c>
    </row>
    <row r="122" spans="2:4" x14ac:dyDescent="0.3">
      <c r="B122" s="19" t="s">
        <v>8228</v>
      </c>
      <c r="C122" s="8">
        <v>9</v>
      </c>
      <c r="D122" s="8">
        <v>24975</v>
      </c>
    </row>
    <row r="123" spans="2:4" x14ac:dyDescent="0.3">
      <c r="B123" s="19" t="s">
        <v>8224</v>
      </c>
      <c r="C123" s="8">
        <v>60</v>
      </c>
      <c r="D123" s="8">
        <v>140533</v>
      </c>
    </row>
    <row r="124" spans="2:4" x14ac:dyDescent="0.3">
      <c r="B124" s="19" t="s">
        <v>8223</v>
      </c>
      <c r="C124" s="8">
        <v>170</v>
      </c>
      <c r="D124" s="8">
        <v>1369824</v>
      </c>
    </row>
    <row r="125" spans="2:4" x14ac:dyDescent="0.3">
      <c r="B125" s="16" t="s">
        <v>8372</v>
      </c>
      <c r="C125" s="8"/>
      <c r="D125" s="8"/>
    </row>
    <row r="126" spans="2:4" x14ac:dyDescent="0.3">
      <c r="B126" s="18" t="s">
        <v>8307</v>
      </c>
      <c r="C126" s="8"/>
      <c r="D126" s="8"/>
    </row>
    <row r="127" spans="2:4" x14ac:dyDescent="0.3">
      <c r="B127" s="19" t="s">
        <v>8225</v>
      </c>
      <c r="C127" s="8">
        <v>2</v>
      </c>
      <c r="D127" s="8">
        <v>11900</v>
      </c>
    </row>
    <row r="128" spans="2:4" x14ac:dyDescent="0.3">
      <c r="B128" s="19" t="s">
        <v>8228</v>
      </c>
      <c r="C128" s="8">
        <v>1</v>
      </c>
      <c r="D128" s="8">
        <v>1000</v>
      </c>
    </row>
    <row r="129" spans="2:4" x14ac:dyDescent="0.3">
      <c r="B129" s="19" t="s">
        <v>8226</v>
      </c>
      <c r="C129" s="8">
        <v>1</v>
      </c>
      <c r="D129" s="8">
        <v>2000</v>
      </c>
    </row>
    <row r="130" spans="2:4" x14ac:dyDescent="0.3">
      <c r="B130" s="19" t="s">
        <v>8229</v>
      </c>
      <c r="C130" s="8">
        <v>2</v>
      </c>
      <c r="D130" s="8">
        <v>6500</v>
      </c>
    </row>
    <row r="131" spans="2:4" x14ac:dyDescent="0.3">
      <c r="B131" s="19" t="s">
        <v>8224</v>
      </c>
      <c r="C131" s="8">
        <v>4</v>
      </c>
      <c r="D131" s="8">
        <v>30200</v>
      </c>
    </row>
    <row r="132" spans="2:4" x14ac:dyDescent="0.3">
      <c r="B132" s="19" t="s">
        <v>8223</v>
      </c>
      <c r="C132" s="8">
        <v>48</v>
      </c>
      <c r="D132" s="8">
        <v>934625</v>
      </c>
    </row>
    <row r="133" spans="2:4" x14ac:dyDescent="0.3">
      <c r="B133" s="18" t="s">
        <v>8333</v>
      </c>
      <c r="C133" s="8"/>
      <c r="D133" s="8"/>
    </row>
    <row r="134" spans="2:4" x14ac:dyDescent="0.3">
      <c r="B134" s="19" t="s">
        <v>8223</v>
      </c>
      <c r="C134" s="8">
        <v>7</v>
      </c>
      <c r="D134" s="8">
        <v>107100</v>
      </c>
    </row>
    <row r="135" spans="2:4" x14ac:dyDescent="0.3">
      <c r="B135" s="18" t="s">
        <v>8330</v>
      </c>
      <c r="C135" s="8"/>
      <c r="D135" s="8"/>
    </row>
    <row r="136" spans="2:4" x14ac:dyDescent="0.3">
      <c r="B136" s="19" t="s">
        <v>8228</v>
      </c>
      <c r="C136" s="8">
        <v>2</v>
      </c>
      <c r="D136" s="8">
        <v>32500</v>
      </c>
    </row>
    <row r="137" spans="2:4" x14ac:dyDescent="0.3">
      <c r="B137" s="19" t="s">
        <v>8235</v>
      </c>
      <c r="C137" s="8">
        <v>1</v>
      </c>
      <c r="D137" s="8">
        <v>1000</v>
      </c>
    </row>
    <row r="138" spans="2:4" x14ac:dyDescent="0.3">
      <c r="B138" s="19" t="s">
        <v>8224</v>
      </c>
      <c r="C138" s="8">
        <v>3</v>
      </c>
      <c r="D138" s="8">
        <v>7000</v>
      </c>
    </row>
    <row r="139" spans="2:4" x14ac:dyDescent="0.3">
      <c r="B139" s="19" t="s">
        <v>8240</v>
      </c>
      <c r="C139" s="8">
        <v>1</v>
      </c>
      <c r="D139" s="8">
        <v>9000</v>
      </c>
    </row>
    <row r="140" spans="2:4" x14ac:dyDescent="0.3">
      <c r="B140" s="19" t="s">
        <v>8236</v>
      </c>
      <c r="C140" s="8">
        <v>1</v>
      </c>
      <c r="D140" s="8">
        <v>2000</v>
      </c>
    </row>
    <row r="141" spans="2:4" x14ac:dyDescent="0.3">
      <c r="B141" s="19" t="s">
        <v>8234</v>
      </c>
      <c r="C141" s="8">
        <v>1</v>
      </c>
      <c r="D141" s="8">
        <v>7500</v>
      </c>
    </row>
    <row r="142" spans="2:4" x14ac:dyDescent="0.3">
      <c r="B142" s="19" t="s">
        <v>8223</v>
      </c>
      <c r="C142" s="8">
        <v>10</v>
      </c>
      <c r="D142" s="8">
        <v>135100</v>
      </c>
    </row>
    <row r="143" spans="2:4" x14ac:dyDescent="0.3">
      <c r="B143" s="18" t="s">
        <v>8322</v>
      </c>
      <c r="C143" s="8"/>
      <c r="D143" s="8"/>
    </row>
    <row r="144" spans="2:4" x14ac:dyDescent="0.3">
      <c r="B144" s="19" t="s">
        <v>8238</v>
      </c>
      <c r="C144" s="8">
        <v>1</v>
      </c>
      <c r="D144" s="8">
        <v>7900</v>
      </c>
    </row>
    <row r="145" spans="2:4" x14ac:dyDescent="0.3">
      <c r="B145" s="19" t="s">
        <v>8225</v>
      </c>
      <c r="C145" s="8">
        <v>1</v>
      </c>
      <c r="D145" s="8">
        <v>1250</v>
      </c>
    </row>
    <row r="146" spans="2:4" x14ac:dyDescent="0.3">
      <c r="B146" s="19" t="s">
        <v>8228</v>
      </c>
      <c r="C146" s="8">
        <v>3</v>
      </c>
      <c r="D146" s="8">
        <v>5550</v>
      </c>
    </row>
    <row r="147" spans="2:4" x14ac:dyDescent="0.3">
      <c r="B147" s="19" t="s">
        <v>8226</v>
      </c>
      <c r="C147" s="8">
        <v>2</v>
      </c>
      <c r="D147" s="8">
        <v>4200</v>
      </c>
    </row>
    <row r="148" spans="2:4" x14ac:dyDescent="0.3">
      <c r="B148" s="19" t="s">
        <v>8224</v>
      </c>
      <c r="C148" s="8">
        <v>5</v>
      </c>
      <c r="D148" s="8">
        <v>12700</v>
      </c>
    </row>
    <row r="149" spans="2:4" x14ac:dyDescent="0.3">
      <c r="B149" s="19" t="s">
        <v>8234</v>
      </c>
      <c r="C149" s="8">
        <v>1</v>
      </c>
      <c r="D149" s="8">
        <v>10000</v>
      </c>
    </row>
    <row r="150" spans="2:4" x14ac:dyDescent="0.3">
      <c r="B150" s="19" t="s">
        <v>8223</v>
      </c>
      <c r="C150" s="8">
        <v>58</v>
      </c>
      <c r="D150" s="8">
        <v>272713</v>
      </c>
    </row>
    <row r="151" spans="2:4" x14ac:dyDescent="0.3">
      <c r="B151" s="18" t="s">
        <v>8335</v>
      </c>
      <c r="C151" s="8"/>
      <c r="D151" s="8"/>
    </row>
    <row r="152" spans="2:4" x14ac:dyDescent="0.3">
      <c r="B152" s="19" t="s">
        <v>8225</v>
      </c>
      <c r="C152" s="8">
        <v>1</v>
      </c>
      <c r="D152" s="8">
        <v>25000</v>
      </c>
    </row>
    <row r="153" spans="2:4" x14ac:dyDescent="0.3">
      <c r="B153" s="19" t="s">
        <v>8228</v>
      </c>
      <c r="C153" s="8">
        <v>3</v>
      </c>
      <c r="D153" s="8">
        <v>110500</v>
      </c>
    </row>
    <row r="154" spans="2:4" x14ac:dyDescent="0.3">
      <c r="B154" s="19" t="s">
        <v>8235</v>
      </c>
      <c r="C154" s="8">
        <v>2</v>
      </c>
      <c r="D154" s="8">
        <v>28000</v>
      </c>
    </row>
    <row r="155" spans="2:4" x14ac:dyDescent="0.3">
      <c r="B155" s="19" t="s">
        <v>8224</v>
      </c>
      <c r="C155" s="8">
        <v>7</v>
      </c>
      <c r="D155" s="8">
        <v>40458</v>
      </c>
    </row>
    <row r="156" spans="2:4" x14ac:dyDescent="0.3">
      <c r="B156" s="19" t="s">
        <v>8240</v>
      </c>
      <c r="C156" s="8">
        <v>1</v>
      </c>
      <c r="D156" s="8">
        <v>12500</v>
      </c>
    </row>
    <row r="157" spans="2:4" x14ac:dyDescent="0.3">
      <c r="B157" s="19" t="s">
        <v>8236</v>
      </c>
      <c r="C157" s="8">
        <v>1</v>
      </c>
      <c r="D157" s="8">
        <v>10000</v>
      </c>
    </row>
    <row r="158" spans="2:4" x14ac:dyDescent="0.3">
      <c r="B158" s="19" t="s">
        <v>8234</v>
      </c>
      <c r="C158" s="8">
        <v>1</v>
      </c>
      <c r="D158" s="8">
        <v>20000</v>
      </c>
    </row>
    <row r="159" spans="2:4" x14ac:dyDescent="0.3">
      <c r="B159" s="19" t="s">
        <v>8223</v>
      </c>
      <c r="C159" s="8">
        <v>20</v>
      </c>
      <c r="D159" s="8">
        <v>236875</v>
      </c>
    </row>
    <row r="160" spans="2:4" x14ac:dyDescent="0.3">
      <c r="B160" s="18" t="s">
        <v>8319</v>
      </c>
      <c r="C160" s="8"/>
      <c r="D160" s="8"/>
    </row>
    <row r="161" spans="2:4" x14ac:dyDescent="0.3">
      <c r="B161" s="19" t="s">
        <v>8228</v>
      </c>
      <c r="C161" s="8">
        <v>2</v>
      </c>
      <c r="D161" s="8">
        <v>13500</v>
      </c>
    </row>
    <row r="162" spans="2:4" x14ac:dyDescent="0.3">
      <c r="B162" s="19" t="s">
        <v>8223</v>
      </c>
      <c r="C162" s="8">
        <v>9</v>
      </c>
      <c r="D162" s="8">
        <v>103500</v>
      </c>
    </row>
    <row r="163" spans="2:4" x14ac:dyDescent="0.3">
      <c r="B163" s="18" t="s">
        <v>8316</v>
      </c>
      <c r="C163" s="8"/>
      <c r="D163" s="8"/>
    </row>
    <row r="164" spans="2:4" x14ac:dyDescent="0.3">
      <c r="B164" s="19" t="s">
        <v>8238</v>
      </c>
      <c r="C164" s="8">
        <v>1</v>
      </c>
      <c r="D164" s="8">
        <v>50000</v>
      </c>
    </row>
    <row r="165" spans="2:4" x14ac:dyDescent="0.3">
      <c r="B165" s="19" t="s">
        <v>8225</v>
      </c>
      <c r="C165" s="8">
        <v>2</v>
      </c>
      <c r="D165" s="8">
        <v>163000</v>
      </c>
    </row>
    <row r="166" spans="2:4" x14ac:dyDescent="0.3">
      <c r="B166" s="19" t="s">
        <v>8228</v>
      </c>
      <c r="C166" s="8">
        <v>3</v>
      </c>
      <c r="D166" s="8">
        <v>32500</v>
      </c>
    </row>
    <row r="167" spans="2:4" x14ac:dyDescent="0.3">
      <c r="B167" s="19" t="s">
        <v>8235</v>
      </c>
      <c r="C167" s="8">
        <v>3</v>
      </c>
      <c r="D167" s="8">
        <v>155000</v>
      </c>
    </row>
    <row r="168" spans="2:4" x14ac:dyDescent="0.3">
      <c r="B168" s="19" t="s">
        <v>8226</v>
      </c>
      <c r="C168" s="8">
        <v>1</v>
      </c>
      <c r="D168" s="8">
        <v>100000</v>
      </c>
    </row>
    <row r="169" spans="2:4" x14ac:dyDescent="0.3">
      <c r="B169" s="19" t="s">
        <v>8224</v>
      </c>
      <c r="C169" s="8">
        <v>6</v>
      </c>
      <c r="D169" s="8">
        <v>20823</v>
      </c>
    </row>
    <row r="170" spans="2:4" x14ac:dyDescent="0.3">
      <c r="B170" s="19" t="s">
        <v>8240</v>
      </c>
      <c r="C170" s="8">
        <v>1</v>
      </c>
      <c r="D170" s="8">
        <v>65000</v>
      </c>
    </row>
    <row r="171" spans="2:4" x14ac:dyDescent="0.3">
      <c r="B171" s="19" t="s">
        <v>8223</v>
      </c>
      <c r="C171" s="8">
        <v>44</v>
      </c>
      <c r="D171" s="8">
        <v>1375138</v>
      </c>
    </row>
    <row r="172" spans="2:4" x14ac:dyDescent="0.3">
      <c r="B172" s="18" t="s">
        <v>8314</v>
      </c>
      <c r="C172" s="8"/>
      <c r="D172" s="8"/>
    </row>
    <row r="173" spans="2:4" x14ac:dyDescent="0.3">
      <c r="B173" s="19" t="s">
        <v>8225</v>
      </c>
      <c r="C173" s="8">
        <v>3</v>
      </c>
      <c r="D173" s="8">
        <v>14100</v>
      </c>
    </row>
    <row r="174" spans="2:4" x14ac:dyDescent="0.3">
      <c r="B174" s="19" t="s">
        <v>8228</v>
      </c>
      <c r="C174" s="8">
        <v>10</v>
      </c>
      <c r="D174" s="8">
        <v>43550</v>
      </c>
    </row>
    <row r="175" spans="2:4" x14ac:dyDescent="0.3">
      <c r="B175" s="19" t="s">
        <v>8235</v>
      </c>
      <c r="C175" s="8">
        <v>3</v>
      </c>
      <c r="D175" s="8">
        <v>16500</v>
      </c>
    </row>
    <row r="176" spans="2:4" x14ac:dyDescent="0.3">
      <c r="B176" s="19" t="s">
        <v>8226</v>
      </c>
      <c r="C176" s="8">
        <v>1</v>
      </c>
      <c r="D176" s="8">
        <v>300</v>
      </c>
    </row>
    <row r="177" spans="2:4" x14ac:dyDescent="0.3">
      <c r="B177" s="19" t="s">
        <v>8229</v>
      </c>
      <c r="C177" s="8">
        <v>2</v>
      </c>
      <c r="D177" s="8">
        <v>4820</v>
      </c>
    </row>
    <row r="178" spans="2:4" x14ac:dyDescent="0.3">
      <c r="B178" s="19" t="s">
        <v>8224</v>
      </c>
      <c r="C178" s="8">
        <v>109</v>
      </c>
      <c r="D178" s="8">
        <v>257511</v>
      </c>
    </row>
    <row r="179" spans="2:4" x14ac:dyDescent="0.3">
      <c r="B179" s="19" t="s">
        <v>8240</v>
      </c>
      <c r="C179" s="8">
        <v>2</v>
      </c>
      <c r="D179" s="8">
        <v>6700</v>
      </c>
    </row>
    <row r="180" spans="2:4" x14ac:dyDescent="0.3">
      <c r="B180" s="19" t="s">
        <v>8242</v>
      </c>
      <c r="C180" s="8">
        <v>1</v>
      </c>
      <c r="D180" s="8">
        <v>3500</v>
      </c>
    </row>
    <row r="181" spans="2:4" x14ac:dyDescent="0.3">
      <c r="B181" s="19" t="s">
        <v>8233</v>
      </c>
      <c r="C181" s="8">
        <v>1</v>
      </c>
      <c r="D181" s="8">
        <v>15000</v>
      </c>
    </row>
    <row r="182" spans="2:4" x14ac:dyDescent="0.3">
      <c r="B182" s="19" t="s">
        <v>8234</v>
      </c>
      <c r="C182" s="8">
        <v>1</v>
      </c>
      <c r="D182" s="8">
        <v>100000</v>
      </c>
    </row>
    <row r="183" spans="2:4" x14ac:dyDescent="0.3">
      <c r="B183" s="19" t="s">
        <v>8223</v>
      </c>
      <c r="C183" s="8">
        <v>171</v>
      </c>
      <c r="D183" s="8">
        <v>1031354</v>
      </c>
    </row>
    <row r="184" spans="2:4" x14ac:dyDescent="0.3">
      <c r="B184" s="16" t="s">
        <v>8373</v>
      </c>
      <c r="C184" s="8"/>
      <c r="D184" s="8"/>
    </row>
    <row r="185" spans="2:4" x14ac:dyDescent="0.3">
      <c r="B185" s="18" t="s">
        <v>8307</v>
      </c>
      <c r="C185" s="8"/>
      <c r="D185" s="8"/>
    </row>
    <row r="186" spans="2:4" x14ac:dyDescent="0.3">
      <c r="B186" s="19" t="s">
        <v>8228</v>
      </c>
      <c r="C186" s="8">
        <v>2</v>
      </c>
      <c r="D186" s="8">
        <v>8000</v>
      </c>
    </row>
    <row r="187" spans="2:4" x14ac:dyDescent="0.3">
      <c r="B187" s="19" t="s">
        <v>8235</v>
      </c>
      <c r="C187" s="8">
        <v>1</v>
      </c>
      <c r="D187" s="8">
        <v>35000</v>
      </c>
    </row>
    <row r="188" spans="2:4" x14ac:dyDescent="0.3">
      <c r="B188" s="19" t="s">
        <v>8226</v>
      </c>
      <c r="C188" s="8">
        <v>2</v>
      </c>
      <c r="D188" s="8">
        <v>38700</v>
      </c>
    </row>
    <row r="189" spans="2:4" x14ac:dyDescent="0.3">
      <c r="B189" s="19" t="s">
        <v>8229</v>
      </c>
      <c r="C189" s="8">
        <v>1</v>
      </c>
      <c r="D189" s="8">
        <v>50</v>
      </c>
    </row>
    <row r="190" spans="2:4" x14ac:dyDescent="0.3">
      <c r="B190" s="19" t="s">
        <v>8224</v>
      </c>
      <c r="C190" s="8">
        <v>5</v>
      </c>
      <c r="D190" s="8">
        <v>23750</v>
      </c>
    </row>
    <row r="191" spans="2:4" x14ac:dyDescent="0.3">
      <c r="B191" s="19" t="s">
        <v>8223</v>
      </c>
      <c r="C191" s="8">
        <v>26</v>
      </c>
      <c r="D191" s="8">
        <v>453162</v>
      </c>
    </row>
    <row r="192" spans="2:4" x14ac:dyDescent="0.3">
      <c r="B192" s="18" t="s">
        <v>8333</v>
      </c>
      <c r="C192" s="8"/>
      <c r="D192" s="8"/>
    </row>
    <row r="193" spans="2:4" x14ac:dyDescent="0.3">
      <c r="B193" s="19" t="s">
        <v>8223</v>
      </c>
      <c r="C193" s="8">
        <v>11</v>
      </c>
      <c r="D193" s="8">
        <v>142700</v>
      </c>
    </row>
    <row r="194" spans="2:4" x14ac:dyDescent="0.3">
      <c r="B194" s="18" t="s">
        <v>8330</v>
      </c>
      <c r="C194" s="8"/>
      <c r="D194" s="8"/>
    </row>
    <row r="195" spans="2:4" x14ac:dyDescent="0.3">
      <c r="B195" s="19" t="s">
        <v>8225</v>
      </c>
      <c r="C195" s="8">
        <v>1</v>
      </c>
      <c r="D195" s="8">
        <v>5494</v>
      </c>
    </row>
    <row r="196" spans="2:4" x14ac:dyDescent="0.3">
      <c r="B196" s="19" t="s">
        <v>8226</v>
      </c>
      <c r="C196" s="8">
        <v>1</v>
      </c>
      <c r="D196" s="8">
        <v>9000</v>
      </c>
    </row>
    <row r="197" spans="2:4" x14ac:dyDescent="0.3">
      <c r="B197" s="19" t="s">
        <v>8224</v>
      </c>
      <c r="C197" s="8">
        <v>7</v>
      </c>
      <c r="D197" s="8">
        <v>24380</v>
      </c>
    </row>
    <row r="198" spans="2:4" x14ac:dyDescent="0.3">
      <c r="B198" s="19" t="s">
        <v>8223</v>
      </c>
      <c r="C198" s="8">
        <v>19</v>
      </c>
      <c r="D198" s="8">
        <v>217850</v>
      </c>
    </row>
    <row r="199" spans="2:4" x14ac:dyDescent="0.3">
      <c r="B199" s="18" t="s">
        <v>8322</v>
      </c>
      <c r="C199" s="8"/>
      <c r="D199" s="8"/>
    </row>
    <row r="200" spans="2:4" x14ac:dyDescent="0.3">
      <c r="B200" s="19" t="s">
        <v>8228</v>
      </c>
      <c r="C200" s="8">
        <v>1</v>
      </c>
      <c r="D200" s="8">
        <v>2200</v>
      </c>
    </row>
    <row r="201" spans="2:4" x14ac:dyDescent="0.3">
      <c r="B201" s="19" t="s">
        <v>8235</v>
      </c>
      <c r="C201" s="8">
        <v>2</v>
      </c>
      <c r="D201" s="8">
        <v>8250</v>
      </c>
    </row>
    <row r="202" spans="2:4" x14ac:dyDescent="0.3">
      <c r="B202" s="19" t="s">
        <v>8226</v>
      </c>
      <c r="C202" s="8">
        <v>1</v>
      </c>
      <c r="D202" s="8">
        <v>6000</v>
      </c>
    </row>
    <row r="203" spans="2:4" x14ac:dyDescent="0.3">
      <c r="B203" s="19" t="s">
        <v>8229</v>
      </c>
      <c r="C203" s="8">
        <v>4</v>
      </c>
      <c r="D203" s="8">
        <v>14500</v>
      </c>
    </row>
    <row r="204" spans="2:4" x14ac:dyDescent="0.3">
      <c r="B204" s="19" t="s">
        <v>8224</v>
      </c>
      <c r="C204" s="8">
        <v>9</v>
      </c>
      <c r="D204" s="8">
        <v>19878</v>
      </c>
    </row>
    <row r="205" spans="2:4" x14ac:dyDescent="0.3">
      <c r="B205" s="19" t="s">
        <v>8236</v>
      </c>
      <c r="C205" s="8">
        <v>1</v>
      </c>
      <c r="D205" s="8">
        <v>80</v>
      </c>
    </row>
    <row r="206" spans="2:4" x14ac:dyDescent="0.3">
      <c r="B206" s="19" t="s">
        <v>8234</v>
      </c>
      <c r="C206" s="8">
        <v>1</v>
      </c>
      <c r="D206" s="8">
        <v>20000</v>
      </c>
    </row>
    <row r="207" spans="2:4" x14ac:dyDescent="0.3">
      <c r="B207" s="19" t="s">
        <v>8223</v>
      </c>
      <c r="C207" s="8">
        <v>33</v>
      </c>
      <c r="D207" s="8">
        <v>191550</v>
      </c>
    </row>
    <row r="208" spans="2:4" x14ac:dyDescent="0.3">
      <c r="B208" s="18" t="s">
        <v>8335</v>
      </c>
      <c r="C208" s="8"/>
      <c r="D208" s="8"/>
    </row>
    <row r="209" spans="2:4" x14ac:dyDescent="0.3">
      <c r="B209" s="19" t="s">
        <v>8225</v>
      </c>
      <c r="C209" s="8">
        <v>1</v>
      </c>
      <c r="D209" s="8">
        <v>5000</v>
      </c>
    </row>
    <row r="210" spans="2:4" x14ac:dyDescent="0.3">
      <c r="B210" s="19" t="s">
        <v>8241</v>
      </c>
      <c r="C210" s="8">
        <v>1</v>
      </c>
      <c r="D210" s="8">
        <v>3750</v>
      </c>
    </row>
    <row r="211" spans="2:4" x14ac:dyDescent="0.3">
      <c r="B211" s="19" t="s">
        <v>8228</v>
      </c>
      <c r="C211" s="8">
        <v>3</v>
      </c>
      <c r="D211" s="8">
        <v>7000</v>
      </c>
    </row>
    <row r="212" spans="2:4" x14ac:dyDescent="0.3">
      <c r="B212" s="19" t="s">
        <v>8235</v>
      </c>
      <c r="C212" s="8">
        <v>2</v>
      </c>
      <c r="D212" s="8">
        <v>28000</v>
      </c>
    </row>
    <row r="213" spans="2:4" x14ac:dyDescent="0.3">
      <c r="B213" s="19" t="s">
        <v>8231</v>
      </c>
      <c r="C213" s="8">
        <v>1</v>
      </c>
      <c r="D213" s="8">
        <v>15000</v>
      </c>
    </row>
    <row r="214" spans="2:4" x14ac:dyDescent="0.3">
      <c r="B214" s="19" t="s">
        <v>8224</v>
      </c>
      <c r="C214" s="8">
        <v>5</v>
      </c>
      <c r="D214" s="8">
        <v>37900</v>
      </c>
    </row>
    <row r="215" spans="2:4" x14ac:dyDescent="0.3">
      <c r="B215" s="19" t="s">
        <v>8236</v>
      </c>
      <c r="C215" s="8">
        <v>1</v>
      </c>
      <c r="D215" s="8">
        <v>16700</v>
      </c>
    </row>
    <row r="216" spans="2:4" x14ac:dyDescent="0.3">
      <c r="B216" s="19" t="s">
        <v>8233</v>
      </c>
      <c r="C216" s="8">
        <v>1</v>
      </c>
      <c r="D216" s="8">
        <v>300000</v>
      </c>
    </row>
    <row r="217" spans="2:4" x14ac:dyDescent="0.3">
      <c r="B217" s="19" t="s">
        <v>8223</v>
      </c>
      <c r="C217" s="8">
        <v>25</v>
      </c>
      <c r="D217" s="8">
        <v>310050</v>
      </c>
    </row>
    <row r="218" spans="2:4" x14ac:dyDescent="0.3">
      <c r="B218" s="18" t="s">
        <v>8319</v>
      </c>
      <c r="C218" s="8"/>
      <c r="D218" s="8"/>
    </row>
    <row r="219" spans="2:4" x14ac:dyDescent="0.3">
      <c r="B219" s="19" t="s">
        <v>8225</v>
      </c>
      <c r="C219" s="8">
        <v>1</v>
      </c>
      <c r="D219" s="8">
        <v>5000</v>
      </c>
    </row>
    <row r="220" spans="2:4" x14ac:dyDescent="0.3">
      <c r="B220" s="19" t="s">
        <v>8228</v>
      </c>
      <c r="C220" s="8">
        <v>1</v>
      </c>
      <c r="D220" s="8">
        <v>1500</v>
      </c>
    </row>
    <row r="221" spans="2:4" x14ac:dyDescent="0.3">
      <c r="B221" s="19" t="s">
        <v>8224</v>
      </c>
      <c r="C221" s="8">
        <v>1</v>
      </c>
      <c r="D221" s="8">
        <v>1200</v>
      </c>
    </row>
    <row r="222" spans="2:4" x14ac:dyDescent="0.3">
      <c r="B222" s="19" t="s">
        <v>8223</v>
      </c>
      <c r="C222" s="8">
        <v>3</v>
      </c>
      <c r="D222" s="8">
        <v>30200</v>
      </c>
    </row>
    <row r="223" spans="2:4" x14ac:dyDescent="0.3">
      <c r="B223" s="18" t="s">
        <v>8316</v>
      </c>
      <c r="C223" s="8"/>
      <c r="D223" s="8"/>
    </row>
    <row r="224" spans="2:4" x14ac:dyDescent="0.3">
      <c r="B224" s="19" t="s">
        <v>8225</v>
      </c>
      <c r="C224" s="8">
        <v>1</v>
      </c>
      <c r="D224" s="8">
        <v>2000</v>
      </c>
    </row>
    <row r="225" spans="2:4" x14ac:dyDescent="0.3">
      <c r="B225" s="19" t="s">
        <v>8228</v>
      </c>
      <c r="C225" s="8">
        <v>1</v>
      </c>
      <c r="D225" s="8">
        <v>2000</v>
      </c>
    </row>
    <row r="226" spans="2:4" x14ac:dyDescent="0.3">
      <c r="B226" s="19" t="s">
        <v>8235</v>
      </c>
      <c r="C226" s="8">
        <v>6</v>
      </c>
      <c r="D226" s="8">
        <v>240150</v>
      </c>
    </row>
    <row r="227" spans="2:4" x14ac:dyDescent="0.3">
      <c r="B227" s="19" t="s">
        <v>8231</v>
      </c>
      <c r="C227" s="8">
        <v>1</v>
      </c>
      <c r="D227" s="8">
        <v>100000</v>
      </c>
    </row>
    <row r="228" spans="2:4" x14ac:dyDescent="0.3">
      <c r="B228" s="19" t="s">
        <v>8226</v>
      </c>
      <c r="C228" s="8">
        <v>1</v>
      </c>
      <c r="D228" s="8">
        <v>20000</v>
      </c>
    </row>
    <row r="229" spans="2:4" x14ac:dyDescent="0.3">
      <c r="B229" s="19" t="s">
        <v>8229</v>
      </c>
      <c r="C229" s="8">
        <v>1</v>
      </c>
      <c r="D229" s="8">
        <v>70</v>
      </c>
    </row>
    <row r="230" spans="2:4" x14ac:dyDescent="0.3">
      <c r="B230" s="19" t="s">
        <v>8224</v>
      </c>
      <c r="C230" s="8">
        <v>3</v>
      </c>
      <c r="D230" s="8">
        <v>37001</v>
      </c>
    </row>
    <row r="231" spans="2:4" x14ac:dyDescent="0.3">
      <c r="B231" s="19" t="s">
        <v>8236</v>
      </c>
      <c r="C231" s="8">
        <v>2</v>
      </c>
      <c r="D231" s="8">
        <v>90700</v>
      </c>
    </row>
    <row r="232" spans="2:4" x14ac:dyDescent="0.3">
      <c r="B232" s="19" t="s">
        <v>8223</v>
      </c>
      <c r="C232" s="8">
        <v>36</v>
      </c>
      <c r="D232" s="8">
        <v>1420751</v>
      </c>
    </row>
    <row r="233" spans="2:4" x14ac:dyDescent="0.3">
      <c r="B233" s="18" t="s">
        <v>8314</v>
      </c>
      <c r="C233" s="8"/>
      <c r="D233" s="8"/>
    </row>
    <row r="234" spans="2:4" x14ac:dyDescent="0.3">
      <c r="B234" s="19" t="s">
        <v>8225</v>
      </c>
      <c r="C234" s="8">
        <v>1</v>
      </c>
      <c r="D234" s="8">
        <v>300</v>
      </c>
    </row>
    <row r="235" spans="2:4" x14ac:dyDescent="0.3">
      <c r="B235" s="19" t="s">
        <v>8228</v>
      </c>
      <c r="C235" s="8">
        <v>9</v>
      </c>
      <c r="D235" s="8">
        <v>22400</v>
      </c>
    </row>
    <row r="236" spans="2:4" x14ac:dyDescent="0.3">
      <c r="B236" s="19" t="s">
        <v>8235</v>
      </c>
      <c r="C236" s="8">
        <v>1</v>
      </c>
      <c r="D236" s="8">
        <v>4500</v>
      </c>
    </row>
    <row r="237" spans="2:4" x14ac:dyDescent="0.3">
      <c r="B237" s="19" t="s">
        <v>8231</v>
      </c>
      <c r="C237" s="8">
        <v>1</v>
      </c>
      <c r="D237" s="8">
        <v>2000</v>
      </c>
    </row>
    <row r="238" spans="2:4" x14ac:dyDescent="0.3">
      <c r="B238" s="19" t="s">
        <v>8226</v>
      </c>
      <c r="C238" s="8">
        <v>1</v>
      </c>
      <c r="D238" s="8">
        <v>8400</v>
      </c>
    </row>
    <row r="239" spans="2:4" x14ac:dyDescent="0.3">
      <c r="B239" s="19" t="s">
        <v>8224</v>
      </c>
      <c r="C239" s="8">
        <v>81</v>
      </c>
      <c r="D239" s="8">
        <v>154121</v>
      </c>
    </row>
    <row r="240" spans="2:4" x14ac:dyDescent="0.3">
      <c r="B240" s="19" t="s">
        <v>8240</v>
      </c>
      <c r="C240" s="8">
        <v>3</v>
      </c>
      <c r="D240" s="8">
        <v>9250</v>
      </c>
    </row>
    <row r="241" spans="2:4" x14ac:dyDescent="0.3">
      <c r="B241" s="19" t="s">
        <v>8236</v>
      </c>
      <c r="C241" s="8">
        <v>1</v>
      </c>
      <c r="D241" s="8">
        <v>2400</v>
      </c>
    </row>
    <row r="242" spans="2:4" x14ac:dyDescent="0.3">
      <c r="B242" s="19" t="s">
        <v>8227</v>
      </c>
      <c r="C242" s="8">
        <v>1</v>
      </c>
      <c r="D242" s="8">
        <v>10000</v>
      </c>
    </row>
    <row r="243" spans="2:4" x14ac:dyDescent="0.3">
      <c r="B243" s="19" t="s">
        <v>8243</v>
      </c>
      <c r="C243" s="8">
        <v>1</v>
      </c>
      <c r="D243" s="8">
        <v>9000</v>
      </c>
    </row>
    <row r="244" spans="2:4" x14ac:dyDescent="0.3">
      <c r="B244" s="19" t="s">
        <v>8223</v>
      </c>
      <c r="C244" s="8">
        <v>149</v>
      </c>
      <c r="D244" s="8">
        <v>927775</v>
      </c>
    </row>
    <row r="245" spans="2:4" x14ac:dyDescent="0.3">
      <c r="B245" s="16" t="s">
        <v>8374</v>
      </c>
      <c r="C245" s="8"/>
      <c r="D245" s="8"/>
    </row>
    <row r="246" spans="2:4" x14ac:dyDescent="0.3">
      <c r="B246" s="18" t="s">
        <v>8307</v>
      </c>
      <c r="C246" s="8"/>
      <c r="D246" s="8"/>
    </row>
    <row r="247" spans="2:4" x14ac:dyDescent="0.3">
      <c r="B247" s="19" t="s">
        <v>8225</v>
      </c>
      <c r="C247" s="8">
        <v>1</v>
      </c>
      <c r="D247" s="8">
        <v>100000</v>
      </c>
    </row>
    <row r="248" spans="2:4" x14ac:dyDescent="0.3">
      <c r="B248" s="19" t="s">
        <v>8223</v>
      </c>
      <c r="C248" s="8">
        <v>5</v>
      </c>
      <c r="D248" s="8">
        <v>223535</v>
      </c>
    </row>
    <row r="249" spans="2:4" x14ac:dyDescent="0.3">
      <c r="B249" s="18" t="s">
        <v>8333</v>
      </c>
      <c r="C249" s="8"/>
      <c r="D249" s="8"/>
    </row>
    <row r="250" spans="2:4" x14ac:dyDescent="0.3">
      <c r="B250" s="19" t="s">
        <v>8223</v>
      </c>
      <c r="C250" s="8">
        <v>4</v>
      </c>
      <c r="D250" s="8">
        <v>49500</v>
      </c>
    </row>
    <row r="251" spans="2:4" x14ac:dyDescent="0.3">
      <c r="B251" s="18" t="s">
        <v>8330</v>
      </c>
      <c r="C251" s="8"/>
      <c r="D251" s="8"/>
    </row>
    <row r="252" spans="2:4" x14ac:dyDescent="0.3">
      <c r="B252" s="19" t="s">
        <v>8225</v>
      </c>
      <c r="C252" s="8">
        <v>1</v>
      </c>
      <c r="D252" s="8">
        <v>1000</v>
      </c>
    </row>
    <row r="253" spans="2:4" x14ac:dyDescent="0.3">
      <c r="B253" s="19" t="s">
        <v>8228</v>
      </c>
      <c r="C253" s="8">
        <v>1</v>
      </c>
      <c r="D253" s="8">
        <v>2500</v>
      </c>
    </row>
    <row r="254" spans="2:4" x14ac:dyDescent="0.3">
      <c r="B254" s="19" t="s">
        <v>8235</v>
      </c>
      <c r="C254" s="8">
        <v>1</v>
      </c>
      <c r="D254" s="8">
        <v>4000</v>
      </c>
    </row>
    <row r="255" spans="2:4" x14ac:dyDescent="0.3">
      <c r="B255" s="19" t="s">
        <v>8224</v>
      </c>
      <c r="C255" s="8">
        <v>2</v>
      </c>
      <c r="D255" s="8">
        <v>1750</v>
      </c>
    </row>
    <row r="256" spans="2:4" x14ac:dyDescent="0.3">
      <c r="B256" s="19" t="s">
        <v>8223</v>
      </c>
      <c r="C256" s="8">
        <v>6</v>
      </c>
      <c r="D256" s="8">
        <v>34801</v>
      </c>
    </row>
    <row r="257" spans="2:4" x14ac:dyDescent="0.3">
      <c r="B257" s="18" t="s">
        <v>8322</v>
      </c>
      <c r="C257" s="8"/>
      <c r="D257" s="8"/>
    </row>
    <row r="258" spans="2:4" x14ac:dyDescent="0.3">
      <c r="B258" s="19" t="s">
        <v>8224</v>
      </c>
      <c r="C258" s="8">
        <v>1</v>
      </c>
      <c r="D258" s="8">
        <v>10000</v>
      </c>
    </row>
    <row r="259" spans="2:4" x14ac:dyDescent="0.3">
      <c r="B259" s="19" t="s">
        <v>8223</v>
      </c>
      <c r="C259" s="8">
        <v>6</v>
      </c>
      <c r="D259" s="8">
        <v>27203</v>
      </c>
    </row>
    <row r="260" spans="2:4" x14ac:dyDescent="0.3">
      <c r="B260" s="18" t="s">
        <v>8335</v>
      </c>
      <c r="C260" s="8"/>
      <c r="D260" s="8"/>
    </row>
    <row r="261" spans="2:4" x14ac:dyDescent="0.3">
      <c r="B261" s="19" t="s">
        <v>8238</v>
      </c>
      <c r="C261" s="8">
        <v>1</v>
      </c>
      <c r="D261" s="8">
        <v>900</v>
      </c>
    </row>
    <row r="262" spans="2:4" x14ac:dyDescent="0.3">
      <c r="B262" s="19" t="s">
        <v>8235</v>
      </c>
      <c r="C262" s="8">
        <v>1</v>
      </c>
      <c r="D262" s="8">
        <v>17500</v>
      </c>
    </row>
    <row r="263" spans="2:4" x14ac:dyDescent="0.3">
      <c r="B263" s="19" t="s">
        <v>8224</v>
      </c>
      <c r="C263" s="8">
        <v>2</v>
      </c>
      <c r="D263" s="8">
        <v>22100</v>
      </c>
    </row>
    <row r="264" spans="2:4" x14ac:dyDescent="0.3">
      <c r="B264" s="19" t="s">
        <v>8242</v>
      </c>
      <c r="C264" s="8">
        <v>1</v>
      </c>
      <c r="D264" s="8">
        <v>10050</v>
      </c>
    </row>
    <row r="265" spans="2:4" x14ac:dyDescent="0.3">
      <c r="B265" s="19" t="s">
        <v>8234</v>
      </c>
      <c r="C265" s="8">
        <v>1</v>
      </c>
      <c r="D265" s="8">
        <v>3000</v>
      </c>
    </row>
    <row r="266" spans="2:4" x14ac:dyDescent="0.3">
      <c r="B266" s="19" t="s">
        <v>8223</v>
      </c>
      <c r="C266" s="8">
        <v>4</v>
      </c>
      <c r="D266" s="8">
        <v>16000</v>
      </c>
    </row>
    <row r="267" spans="2:4" x14ac:dyDescent="0.3">
      <c r="B267" s="18" t="s">
        <v>8316</v>
      </c>
      <c r="C267" s="8"/>
      <c r="D267" s="8"/>
    </row>
    <row r="268" spans="2:4" x14ac:dyDescent="0.3">
      <c r="B268" s="19" t="s">
        <v>8228</v>
      </c>
      <c r="C268" s="8">
        <v>1</v>
      </c>
      <c r="D268" s="8">
        <v>40000</v>
      </c>
    </row>
    <row r="269" spans="2:4" x14ac:dyDescent="0.3">
      <c r="B269" s="19" t="s">
        <v>8223</v>
      </c>
      <c r="C269" s="8">
        <v>1</v>
      </c>
      <c r="D269" s="8">
        <v>8000</v>
      </c>
    </row>
    <row r="270" spans="2:4" x14ac:dyDescent="0.3">
      <c r="B270" s="18" t="s">
        <v>8314</v>
      </c>
      <c r="C270" s="8"/>
      <c r="D270" s="8"/>
    </row>
    <row r="271" spans="2:4" x14ac:dyDescent="0.3">
      <c r="B271" s="19" t="s">
        <v>8239</v>
      </c>
      <c r="C271" s="8">
        <v>1</v>
      </c>
      <c r="D271" s="8">
        <v>5000</v>
      </c>
    </row>
    <row r="272" spans="2:4" x14ac:dyDescent="0.3">
      <c r="B272" s="19" t="s">
        <v>8224</v>
      </c>
      <c r="C272" s="8">
        <v>6</v>
      </c>
      <c r="D272" s="8">
        <v>9140</v>
      </c>
    </row>
    <row r="273" spans="2:4" x14ac:dyDescent="0.3">
      <c r="B273" s="19" t="s">
        <v>8227</v>
      </c>
      <c r="C273" s="8">
        <v>1</v>
      </c>
      <c r="D273" s="8">
        <v>4500</v>
      </c>
    </row>
    <row r="274" spans="2:4" x14ac:dyDescent="0.3">
      <c r="B274" s="19" t="s">
        <v>8223</v>
      </c>
      <c r="C274" s="8">
        <v>11</v>
      </c>
      <c r="D274" s="8">
        <v>74799</v>
      </c>
    </row>
    <row r="275" spans="2:4" x14ac:dyDescent="0.3">
      <c r="B275" s="16" t="s">
        <v>8359</v>
      </c>
      <c r="C275" s="8">
        <v>2185</v>
      </c>
      <c r="D275" s="8">
        <v>21559363.810000002</v>
      </c>
    </row>
  </sheetData>
  <pageMargins left="0.7" right="0.7" top="0.75" bottom="0.75" header="0.3" footer="0.3"/>
  <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AFD71-6AA6-4AEF-9D75-7B0D8C46DAA9}">
  <dimension ref="A1:AJ4116"/>
  <sheetViews>
    <sheetView topLeftCell="Z38" zoomScale="85" zoomScaleNormal="85" workbookViewId="0">
      <selection activeCell="AA39" sqref="AA39"/>
    </sheetView>
  </sheetViews>
  <sheetFormatPr defaultColWidth="8.77734375" defaultRowHeight="14.4" x14ac:dyDescent="0.3"/>
  <cols>
    <col min="2" max="2" width="38.44140625" style="3" customWidth="1"/>
    <col min="3" max="3" width="40.21875" style="3" customWidth="1"/>
    <col min="4" max="4" width="15.77734375" style="6" bestFit="1" customWidth="1"/>
    <col min="5" max="5" width="16.44140625" style="6" customWidth="1"/>
    <col min="6" max="6" width="21.21875" customWidth="1"/>
    <col min="7" max="7" width="17.77734375" customWidth="1"/>
    <col min="8" max="8" width="19.77734375" customWidth="1"/>
    <col min="9" max="9" width="18.44140625" style="8" customWidth="1"/>
    <col min="10" max="10" width="17.77734375" customWidth="1"/>
    <col min="11" max="11" width="15.44140625" customWidth="1"/>
    <col min="12" max="12" width="24.44140625" style="10" customWidth="1"/>
    <col min="13" max="13" width="36.44140625" customWidth="1"/>
    <col min="14" max="14" width="41.21875" customWidth="1"/>
    <col min="15" max="15" width="15.44140625" style="11" customWidth="1"/>
    <col min="16" max="16" width="17.21875" customWidth="1"/>
    <col min="17" max="17" width="44.44140625" customWidth="1"/>
    <col min="18" max="18" width="16.77734375" bestFit="1" customWidth="1"/>
    <col min="19" max="19" width="14.21875" bestFit="1" customWidth="1"/>
    <col min="20" max="20" width="15.77734375" customWidth="1"/>
    <col min="25" max="25" width="24.77734375" customWidth="1"/>
    <col min="26" max="26" width="25.77734375" customWidth="1"/>
    <col min="27" max="31" width="23.77734375" customWidth="1"/>
    <col min="33" max="33" width="12.21875" bestFit="1" customWidth="1"/>
    <col min="35" max="35" width="12.6640625" bestFit="1" customWidth="1"/>
    <col min="36" max="36" width="11.6640625" bestFit="1" customWidth="1"/>
  </cols>
  <sheetData>
    <row r="1" spans="1:36" x14ac:dyDescent="0.3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7" t="s">
        <v>8258</v>
      </c>
      <c r="J1" s="1" t="s">
        <v>8259</v>
      </c>
      <c r="K1" s="1" t="s">
        <v>8260</v>
      </c>
      <c r="L1" s="9" t="s">
        <v>8261</v>
      </c>
      <c r="M1" s="1" t="s">
        <v>8262</v>
      </c>
      <c r="N1" s="1" t="s">
        <v>8305</v>
      </c>
      <c r="O1" s="11" t="s">
        <v>8357</v>
      </c>
      <c r="P1" s="1" t="s">
        <v>8306</v>
      </c>
      <c r="Q1" s="13" t="s">
        <v>8362</v>
      </c>
      <c r="R1" s="1" t="s">
        <v>8363</v>
      </c>
      <c r="S1" s="1" t="s">
        <v>8364</v>
      </c>
      <c r="T1" s="1" t="s">
        <v>8365</v>
      </c>
      <c r="U1" s="1" t="s">
        <v>8423</v>
      </c>
    </row>
    <row r="2" spans="1:36" ht="43.2" x14ac:dyDescent="0.3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8218</v>
      </c>
      <c r="G2" t="s">
        <v>8223</v>
      </c>
      <c r="H2" t="s">
        <v>8245</v>
      </c>
      <c r="I2" s="8">
        <v>1437620400</v>
      </c>
      <c r="J2">
        <v>1434931811</v>
      </c>
      <c r="K2" t="b">
        <v>0</v>
      </c>
      <c r="L2" s="10">
        <v>182</v>
      </c>
      <c r="M2" t="b">
        <v>1</v>
      </c>
      <c r="N2" t="s">
        <v>8263</v>
      </c>
      <c r="O2" s="11">
        <f t="shared" ref="O2:O65" si="0">ROUND(E2/D2*100,0)</f>
        <v>137</v>
      </c>
      <c r="P2" s="12">
        <f>IFERROR(ROUND(E2/L2,),"No Backers")</f>
        <v>64</v>
      </c>
      <c r="Q2" s="14" t="s">
        <v>8307</v>
      </c>
      <c r="R2" t="s">
        <v>8308</v>
      </c>
      <c r="S2" s="17">
        <f t="shared" ref="S2:S66" si="1">(((J2/60)/60)/24)+DATE(1970,1,1)</f>
        <v>42177.007071759261</v>
      </c>
      <c r="T2" s="17">
        <f>(((I2/60)/60)/24)+DATE(1970,1,1)</f>
        <v>42208.125</v>
      </c>
      <c r="U2">
        <f>MONTH(Table1[[#This Row],[Launched]])</f>
        <v>6</v>
      </c>
    </row>
    <row r="3" spans="1:36" ht="28.8" x14ac:dyDescent="0.3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8218</v>
      </c>
      <c r="G3" t="s">
        <v>8223</v>
      </c>
      <c r="H3" t="s">
        <v>8245</v>
      </c>
      <c r="I3" s="8">
        <v>1488464683</v>
      </c>
      <c r="J3">
        <v>1485872683</v>
      </c>
      <c r="K3" t="b">
        <v>0</v>
      </c>
      <c r="L3" s="10">
        <v>79</v>
      </c>
      <c r="M3" t="b">
        <v>1</v>
      </c>
      <c r="N3" t="s">
        <v>8263</v>
      </c>
      <c r="O3" s="11">
        <f t="shared" si="0"/>
        <v>143</v>
      </c>
      <c r="P3" s="12">
        <f t="shared" ref="P3:P66" si="2">IFERROR(ROUND(E3/L3,),"No Backers")</f>
        <v>185</v>
      </c>
      <c r="Q3" s="14" t="s">
        <v>8307</v>
      </c>
      <c r="R3" t="s">
        <v>8308</v>
      </c>
      <c r="S3" s="17">
        <f t="shared" si="1"/>
        <v>42766.600497685184</v>
      </c>
      <c r="T3" s="17">
        <f t="shared" ref="T3:T66" si="3">(((I3/60)/60)/24)+DATE(1970,1,1)</f>
        <v>42796.600497685184</v>
      </c>
      <c r="U3">
        <f>MONTH(Table1[[#This Row],[Launched]])</f>
        <v>1</v>
      </c>
      <c r="Z3" t="s">
        <v>8418</v>
      </c>
      <c r="AA3" t="s">
        <v>8419</v>
      </c>
      <c r="AI3" t="s">
        <v>8220</v>
      </c>
      <c r="AJ3" t="s">
        <v>8426</v>
      </c>
    </row>
    <row r="4" spans="1:36" ht="43.2" x14ac:dyDescent="0.3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8218</v>
      </c>
      <c r="G4" t="s">
        <v>8224</v>
      </c>
      <c r="H4" t="s">
        <v>8246</v>
      </c>
      <c r="I4" s="8">
        <v>1455555083</v>
      </c>
      <c r="J4">
        <v>1454691083</v>
      </c>
      <c r="K4" t="b">
        <v>0</v>
      </c>
      <c r="L4" s="10">
        <v>35</v>
      </c>
      <c r="M4" t="b">
        <v>1</v>
      </c>
      <c r="N4" t="s">
        <v>8263</v>
      </c>
      <c r="O4" s="11">
        <f t="shared" si="0"/>
        <v>105</v>
      </c>
      <c r="P4" s="12">
        <f t="shared" si="2"/>
        <v>15</v>
      </c>
      <c r="Q4" s="14" t="s">
        <v>8307</v>
      </c>
      <c r="R4" t="s">
        <v>8308</v>
      </c>
      <c r="S4" s="17">
        <f t="shared" si="1"/>
        <v>42405.702349537038</v>
      </c>
      <c r="T4" s="17">
        <f t="shared" si="3"/>
        <v>42415.702349537038</v>
      </c>
      <c r="U4">
        <f>MONTH(Table1[[#This Row],[Launched]])</f>
        <v>2</v>
      </c>
      <c r="Y4" t="s">
        <v>8424</v>
      </c>
      <c r="Z4">
        <f>COUNTIF(F:F,"failed")</f>
        <v>1530</v>
      </c>
      <c r="AA4">
        <f>COUNTIF(F:F,"successful")</f>
        <v>2185</v>
      </c>
      <c r="AG4">
        <v>1</v>
      </c>
      <c r="AH4" t="s">
        <v>8381</v>
      </c>
      <c r="AI4" s="36">
        <f>AVERAGEIFS(D:D,U:U,AG4,F:F,"failed")</f>
        <v>24455.550335570471</v>
      </c>
      <c r="AJ4" s="36">
        <f>AVERAGEIFS(D:D,U:U,AG8,F:F,"successful")</f>
        <v>8711.363247863248</v>
      </c>
    </row>
    <row r="5" spans="1:36" ht="28.8" x14ac:dyDescent="0.3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8218</v>
      </c>
      <c r="G5" t="s">
        <v>8223</v>
      </c>
      <c r="H5" t="s">
        <v>8245</v>
      </c>
      <c r="I5" s="8">
        <v>1407414107</v>
      </c>
      <c r="J5">
        <v>1404822107</v>
      </c>
      <c r="K5" t="b">
        <v>0</v>
      </c>
      <c r="L5" s="10">
        <v>150</v>
      </c>
      <c r="M5" t="b">
        <v>1</v>
      </c>
      <c r="N5" t="s">
        <v>8263</v>
      </c>
      <c r="O5" s="11">
        <f t="shared" si="0"/>
        <v>104</v>
      </c>
      <c r="P5" s="12">
        <f t="shared" si="2"/>
        <v>69</v>
      </c>
      <c r="Q5" s="14" t="s">
        <v>8307</v>
      </c>
      <c r="R5" t="s">
        <v>8308</v>
      </c>
      <c r="S5" s="17">
        <f t="shared" si="1"/>
        <v>41828.515127314815</v>
      </c>
      <c r="T5" s="17">
        <f t="shared" si="3"/>
        <v>41858.515127314815</v>
      </c>
      <c r="U5">
        <f>MONTH(Table1[[#This Row],[Launched]])</f>
        <v>7</v>
      </c>
      <c r="Y5" t="s">
        <v>8427</v>
      </c>
      <c r="Z5" s="36">
        <f>AVERAGEIF(F:F,"failed",D:D)</f>
        <v>60556.391503267972</v>
      </c>
      <c r="AA5" s="36">
        <f>AVERAGEIF(F:F,"successful",D:D)</f>
        <v>9866.9857254004583</v>
      </c>
      <c r="AB5" s="36"/>
      <c r="AC5" s="36"/>
      <c r="AD5" s="36"/>
      <c r="AE5" s="36"/>
      <c r="AG5" s="39">
        <v>2</v>
      </c>
      <c r="AH5" t="s">
        <v>8382</v>
      </c>
      <c r="AI5" s="36">
        <f t="shared" ref="AI5:AI15" si="4">AVERAGEIFS(D:D,U:U,AG5,F:F,"failed")</f>
        <v>41317.830188679247</v>
      </c>
      <c r="AJ5" s="36">
        <f t="shared" ref="AJ5:AJ15" si="5">AVERAGEIFS(D:D,U:U,AG9,F:F,"successful")</f>
        <v>7826.8815165876777</v>
      </c>
    </row>
    <row r="6" spans="1:36" ht="57.6" x14ac:dyDescent="0.3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8218</v>
      </c>
      <c r="G6" t="s">
        <v>8223</v>
      </c>
      <c r="H6" t="s">
        <v>8245</v>
      </c>
      <c r="I6" s="8">
        <v>1450555279</v>
      </c>
      <c r="J6">
        <v>1447963279</v>
      </c>
      <c r="K6" t="b">
        <v>0</v>
      </c>
      <c r="L6" s="10">
        <v>284</v>
      </c>
      <c r="M6" t="b">
        <v>1</v>
      </c>
      <c r="N6" t="s">
        <v>8263</v>
      </c>
      <c r="O6" s="11">
        <f t="shared" si="0"/>
        <v>123</v>
      </c>
      <c r="P6" s="12">
        <f t="shared" si="2"/>
        <v>191</v>
      </c>
      <c r="Q6" s="14" t="s">
        <v>8307</v>
      </c>
      <c r="R6" t="s">
        <v>8308</v>
      </c>
      <c r="S6" s="17">
        <f t="shared" si="1"/>
        <v>42327.834247685183</v>
      </c>
      <c r="T6" s="17">
        <f t="shared" si="3"/>
        <v>42357.834247685183</v>
      </c>
      <c r="U6">
        <f>MONTH(Table1[[#This Row],[Launched]])</f>
        <v>11</v>
      </c>
      <c r="Y6" t="s">
        <v>8425</v>
      </c>
      <c r="Z6">
        <f>AVERAGEIFS(D:D,U:U,5,R:R,"plays",F:F,"failed")</f>
        <v>9288.2142857142862</v>
      </c>
      <c r="AA6" s="36">
        <f>AVERAGEIFS(D:D,U:U,5,R:R,"plays",F:F,"successful")</f>
        <v>3030.5806451612902</v>
      </c>
      <c r="AC6" s="36"/>
      <c r="AD6" s="36"/>
      <c r="AE6" s="36"/>
      <c r="AG6">
        <v>3</v>
      </c>
      <c r="AH6" t="s">
        <v>8383</v>
      </c>
      <c r="AI6" s="36">
        <f t="shared" si="4"/>
        <v>43518.564814814818</v>
      </c>
      <c r="AJ6" s="36">
        <f t="shared" si="5"/>
        <v>8402.7319587628863</v>
      </c>
    </row>
    <row r="7" spans="1:36" ht="43.2" x14ac:dyDescent="0.3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8218</v>
      </c>
      <c r="G7" t="s">
        <v>8223</v>
      </c>
      <c r="H7" t="s">
        <v>8245</v>
      </c>
      <c r="I7" s="8">
        <v>1469770500</v>
      </c>
      <c r="J7">
        <v>1468362207</v>
      </c>
      <c r="K7" t="b">
        <v>0</v>
      </c>
      <c r="L7" s="10">
        <v>47</v>
      </c>
      <c r="M7" t="b">
        <v>1</v>
      </c>
      <c r="N7" t="s">
        <v>8263</v>
      </c>
      <c r="O7" s="11">
        <f t="shared" si="0"/>
        <v>110</v>
      </c>
      <c r="P7" s="12">
        <f t="shared" si="2"/>
        <v>93</v>
      </c>
      <c r="Q7" s="14" t="s">
        <v>8307</v>
      </c>
      <c r="R7" t="s">
        <v>8308</v>
      </c>
      <c r="S7" s="17">
        <f t="shared" si="1"/>
        <v>42563.932951388888</v>
      </c>
      <c r="T7" s="17">
        <f t="shared" si="3"/>
        <v>42580.232638888891</v>
      </c>
      <c r="U7">
        <f>MONTH(Table1[[#This Row],[Launched]])</f>
        <v>7</v>
      </c>
      <c r="Y7" t="s">
        <v>8429</v>
      </c>
      <c r="Z7" s="36">
        <f>AVERAGEIFS(D:D,U:U,AG8,F:F,"failed")</f>
        <v>83236.968253968254</v>
      </c>
      <c r="AA7" s="36">
        <f>AVERAGEIFS(D:D,U:U,AG12,F:F,"successful")</f>
        <v>10931.292517006803</v>
      </c>
      <c r="AB7" s="36"/>
      <c r="AC7" s="36"/>
      <c r="AD7" s="36"/>
      <c r="AE7" s="36"/>
      <c r="AG7" s="39">
        <v>4</v>
      </c>
      <c r="AH7" t="s">
        <v>8384</v>
      </c>
      <c r="AI7" s="36">
        <f t="shared" si="4"/>
        <v>71862.274509803916</v>
      </c>
      <c r="AJ7" s="36">
        <f t="shared" si="5"/>
        <v>7387.5348795180726</v>
      </c>
    </row>
    <row r="8" spans="1:36" ht="43.2" x14ac:dyDescent="0.3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8218</v>
      </c>
      <c r="G8" t="s">
        <v>8223</v>
      </c>
      <c r="H8" t="s">
        <v>8245</v>
      </c>
      <c r="I8" s="8">
        <v>1402710250</v>
      </c>
      <c r="J8">
        <v>1401846250</v>
      </c>
      <c r="K8" t="b">
        <v>0</v>
      </c>
      <c r="L8" s="10">
        <v>58</v>
      </c>
      <c r="M8" t="b">
        <v>1</v>
      </c>
      <c r="N8" t="s">
        <v>8263</v>
      </c>
      <c r="O8" s="11">
        <f t="shared" si="0"/>
        <v>106</v>
      </c>
      <c r="P8" s="12">
        <f t="shared" si="2"/>
        <v>147</v>
      </c>
      <c r="Q8" s="14" t="s">
        <v>8307</v>
      </c>
      <c r="R8" t="s">
        <v>8308</v>
      </c>
      <c r="S8" s="17">
        <f t="shared" si="1"/>
        <v>41794.072337962964</v>
      </c>
      <c r="T8" s="17">
        <f t="shared" si="3"/>
        <v>41804.072337962964</v>
      </c>
      <c r="U8">
        <f>MONTH(Table1[[#This Row],[Launched]])</f>
        <v>6</v>
      </c>
      <c r="Y8" t="s">
        <v>8428</v>
      </c>
      <c r="Z8" s="36">
        <f>AVERAGEIF(F:F,"failed",L:L)</f>
        <v>17.709803921568628</v>
      </c>
      <c r="AA8" s="36">
        <f>AVERAGEIF(F:F,"successful",L:L)</f>
        <v>194.42517162471395</v>
      </c>
      <c r="AB8" s="36"/>
      <c r="AC8" s="36"/>
      <c r="AD8" s="36"/>
      <c r="AE8" s="36"/>
      <c r="AG8">
        <v>5</v>
      </c>
      <c r="AH8" t="s">
        <v>8375</v>
      </c>
    </row>
    <row r="9" spans="1:36" ht="57.6" x14ac:dyDescent="0.3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8218</v>
      </c>
      <c r="G9" t="s">
        <v>8223</v>
      </c>
      <c r="H9" t="s">
        <v>8245</v>
      </c>
      <c r="I9" s="8">
        <v>1467680867</v>
      </c>
      <c r="J9">
        <v>1464224867</v>
      </c>
      <c r="K9" t="b">
        <v>0</v>
      </c>
      <c r="L9" s="10">
        <v>57</v>
      </c>
      <c r="M9" t="b">
        <v>1</v>
      </c>
      <c r="N9" t="s">
        <v>8263</v>
      </c>
      <c r="O9" s="11">
        <f t="shared" si="0"/>
        <v>101</v>
      </c>
      <c r="P9" s="12">
        <f t="shared" si="2"/>
        <v>160</v>
      </c>
      <c r="Q9" s="14" t="s">
        <v>8307</v>
      </c>
      <c r="R9" t="s">
        <v>8308</v>
      </c>
      <c r="S9" s="17">
        <f t="shared" si="1"/>
        <v>42516.047071759262</v>
      </c>
      <c r="T9" s="17">
        <f t="shared" si="3"/>
        <v>42556.047071759262</v>
      </c>
      <c r="U9">
        <f>MONTH(Table1[[#This Row],[Launched]])</f>
        <v>5</v>
      </c>
      <c r="Y9" t="s">
        <v>8437</v>
      </c>
      <c r="Z9" s="36">
        <f>SUMIFS(D:D,U:U,5,R:R,"plays",F:F,"failed")</f>
        <v>390105</v>
      </c>
      <c r="AA9" s="36">
        <f>SUMIFS(D:D,U:U,5,R:R,"plays",F:F,"successful")</f>
        <v>281844</v>
      </c>
      <c r="AB9" s="36"/>
      <c r="AC9" s="36"/>
      <c r="AD9" s="36"/>
      <c r="AE9" s="36"/>
      <c r="AG9" s="39">
        <v>6</v>
      </c>
      <c r="AH9" t="s">
        <v>8385</v>
      </c>
      <c r="AI9" s="36">
        <f t="shared" si="4"/>
        <v>59457.108843537419</v>
      </c>
      <c r="AJ9" s="36">
        <f t="shared" si="5"/>
        <v>13411.276229508196</v>
      </c>
    </row>
    <row r="10" spans="1:36" ht="28.8" x14ac:dyDescent="0.3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8218</v>
      </c>
      <c r="G10" t="s">
        <v>8223</v>
      </c>
      <c r="H10" t="s">
        <v>8245</v>
      </c>
      <c r="I10" s="8">
        <v>1460754000</v>
      </c>
      <c r="J10">
        <v>1460155212</v>
      </c>
      <c r="K10" t="b">
        <v>0</v>
      </c>
      <c r="L10" s="10">
        <v>12</v>
      </c>
      <c r="M10" t="b">
        <v>1</v>
      </c>
      <c r="N10" t="s">
        <v>8263</v>
      </c>
      <c r="O10" s="11">
        <f t="shared" si="0"/>
        <v>100</v>
      </c>
      <c r="P10" s="12">
        <f t="shared" si="2"/>
        <v>292</v>
      </c>
      <c r="Q10" s="14" t="s">
        <v>8307</v>
      </c>
      <c r="R10" t="s">
        <v>8308</v>
      </c>
      <c r="S10" s="17">
        <f t="shared" si="1"/>
        <v>42468.94458333333</v>
      </c>
      <c r="T10" s="17">
        <f t="shared" si="3"/>
        <v>42475.875</v>
      </c>
      <c r="U10">
        <f>MONTH(Table1[[#This Row],[Launched]])</f>
        <v>4</v>
      </c>
      <c r="AG10">
        <v>7</v>
      </c>
      <c r="AH10" t="s">
        <v>8376</v>
      </c>
      <c r="AI10" s="36">
        <f t="shared" si="4"/>
        <v>42347.199999999997</v>
      </c>
      <c r="AJ10" s="36">
        <f t="shared" si="5"/>
        <v>11759.672131147541</v>
      </c>
    </row>
    <row r="11" spans="1:36" ht="43.2" x14ac:dyDescent="0.3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8218</v>
      </c>
      <c r="G11" t="s">
        <v>8223</v>
      </c>
      <c r="H11" t="s">
        <v>8245</v>
      </c>
      <c r="I11" s="8">
        <v>1460860144</v>
      </c>
      <c r="J11">
        <v>1458268144</v>
      </c>
      <c r="K11" t="b">
        <v>0</v>
      </c>
      <c r="L11" s="10">
        <v>20</v>
      </c>
      <c r="M11" t="b">
        <v>1</v>
      </c>
      <c r="N11" t="s">
        <v>8263</v>
      </c>
      <c r="O11" s="11">
        <f t="shared" si="0"/>
        <v>126</v>
      </c>
      <c r="P11" s="12">
        <f t="shared" si="2"/>
        <v>31</v>
      </c>
      <c r="Q11" s="14" t="s">
        <v>8307</v>
      </c>
      <c r="R11" t="s">
        <v>8308</v>
      </c>
      <c r="S11" s="17">
        <f t="shared" si="1"/>
        <v>42447.103518518517</v>
      </c>
      <c r="T11" s="17">
        <f t="shared" si="3"/>
        <v>42477.103518518517</v>
      </c>
      <c r="U11">
        <f>MONTH(Table1[[#This Row],[Launched]])</f>
        <v>3</v>
      </c>
      <c r="AG11" s="39">
        <v>8</v>
      </c>
      <c r="AH11" t="s">
        <v>8377</v>
      </c>
      <c r="AI11" s="36">
        <f t="shared" si="4"/>
        <v>181038.61194029852</v>
      </c>
      <c r="AJ11" s="36">
        <f t="shared" si="5"/>
        <v>9165.1891891891901</v>
      </c>
    </row>
    <row r="12" spans="1:36" ht="43.8" thickBot="1" x14ac:dyDescent="0.35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8218</v>
      </c>
      <c r="G12" t="s">
        <v>8223</v>
      </c>
      <c r="H12" t="s">
        <v>8245</v>
      </c>
      <c r="I12" s="8">
        <v>1403660279</v>
      </c>
      <c r="J12">
        <v>1400636279</v>
      </c>
      <c r="K12" t="b">
        <v>0</v>
      </c>
      <c r="L12" s="10">
        <v>19</v>
      </c>
      <c r="M12" t="b">
        <v>1</v>
      </c>
      <c r="N12" t="s">
        <v>8263</v>
      </c>
      <c r="O12" s="11">
        <f t="shared" si="0"/>
        <v>101</v>
      </c>
      <c r="P12" s="12">
        <f t="shared" si="2"/>
        <v>159</v>
      </c>
      <c r="Q12" s="14" t="s">
        <v>8307</v>
      </c>
      <c r="R12" t="s">
        <v>8308</v>
      </c>
      <c r="S12" s="17">
        <f t="shared" si="1"/>
        <v>41780.068043981482</v>
      </c>
      <c r="T12" s="17">
        <f t="shared" si="3"/>
        <v>41815.068043981482</v>
      </c>
      <c r="U12">
        <f>MONTH(Table1[[#This Row],[Launched]])</f>
        <v>5</v>
      </c>
      <c r="AG12">
        <v>9</v>
      </c>
      <c r="AH12" t="s">
        <v>8378</v>
      </c>
      <c r="AI12" s="36">
        <f t="shared" si="4"/>
        <v>27702.338582677166</v>
      </c>
      <c r="AJ12" s="36" t="e">
        <f t="shared" si="5"/>
        <v>#DIV/0!</v>
      </c>
    </row>
    <row r="13" spans="1:36" ht="57.6" x14ac:dyDescent="0.3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8218</v>
      </c>
      <c r="G13" t="s">
        <v>8223</v>
      </c>
      <c r="H13" t="s">
        <v>8245</v>
      </c>
      <c r="I13" s="8">
        <v>1471834800</v>
      </c>
      <c r="J13">
        <v>1469126462</v>
      </c>
      <c r="K13" t="b">
        <v>0</v>
      </c>
      <c r="L13" s="10">
        <v>75</v>
      </c>
      <c r="M13" t="b">
        <v>1</v>
      </c>
      <c r="N13" t="s">
        <v>8263</v>
      </c>
      <c r="O13" s="11">
        <f t="shared" si="0"/>
        <v>121</v>
      </c>
      <c r="P13" s="12">
        <f t="shared" si="2"/>
        <v>80</v>
      </c>
      <c r="Q13" s="14" t="s">
        <v>8307</v>
      </c>
      <c r="R13" t="s">
        <v>8308</v>
      </c>
      <c r="S13" s="17">
        <f t="shared" si="1"/>
        <v>42572.778495370367</v>
      </c>
      <c r="T13" s="17">
        <f t="shared" si="3"/>
        <v>42604.125</v>
      </c>
      <c r="U13">
        <f>MONTH(Table1[[#This Row],[Launched]])</f>
        <v>7</v>
      </c>
      <c r="Y13" s="40" t="s">
        <v>8375</v>
      </c>
      <c r="Z13" s="41" t="s">
        <v>8435</v>
      </c>
      <c r="AA13" t="s">
        <v>8436</v>
      </c>
      <c r="AG13" s="39">
        <v>10</v>
      </c>
      <c r="AH13" t="s">
        <v>8379</v>
      </c>
      <c r="AI13" s="36">
        <f t="shared" si="4"/>
        <v>36258.953020134228</v>
      </c>
      <c r="AJ13" s="36" t="e">
        <f t="shared" si="5"/>
        <v>#DIV/0!</v>
      </c>
    </row>
    <row r="14" spans="1:36" ht="57.6" x14ac:dyDescent="0.3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8218</v>
      </c>
      <c r="G14" t="s">
        <v>8223</v>
      </c>
      <c r="H14" t="s">
        <v>8245</v>
      </c>
      <c r="I14" s="8">
        <v>1405479600</v>
      </c>
      <c r="J14">
        <v>1401642425</v>
      </c>
      <c r="K14" t="b">
        <v>0</v>
      </c>
      <c r="L14" s="10">
        <v>827</v>
      </c>
      <c r="M14" t="b">
        <v>1</v>
      </c>
      <c r="N14" t="s">
        <v>8263</v>
      </c>
      <c r="O14" s="11">
        <f t="shared" si="0"/>
        <v>165</v>
      </c>
      <c r="P14" s="12">
        <f t="shared" si="2"/>
        <v>60</v>
      </c>
      <c r="Q14" s="14" t="s">
        <v>8307</v>
      </c>
      <c r="R14" t="s">
        <v>8308</v>
      </c>
      <c r="S14" s="17">
        <f t="shared" si="1"/>
        <v>41791.713252314818</v>
      </c>
      <c r="T14" s="17">
        <f t="shared" si="3"/>
        <v>41836.125</v>
      </c>
      <c r="U14">
        <f>MONTH(Table1[[#This Row],[Launched]])</f>
        <v>6</v>
      </c>
      <c r="Y14" s="42" t="s">
        <v>8434</v>
      </c>
      <c r="Z14" s="44">
        <f>SUMIFS(D:D,F:F,"canceled",U:U,5)</f>
        <v>1256664</v>
      </c>
      <c r="AA14" s="36">
        <f>SUMIFS(D:D,U:U,5,F:F,"canceled",R:R,"plays")</f>
        <v>0</v>
      </c>
      <c r="AG14">
        <v>11</v>
      </c>
      <c r="AH14" t="s">
        <v>8380</v>
      </c>
      <c r="AI14" s="36">
        <f t="shared" si="4"/>
        <v>31094.780701754386</v>
      </c>
      <c r="AJ14" s="36" t="e">
        <f t="shared" si="5"/>
        <v>#DIV/0!</v>
      </c>
    </row>
    <row r="15" spans="1:36" ht="43.2" x14ac:dyDescent="0.3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8218</v>
      </c>
      <c r="G15" t="s">
        <v>8223</v>
      </c>
      <c r="H15" t="s">
        <v>8245</v>
      </c>
      <c r="I15" s="8">
        <v>1466713620</v>
      </c>
      <c r="J15">
        <v>1463588109</v>
      </c>
      <c r="K15" t="b">
        <v>0</v>
      </c>
      <c r="L15" s="10">
        <v>51</v>
      </c>
      <c r="M15" t="b">
        <v>1</v>
      </c>
      <c r="N15" t="s">
        <v>8263</v>
      </c>
      <c r="O15" s="11">
        <f t="shared" si="0"/>
        <v>160</v>
      </c>
      <c r="P15" s="12">
        <f t="shared" si="2"/>
        <v>110</v>
      </c>
      <c r="Q15" s="14" t="s">
        <v>8307</v>
      </c>
      <c r="R15" t="s">
        <v>8308</v>
      </c>
      <c r="S15" s="17">
        <f t="shared" si="1"/>
        <v>42508.677187499998</v>
      </c>
      <c r="T15" s="17">
        <f t="shared" si="3"/>
        <v>42544.852083333331</v>
      </c>
      <c r="U15">
        <f>MONTH(Table1[[#This Row],[Launched]])</f>
        <v>5</v>
      </c>
      <c r="Y15" s="42" t="s">
        <v>8431</v>
      </c>
      <c r="Z15" s="44">
        <f>SUMIFS(D:D,F:F,"failed",U:U,5)</f>
        <v>10487858</v>
      </c>
      <c r="AA15" s="36">
        <f>Z9</f>
        <v>390105</v>
      </c>
      <c r="AB15" s="39"/>
      <c r="AC15" s="39"/>
      <c r="AD15" s="39"/>
      <c r="AE15" s="39"/>
      <c r="AG15" s="39">
        <v>12</v>
      </c>
      <c r="AH15" t="s">
        <v>8386</v>
      </c>
      <c r="AI15" s="36">
        <f t="shared" si="4"/>
        <v>87227.644067796617</v>
      </c>
      <c r="AJ15" s="36" t="e">
        <f t="shared" si="5"/>
        <v>#DIV/0!</v>
      </c>
    </row>
    <row r="16" spans="1:36" ht="28.8" x14ac:dyDescent="0.3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8218</v>
      </c>
      <c r="G16" t="s">
        <v>8225</v>
      </c>
      <c r="H16" t="s">
        <v>8247</v>
      </c>
      <c r="I16" s="8">
        <v>1405259940</v>
      </c>
      <c r="J16">
        <v>1403051888</v>
      </c>
      <c r="K16" t="b">
        <v>0</v>
      </c>
      <c r="L16" s="10">
        <v>41</v>
      </c>
      <c r="M16" t="b">
        <v>1</v>
      </c>
      <c r="N16" t="s">
        <v>8263</v>
      </c>
      <c r="O16" s="11">
        <f t="shared" si="0"/>
        <v>101</v>
      </c>
      <c r="P16" s="12">
        <f t="shared" si="2"/>
        <v>148</v>
      </c>
      <c r="Q16" s="14" t="s">
        <v>8307</v>
      </c>
      <c r="R16" t="s">
        <v>8308</v>
      </c>
      <c r="S16" s="17">
        <f t="shared" si="1"/>
        <v>41808.02648148148</v>
      </c>
      <c r="T16" s="17">
        <f t="shared" si="3"/>
        <v>41833.582638888889</v>
      </c>
      <c r="U16">
        <f>MONTH(Table1[[#This Row],[Launched]])</f>
        <v>6</v>
      </c>
      <c r="Y16" s="42" t="s">
        <v>8432</v>
      </c>
      <c r="Z16" s="44">
        <f>SUMIFS(D:D,F:F,"live",U:U,5)</f>
        <v>0</v>
      </c>
      <c r="AA16" s="36">
        <v>0</v>
      </c>
      <c r="AB16" s="39"/>
      <c r="AC16" s="39"/>
      <c r="AD16" s="39"/>
      <c r="AE16" s="39"/>
    </row>
    <row r="17" spans="1:31" ht="43.2" x14ac:dyDescent="0.3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8218</v>
      </c>
      <c r="G17" t="s">
        <v>8226</v>
      </c>
      <c r="H17" t="s">
        <v>8248</v>
      </c>
      <c r="I17" s="8">
        <v>1443384840</v>
      </c>
      <c r="J17">
        <v>1441790658</v>
      </c>
      <c r="K17" t="b">
        <v>0</v>
      </c>
      <c r="L17" s="10">
        <v>98</v>
      </c>
      <c r="M17" t="b">
        <v>1</v>
      </c>
      <c r="N17" t="s">
        <v>8263</v>
      </c>
      <c r="O17" s="11">
        <f t="shared" si="0"/>
        <v>107</v>
      </c>
      <c r="P17" s="12">
        <f t="shared" si="2"/>
        <v>22</v>
      </c>
      <c r="Q17" s="14" t="s">
        <v>8307</v>
      </c>
      <c r="R17" t="s">
        <v>8308</v>
      </c>
      <c r="S17" s="17">
        <f t="shared" si="1"/>
        <v>42256.391875000001</v>
      </c>
      <c r="T17" s="17">
        <f t="shared" si="3"/>
        <v>42274.843055555553</v>
      </c>
      <c r="U17">
        <f>MONTH(Table1[[#This Row],[Launched]])</f>
        <v>9</v>
      </c>
      <c r="Y17" s="42" t="s">
        <v>8433</v>
      </c>
      <c r="Z17" s="44">
        <f>SUMIFS(D:D,F:F,"successful",U:U,5)</f>
        <v>2038459</v>
      </c>
      <c r="AA17" s="36">
        <f>AA9</f>
        <v>281844</v>
      </c>
      <c r="AB17" s="39"/>
      <c r="AC17" s="39"/>
      <c r="AD17" s="39"/>
      <c r="AE17" s="39"/>
    </row>
    <row r="18" spans="1:31" ht="43.8" thickBot="1" x14ac:dyDescent="0.35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8218</v>
      </c>
      <c r="G18" t="s">
        <v>8223</v>
      </c>
      <c r="H18" t="s">
        <v>8245</v>
      </c>
      <c r="I18" s="8">
        <v>1402896600</v>
      </c>
      <c r="J18">
        <v>1398971211</v>
      </c>
      <c r="K18" t="b">
        <v>0</v>
      </c>
      <c r="L18" s="10">
        <v>70</v>
      </c>
      <c r="M18" t="b">
        <v>1</v>
      </c>
      <c r="N18" t="s">
        <v>8263</v>
      </c>
      <c r="O18" s="11">
        <f t="shared" si="0"/>
        <v>100</v>
      </c>
      <c r="P18" s="12">
        <f t="shared" si="2"/>
        <v>172</v>
      </c>
      <c r="Q18" s="14" t="s">
        <v>8307</v>
      </c>
      <c r="R18" t="s">
        <v>8308</v>
      </c>
      <c r="S18" s="17">
        <f t="shared" si="1"/>
        <v>41760.796423611115</v>
      </c>
      <c r="T18" s="17">
        <f t="shared" si="3"/>
        <v>41806.229166666664</v>
      </c>
      <c r="U18">
        <f>MONTH(Table1[[#This Row],[Launched]])</f>
        <v>5</v>
      </c>
      <c r="Y18" s="43" t="s">
        <v>8430</v>
      </c>
      <c r="Z18" s="45">
        <f>SUMIF(U:U,5,D:D)</f>
        <v>13782981</v>
      </c>
      <c r="AA18" s="36">
        <f>SUM(AA14:AA17)</f>
        <v>671949</v>
      </c>
    </row>
    <row r="19" spans="1:31" ht="43.2" x14ac:dyDescent="0.3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8218</v>
      </c>
      <c r="G19" t="s">
        <v>8224</v>
      </c>
      <c r="H19" t="s">
        <v>8246</v>
      </c>
      <c r="I19" s="8">
        <v>1415126022</v>
      </c>
      <c r="J19">
        <v>1412530422</v>
      </c>
      <c r="K19" t="b">
        <v>0</v>
      </c>
      <c r="L19" s="10">
        <v>36</v>
      </c>
      <c r="M19" t="b">
        <v>1</v>
      </c>
      <c r="N19" t="s">
        <v>8263</v>
      </c>
      <c r="O19" s="11">
        <f t="shared" si="0"/>
        <v>101</v>
      </c>
      <c r="P19" s="12">
        <f t="shared" si="2"/>
        <v>42</v>
      </c>
      <c r="Q19" s="14" t="s">
        <v>8307</v>
      </c>
      <c r="R19" t="s">
        <v>8308</v>
      </c>
      <c r="S19" s="17">
        <f t="shared" si="1"/>
        <v>41917.731736111113</v>
      </c>
      <c r="T19" s="17">
        <f t="shared" si="3"/>
        <v>41947.773402777777</v>
      </c>
      <c r="U19">
        <f>MONTH(Table1[[#This Row],[Launched]])</f>
        <v>10</v>
      </c>
      <c r="Z19" t="s">
        <v>8443</v>
      </c>
    </row>
    <row r="20" spans="1:31" ht="43.2" x14ac:dyDescent="0.3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8218</v>
      </c>
      <c r="G20" t="s">
        <v>8223</v>
      </c>
      <c r="H20" t="s">
        <v>8245</v>
      </c>
      <c r="I20" s="8">
        <v>1410958856</v>
      </c>
      <c r="J20">
        <v>1408366856</v>
      </c>
      <c r="K20" t="b">
        <v>0</v>
      </c>
      <c r="L20" s="10">
        <v>342</v>
      </c>
      <c r="M20" t="b">
        <v>1</v>
      </c>
      <c r="N20" t="s">
        <v>8263</v>
      </c>
      <c r="O20" s="11">
        <f t="shared" si="0"/>
        <v>106</v>
      </c>
      <c r="P20" s="12">
        <f t="shared" si="2"/>
        <v>93</v>
      </c>
      <c r="Q20" s="14" t="s">
        <v>8307</v>
      </c>
      <c r="R20" t="s">
        <v>8308</v>
      </c>
      <c r="S20" s="17">
        <f t="shared" si="1"/>
        <v>41869.542314814818</v>
      </c>
      <c r="T20" s="17">
        <f t="shared" si="3"/>
        <v>41899.542314814818</v>
      </c>
      <c r="U20">
        <f>MONTH(Table1[[#This Row],[Launched]])</f>
        <v>8</v>
      </c>
      <c r="AB20" s="39"/>
    </row>
    <row r="21" spans="1:31" ht="43.2" x14ac:dyDescent="0.3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8218</v>
      </c>
      <c r="G21" t="s">
        <v>8223</v>
      </c>
      <c r="H21" t="s">
        <v>8245</v>
      </c>
      <c r="I21" s="8">
        <v>1437420934</v>
      </c>
      <c r="J21">
        <v>1434828934</v>
      </c>
      <c r="K21" t="b">
        <v>0</v>
      </c>
      <c r="L21" s="10">
        <v>22</v>
      </c>
      <c r="M21" t="b">
        <v>1</v>
      </c>
      <c r="N21" t="s">
        <v>8263</v>
      </c>
      <c r="O21" s="11">
        <f t="shared" si="0"/>
        <v>145</v>
      </c>
      <c r="P21" s="12">
        <f t="shared" si="2"/>
        <v>56</v>
      </c>
      <c r="Q21" s="14" t="s">
        <v>8307</v>
      </c>
      <c r="R21" t="s">
        <v>8308</v>
      </c>
      <c r="S21" s="17">
        <f t="shared" si="1"/>
        <v>42175.816365740742</v>
      </c>
      <c r="T21" s="17">
        <f t="shared" si="3"/>
        <v>42205.816365740742</v>
      </c>
      <c r="U21">
        <f>MONTH(Table1[[#This Row],[Launched]])</f>
        <v>6</v>
      </c>
      <c r="Y21" t="s">
        <v>8375</v>
      </c>
      <c r="AB21" s="39"/>
    </row>
    <row r="22" spans="1:31" ht="43.2" x14ac:dyDescent="0.3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8218</v>
      </c>
      <c r="G22" t="s">
        <v>8223</v>
      </c>
      <c r="H22" t="s">
        <v>8245</v>
      </c>
      <c r="I22" s="8">
        <v>1442167912</v>
      </c>
      <c r="J22">
        <v>1436983912</v>
      </c>
      <c r="K22" t="b">
        <v>0</v>
      </c>
      <c r="L22" s="10">
        <v>25</v>
      </c>
      <c r="M22" t="b">
        <v>1</v>
      </c>
      <c r="N22" t="s">
        <v>8263</v>
      </c>
      <c r="O22" s="11">
        <f t="shared" si="0"/>
        <v>100</v>
      </c>
      <c r="P22" s="12">
        <f t="shared" si="2"/>
        <v>80</v>
      </c>
      <c r="Q22" s="14" t="s">
        <v>8307</v>
      </c>
      <c r="R22" t="s">
        <v>8308</v>
      </c>
      <c r="S22" s="17">
        <f t="shared" si="1"/>
        <v>42200.758240740746</v>
      </c>
      <c r="T22" s="17">
        <f t="shared" si="3"/>
        <v>42260.758240740746</v>
      </c>
      <c r="U22">
        <f>MONTH(Table1[[#This Row],[Launched]])</f>
        <v>7</v>
      </c>
      <c r="Y22" t="s">
        <v>8439</v>
      </c>
      <c r="Z22" s="39">
        <v>1256664</v>
      </c>
      <c r="AA22" s="39">
        <f>Z22</f>
        <v>1256664</v>
      </c>
      <c r="AB22" s="39"/>
    </row>
    <row r="23" spans="1:31" ht="43.2" x14ac:dyDescent="0.3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8218</v>
      </c>
      <c r="G23" t="s">
        <v>8223</v>
      </c>
      <c r="H23" t="s">
        <v>8245</v>
      </c>
      <c r="I23" s="8">
        <v>1411743789</v>
      </c>
      <c r="J23">
        <v>1409151789</v>
      </c>
      <c r="K23" t="b">
        <v>0</v>
      </c>
      <c r="L23" s="10">
        <v>101</v>
      </c>
      <c r="M23" t="b">
        <v>1</v>
      </c>
      <c r="N23" t="s">
        <v>8263</v>
      </c>
      <c r="O23" s="11">
        <f t="shared" si="0"/>
        <v>109</v>
      </c>
      <c r="P23" s="12">
        <f t="shared" si="2"/>
        <v>200</v>
      </c>
      <c r="Q23" s="14" t="s">
        <v>8307</v>
      </c>
      <c r="R23" t="s">
        <v>8308</v>
      </c>
      <c r="S23" s="17">
        <f t="shared" si="1"/>
        <v>41878.627187500002</v>
      </c>
      <c r="T23" s="17">
        <f t="shared" si="3"/>
        <v>41908.627187500002</v>
      </c>
      <c r="U23">
        <f>MONTH(Table1[[#This Row],[Launched]])</f>
        <v>8</v>
      </c>
      <c r="Y23" t="s">
        <v>8440</v>
      </c>
      <c r="Z23" s="39">
        <v>10487858</v>
      </c>
      <c r="AA23" s="39">
        <f t="shared" ref="AA23:AA32" si="6">Z23</f>
        <v>10487858</v>
      </c>
      <c r="AB23" s="39"/>
    </row>
    <row r="24" spans="1:31" ht="28.8" x14ac:dyDescent="0.3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8218</v>
      </c>
      <c r="G24" t="s">
        <v>8223</v>
      </c>
      <c r="H24" t="s">
        <v>8245</v>
      </c>
      <c r="I24" s="8">
        <v>1420099140</v>
      </c>
      <c r="J24">
        <v>1418766740</v>
      </c>
      <c r="K24" t="b">
        <v>0</v>
      </c>
      <c r="L24" s="10">
        <v>8</v>
      </c>
      <c r="M24" t="b">
        <v>1</v>
      </c>
      <c r="N24" t="s">
        <v>8263</v>
      </c>
      <c r="O24" s="11">
        <f t="shared" si="0"/>
        <v>117</v>
      </c>
      <c r="P24" s="12">
        <f t="shared" si="2"/>
        <v>51</v>
      </c>
      <c r="Q24" s="14" t="s">
        <v>8307</v>
      </c>
      <c r="R24" t="s">
        <v>8308</v>
      </c>
      <c r="S24" s="17">
        <f t="shared" si="1"/>
        <v>41989.91134259259</v>
      </c>
      <c r="T24" s="17">
        <f t="shared" si="3"/>
        <v>42005.332638888889</v>
      </c>
      <c r="U24">
        <f>MONTH(Table1[[#This Row],[Launched]])</f>
        <v>12</v>
      </c>
      <c r="Y24" t="s">
        <v>8441</v>
      </c>
      <c r="Z24" s="39">
        <v>0</v>
      </c>
      <c r="AA24" s="39">
        <f t="shared" si="6"/>
        <v>0</v>
      </c>
      <c r="AB24" s="39"/>
    </row>
    <row r="25" spans="1:31" ht="43.2" x14ac:dyDescent="0.3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8218</v>
      </c>
      <c r="G25" t="s">
        <v>8223</v>
      </c>
      <c r="H25" t="s">
        <v>8245</v>
      </c>
      <c r="I25" s="8">
        <v>1430407200</v>
      </c>
      <c r="J25">
        <v>1428086501</v>
      </c>
      <c r="K25" t="b">
        <v>0</v>
      </c>
      <c r="L25" s="10">
        <v>23</v>
      </c>
      <c r="M25" t="b">
        <v>1</v>
      </c>
      <c r="N25" t="s">
        <v>8263</v>
      </c>
      <c r="O25" s="11">
        <f t="shared" si="0"/>
        <v>119</v>
      </c>
      <c r="P25" s="12">
        <f t="shared" si="2"/>
        <v>103</v>
      </c>
      <c r="Q25" s="14" t="s">
        <v>8307</v>
      </c>
      <c r="R25" t="s">
        <v>8308</v>
      </c>
      <c r="S25" s="17">
        <f t="shared" si="1"/>
        <v>42097.778946759259</v>
      </c>
      <c r="T25" s="17">
        <f t="shared" si="3"/>
        <v>42124.638888888891</v>
      </c>
      <c r="U25">
        <f>MONTH(Table1[[#This Row],[Launched]])</f>
        <v>4</v>
      </c>
      <c r="Y25" t="s">
        <v>8438</v>
      </c>
      <c r="Z25" s="36">
        <f>SUMIFS(D:D,U:U,5,F:F,"successful",R:R,"plays")</f>
        <v>281844</v>
      </c>
      <c r="AA25" s="39">
        <f>Z25</f>
        <v>281844</v>
      </c>
      <c r="AB25" s="39"/>
    </row>
    <row r="26" spans="1:31" ht="28.8" x14ac:dyDescent="0.3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8218</v>
      </c>
      <c r="G26" t="s">
        <v>8223</v>
      </c>
      <c r="H26" t="s">
        <v>8245</v>
      </c>
      <c r="I26" s="8">
        <v>1442345940</v>
      </c>
      <c r="J26">
        <v>1439494863</v>
      </c>
      <c r="K26" t="b">
        <v>0</v>
      </c>
      <c r="L26" s="10">
        <v>574</v>
      </c>
      <c r="M26" t="b">
        <v>1</v>
      </c>
      <c r="N26" t="s">
        <v>8263</v>
      </c>
      <c r="O26" s="11">
        <f t="shared" si="0"/>
        <v>109</v>
      </c>
      <c r="P26" s="12">
        <f t="shared" si="2"/>
        <v>66</v>
      </c>
      <c r="Q26" s="14" t="s">
        <v>8307</v>
      </c>
      <c r="R26" t="s">
        <v>8308</v>
      </c>
      <c r="S26" s="17">
        <f t="shared" si="1"/>
        <v>42229.820173611108</v>
      </c>
      <c r="T26" s="17">
        <f t="shared" si="3"/>
        <v>42262.818750000006</v>
      </c>
      <c r="U26">
        <f>MONTH(Table1[[#This Row],[Launched]])</f>
        <v>8</v>
      </c>
      <c r="Y26" t="s">
        <v>8446</v>
      </c>
      <c r="Z26" s="6">
        <f>SUMIFS(D:D,U:U,5,F:F,"successful")-Z25</f>
        <v>1756615</v>
      </c>
      <c r="AA26" s="39">
        <f>Z26</f>
        <v>1756615</v>
      </c>
    </row>
    <row r="27" spans="1:31" ht="43.2" x14ac:dyDescent="0.3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8218</v>
      </c>
      <c r="G27" t="s">
        <v>8223</v>
      </c>
      <c r="H27" t="s">
        <v>8245</v>
      </c>
      <c r="I27" s="8">
        <v>1452299761</v>
      </c>
      <c r="J27">
        <v>1447115761</v>
      </c>
      <c r="K27" t="b">
        <v>0</v>
      </c>
      <c r="L27" s="10">
        <v>14</v>
      </c>
      <c r="M27" t="b">
        <v>1</v>
      </c>
      <c r="N27" t="s">
        <v>8263</v>
      </c>
      <c r="O27" s="11">
        <f t="shared" si="0"/>
        <v>133</v>
      </c>
      <c r="P27" s="12">
        <f t="shared" si="2"/>
        <v>57</v>
      </c>
      <c r="Q27" s="14" t="s">
        <v>8307</v>
      </c>
      <c r="R27" t="s">
        <v>8308</v>
      </c>
      <c r="S27" s="17">
        <f t="shared" si="1"/>
        <v>42318.025011574078</v>
      </c>
      <c r="T27" s="17">
        <f t="shared" si="3"/>
        <v>42378.025011574078</v>
      </c>
      <c r="U27">
        <f>MONTH(Table1[[#This Row],[Launched]])</f>
        <v>11</v>
      </c>
      <c r="Y27" s="46" t="s">
        <v>8445</v>
      </c>
      <c r="Z27" s="39">
        <v>13782981</v>
      </c>
      <c r="AA27" s="39">
        <f>Z27</f>
        <v>13782981</v>
      </c>
    </row>
    <row r="28" spans="1:31" ht="43.2" x14ac:dyDescent="0.3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8218</v>
      </c>
      <c r="G28" t="s">
        <v>8223</v>
      </c>
      <c r="H28" t="s">
        <v>8245</v>
      </c>
      <c r="I28" s="8">
        <v>1408278144</v>
      </c>
      <c r="J28">
        <v>1404822144</v>
      </c>
      <c r="K28" t="b">
        <v>0</v>
      </c>
      <c r="L28" s="10">
        <v>19</v>
      </c>
      <c r="M28" t="b">
        <v>1</v>
      </c>
      <c r="N28" t="s">
        <v>8263</v>
      </c>
      <c r="O28" s="11">
        <f t="shared" si="0"/>
        <v>155</v>
      </c>
      <c r="P28" s="12">
        <f t="shared" si="2"/>
        <v>102</v>
      </c>
      <c r="Q28" s="14" t="s">
        <v>8307</v>
      </c>
      <c r="R28" t="s">
        <v>8308</v>
      </c>
      <c r="S28" s="17">
        <f t="shared" si="1"/>
        <v>41828.515555555554</v>
      </c>
      <c r="T28" s="17">
        <f t="shared" si="3"/>
        <v>41868.515555555554</v>
      </c>
      <c r="U28">
        <f>MONTH(Table1[[#This Row],[Launched]])</f>
        <v>7</v>
      </c>
    </row>
    <row r="29" spans="1:31" ht="43.2" x14ac:dyDescent="0.3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8218</v>
      </c>
      <c r="G29" t="s">
        <v>8227</v>
      </c>
      <c r="H29" t="s">
        <v>8249</v>
      </c>
      <c r="I29" s="8">
        <v>1416113833</v>
      </c>
      <c r="J29">
        <v>1413518233</v>
      </c>
      <c r="K29" t="b">
        <v>0</v>
      </c>
      <c r="L29" s="10">
        <v>150</v>
      </c>
      <c r="M29" t="b">
        <v>1</v>
      </c>
      <c r="N29" t="s">
        <v>8263</v>
      </c>
      <c r="O29" s="11">
        <f t="shared" si="0"/>
        <v>112</v>
      </c>
      <c r="P29" s="12">
        <f t="shared" si="2"/>
        <v>149</v>
      </c>
      <c r="Q29" s="14" t="s">
        <v>8307</v>
      </c>
      <c r="R29" t="s">
        <v>8308</v>
      </c>
      <c r="S29" s="17">
        <f t="shared" si="1"/>
        <v>41929.164733796293</v>
      </c>
      <c r="T29" s="17">
        <f t="shared" si="3"/>
        <v>41959.206400462965</v>
      </c>
      <c r="U29">
        <f>MONTH(Table1[[#This Row],[Launched]])</f>
        <v>10</v>
      </c>
    </row>
    <row r="30" spans="1:31" ht="28.8" x14ac:dyDescent="0.3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8218</v>
      </c>
      <c r="G30" t="s">
        <v>8223</v>
      </c>
      <c r="H30" t="s">
        <v>8245</v>
      </c>
      <c r="I30" s="8">
        <v>1450307284</v>
      </c>
      <c r="J30">
        <v>1447715284</v>
      </c>
      <c r="K30" t="b">
        <v>0</v>
      </c>
      <c r="L30" s="10">
        <v>71</v>
      </c>
      <c r="M30" t="b">
        <v>1</v>
      </c>
      <c r="N30" t="s">
        <v>8263</v>
      </c>
      <c r="O30" s="11">
        <f t="shared" si="0"/>
        <v>100</v>
      </c>
      <c r="P30" s="12">
        <f t="shared" si="2"/>
        <v>170</v>
      </c>
      <c r="Q30" s="14" t="s">
        <v>8307</v>
      </c>
      <c r="R30" t="s">
        <v>8308</v>
      </c>
      <c r="S30" s="17">
        <f t="shared" si="1"/>
        <v>42324.96393518518</v>
      </c>
      <c r="T30" s="17">
        <f t="shared" si="3"/>
        <v>42354.96393518518</v>
      </c>
      <c r="U30">
        <f>MONTH(Table1[[#This Row],[Launched]])</f>
        <v>11</v>
      </c>
      <c r="Y30" t="s">
        <v>8442</v>
      </c>
      <c r="Z30" s="39">
        <v>2038459</v>
      </c>
      <c r="AA30" s="39">
        <f>Z30</f>
        <v>2038459</v>
      </c>
    </row>
    <row r="31" spans="1:31" ht="43.2" x14ac:dyDescent="0.3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8218</v>
      </c>
      <c r="G31" t="s">
        <v>8224</v>
      </c>
      <c r="H31" t="s">
        <v>8246</v>
      </c>
      <c r="I31" s="8">
        <v>1406045368</v>
      </c>
      <c r="J31">
        <v>1403453368</v>
      </c>
      <c r="K31" t="b">
        <v>0</v>
      </c>
      <c r="L31" s="10">
        <v>117</v>
      </c>
      <c r="M31" t="b">
        <v>1</v>
      </c>
      <c r="N31" t="s">
        <v>8263</v>
      </c>
      <c r="O31" s="11">
        <f t="shared" si="0"/>
        <v>123</v>
      </c>
      <c r="P31" s="12">
        <f t="shared" si="2"/>
        <v>32</v>
      </c>
      <c r="Q31" s="14" t="s">
        <v>8307</v>
      </c>
      <c r="R31" t="s">
        <v>8308</v>
      </c>
      <c r="S31" s="17">
        <f t="shared" si="1"/>
        <v>41812.67324074074</v>
      </c>
      <c r="T31" s="17">
        <f t="shared" si="3"/>
        <v>41842.67324074074</v>
      </c>
      <c r="U31">
        <f>MONTH(Table1[[#This Row],[Launched]])</f>
        <v>6</v>
      </c>
    </row>
    <row r="32" spans="1:31" ht="43.2" x14ac:dyDescent="0.3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8218</v>
      </c>
      <c r="G32" t="s">
        <v>8223</v>
      </c>
      <c r="H32" t="s">
        <v>8245</v>
      </c>
      <c r="I32" s="8">
        <v>1408604515</v>
      </c>
      <c r="J32">
        <v>1406012515</v>
      </c>
      <c r="K32" t="b">
        <v>0</v>
      </c>
      <c r="L32" s="10">
        <v>53</v>
      </c>
      <c r="M32" t="b">
        <v>1</v>
      </c>
      <c r="N32" t="s">
        <v>8263</v>
      </c>
      <c r="O32" s="11">
        <f t="shared" si="0"/>
        <v>101</v>
      </c>
      <c r="P32" s="12">
        <f t="shared" si="2"/>
        <v>76</v>
      </c>
      <c r="Q32" s="14" t="s">
        <v>8307</v>
      </c>
      <c r="R32" t="s">
        <v>8308</v>
      </c>
      <c r="S32" s="17">
        <f t="shared" si="1"/>
        <v>41842.292997685188</v>
      </c>
      <c r="T32" s="17">
        <f t="shared" si="3"/>
        <v>41872.292997685188</v>
      </c>
      <c r="U32">
        <f>MONTH(Table1[[#This Row],[Launched]])</f>
        <v>7</v>
      </c>
      <c r="Y32" t="s">
        <v>8449</v>
      </c>
      <c r="Z32" s="39">
        <v>8711.363247863248</v>
      </c>
      <c r="AA32" s="39">
        <f>Z32</f>
        <v>8711.363247863248</v>
      </c>
    </row>
    <row r="33" spans="1:28" ht="43.2" x14ac:dyDescent="0.3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8218</v>
      </c>
      <c r="G33" t="s">
        <v>8223</v>
      </c>
      <c r="H33" t="s">
        <v>8245</v>
      </c>
      <c r="I33" s="8">
        <v>1453748434</v>
      </c>
      <c r="J33">
        <v>1452193234</v>
      </c>
      <c r="K33" t="b">
        <v>0</v>
      </c>
      <c r="L33" s="10">
        <v>1</v>
      </c>
      <c r="M33" t="b">
        <v>1</v>
      </c>
      <c r="N33" t="s">
        <v>8263</v>
      </c>
      <c r="O33" s="11">
        <f t="shared" si="0"/>
        <v>100</v>
      </c>
      <c r="P33" s="12">
        <f t="shared" si="2"/>
        <v>13</v>
      </c>
      <c r="Q33" s="14" t="s">
        <v>8307</v>
      </c>
      <c r="R33" t="s">
        <v>8308</v>
      </c>
      <c r="S33" s="17">
        <f t="shared" si="1"/>
        <v>42376.79206018518</v>
      </c>
      <c r="T33" s="17">
        <f t="shared" si="3"/>
        <v>42394.79206018518</v>
      </c>
      <c r="U33">
        <f>MONTH(Table1[[#This Row],[Launched]])</f>
        <v>1</v>
      </c>
      <c r="Y33" t="s">
        <v>8447</v>
      </c>
      <c r="Z33" s="39">
        <v>3030.5806451612902</v>
      </c>
      <c r="AA33" s="39">
        <f>Z33</f>
        <v>3030.5806451612902</v>
      </c>
    </row>
    <row r="34" spans="1:28" ht="57.6" x14ac:dyDescent="0.3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8218</v>
      </c>
      <c r="G34" t="s">
        <v>8223</v>
      </c>
      <c r="H34" t="s">
        <v>8245</v>
      </c>
      <c r="I34" s="8">
        <v>1463111940</v>
      </c>
      <c r="J34">
        <v>1459523017</v>
      </c>
      <c r="K34" t="b">
        <v>0</v>
      </c>
      <c r="L34" s="10">
        <v>89</v>
      </c>
      <c r="M34" t="b">
        <v>1</v>
      </c>
      <c r="N34" t="s">
        <v>8263</v>
      </c>
      <c r="O34" s="11">
        <f t="shared" si="0"/>
        <v>100</v>
      </c>
      <c r="P34" s="12">
        <f t="shared" si="2"/>
        <v>320</v>
      </c>
      <c r="Q34" s="14" t="s">
        <v>8307</v>
      </c>
      <c r="R34" t="s">
        <v>8308</v>
      </c>
      <c r="S34" s="17">
        <f t="shared" si="1"/>
        <v>42461.627511574072</v>
      </c>
      <c r="T34" s="17">
        <f t="shared" si="3"/>
        <v>42503.165972222225</v>
      </c>
      <c r="U34">
        <f>MONTH(Table1[[#This Row],[Launched]])</f>
        <v>4</v>
      </c>
      <c r="Y34" t="s">
        <v>8444</v>
      </c>
      <c r="Z34" s="39">
        <v>9288.2142857142862</v>
      </c>
      <c r="AA34" s="39">
        <f>Z34</f>
        <v>9288.2142857142862</v>
      </c>
    </row>
    <row r="35" spans="1:28" ht="43.2" x14ac:dyDescent="0.3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8218</v>
      </c>
      <c r="G35" t="s">
        <v>8223</v>
      </c>
      <c r="H35" t="s">
        <v>8245</v>
      </c>
      <c r="I35" s="8">
        <v>1447001501</v>
      </c>
      <c r="J35">
        <v>1444405901</v>
      </c>
      <c r="K35" t="b">
        <v>0</v>
      </c>
      <c r="L35" s="10">
        <v>64</v>
      </c>
      <c r="M35" t="b">
        <v>1</v>
      </c>
      <c r="N35" t="s">
        <v>8263</v>
      </c>
      <c r="O35" s="11">
        <f t="shared" si="0"/>
        <v>102</v>
      </c>
      <c r="P35" s="12">
        <f t="shared" si="2"/>
        <v>84</v>
      </c>
      <c r="Q35" s="14" t="s">
        <v>8307</v>
      </c>
      <c r="R35" t="s">
        <v>8308</v>
      </c>
      <c r="S35" s="17">
        <f t="shared" si="1"/>
        <v>42286.660891203705</v>
      </c>
      <c r="T35" s="17">
        <f t="shared" si="3"/>
        <v>42316.702557870376</v>
      </c>
      <c r="U35">
        <f>MONTH(Table1[[#This Row],[Launched]])</f>
        <v>10</v>
      </c>
      <c r="Y35" t="s">
        <v>8448</v>
      </c>
      <c r="Z35" s="39">
        <v>83236.968253968254</v>
      </c>
      <c r="AA35" s="39">
        <f>Z35</f>
        <v>83236.968253968254</v>
      </c>
    </row>
    <row r="36" spans="1:28" ht="43.2" x14ac:dyDescent="0.3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8218</v>
      </c>
      <c r="G36" t="s">
        <v>8223</v>
      </c>
      <c r="H36" t="s">
        <v>8245</v>
      </c>
      <c r="I36" s="8">
        <v>1407224601</v>
      </c>
      <c r="J36">
        <v>1405928601</v>
      </c>
      <c r="K36" t="b">
        <v>0</v>
      </c>
      <c r="L36" s="10">
        <v>68</v>
      </c>
      <c r="M36" t="b">
        <v>1</v>
      </c>
      <c r="N36" t="s">
        <v>8263</v>
      </c>
      <c r="O36" s="11">
        <f t="shared" si="0"/>
        <v>130</v>
      </c>
      <c r="P36" s="12">
        <f t="shared" si="2"/>
        <v>50</v>
      </c>
      <c r="Q36" s="14" t="s">
        <v>8307</v>
      </c>
      <c r="R36" t="s">
        <v>8308</v>
      </c>
      <c r="S36" s="17">
        <f t="shared" si="1"/>
        <v>41841.321770833332</v>
      </c>
      <c r="T36" s="17">
        <f t="shared" si="3"/>
        <v>41856.321770833332</v>
      </c>
      <c r="U36">
        <f>MONTH(Table1[[#This Row],[Launched]])</f>
        <v>7</v>
      </c>
    </row>
    <row r="37" spans="1:28" ht="43.2" x14ac:dyDescent="0.3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8218</v>
      </c>
      <c r="G37" t="s">
        <v>8223</v>
      </c>
      <c r="H37" t="s">
        <v>8245</v>
      </c>
      <c r="I37" s="8">
        <v>1430179200</v>
      </c>
      <c r="J37">
        <v>1428130814</v>
      </c>
      <c r="K37" t="b">
        <v>0</v>
      </c>
      <c r="L37" s="10">
        <v>28</v>
      </c>
      <c r="M37" t="b">
        <v>1</v>
      </c>
      <c r="N37" t="s">
        <v>8263</v>
      </c>
      <c r="O37" s="11">
        <f t="shared" si="0"/>
        <v>167</v>
      </c>
      <c r="P37" s="12">
        <f t="shared" si="2"/>
        <v>59</v>
      </c>
      <c r="Q37" s="14" t="s">
        <v>8307</v>
      </c>
      <c r="R37" t="s">
        <v>8308</v>
      </c>
      <c r="S37" s="17">
        <f t="shared" si="1"/>
        <v>42098.291828703703</v>
      </c>
      <c r="T37" s="17">
        <f t="shared" si="3"/>
        <v>42122</v>
      </c>
      <c r="U37">
        <f>MONTH(Table1[[#This Row],[Launched]])</f>
        <v>4</v>
      </c>
    </row>
    <row r="38" spans="1:28" ht="28.8" x14ac:dyDescent="0.3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8218</v>
      </c>
      <c r="G38" t="s">
        <v>8223</v>
      </c>
      <c r="H38" t="s">
        <v>8245</v>
      </c>
      <c r="I38" s="8">
        <v>1428128525</v>
      </c>
      <c r="J38">
        <v>1425540125</v>
      </c>
      <c r="K38" t="b">
        <v>0</v>
      </c>
      <c r="L38" s="10">
        <v>44</v>
      </c>
      <c r="M38" t="b">
        <v>1</v>
      </c>
      <c r="N38" t="s">
        <v>8263</v>
      </c>
      <c r="O38" s="11">
        <f t="shared" si="0"/>
        <v>142</v>
      </c>
      <c r="P38" s="12">
        <f t="shared" si="2"/>
        <v>194</v>
      </c>
      <c r="Q38" s="14" t="s">
        <v>8307</v>
      </c>
      <c r="R38" t="s">
        <v>8308</v>
      </c>
      <c r="S38" s="17">
        <f t="shared" si="1"/>
        <v>42068.307002314818</v>
      </c>
      <c r="T38" s="17">
        <f t="shared" si="3"/>
        <v>42098.265335648146</v>
      </c>
      <c r="U38">
        <f>MONTH(Table1[[#This Row],[Launched]])</f>
        <v>3</v>
      </c>
    </row>
    <row r="39" spans="1:28" ht="43.2" x14ac:dyDescent="0.3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8218</v>
      </c>
      <c r="G39" t="s">
        <v>8223</v>
      </c>
      <c r="H39" t="s">
        <v>8245</v>
      </c>
      <c r="I39" s="8">
        <v>1425055079</v>
      </c>
      <c r="J39">
        <v>1422463079</v>
      </c>
      <c r="K39" t="b">
        <v>0</v>
      </c>
      <c r="L39" s="10">
        <v>253</v>
      </c>
      <c r="M39" t="b">
        <v>1</v>
      </c>
      <c r="N39" t="s">
        <v>8263</v>
      </c>
      <c r="O39" s="11">
        <f t="shared" si="0"/>
        <v>183</v>
      </c>
      <c r="P39" s="12">
        <f t="shared" si="2"/>
        <v>160</v>
      </c>
      <c r="Q39" s="14" t="s">
        <v>8307</v>
      </c>
      <c r="R39" t="s">
        <v>8308</v>
      </c>
      <c r="S39" s="17">
        <f t="shared" si="1"/>
        <v>42032.693043981482</v>
      </c>
      <c r="T39" s="17">
        <f t="shared" si="3"/>
        <v>42062.693043981482</v>
      </c>
      <c r="U39">
        <f>MONTH(Table1[[#This Row],[Launched]])</f>
        <v>1</v>
      </c>
    </row>
    <row r="40" spans="1:28" ht="43.2" x14ac:dyDescent="0.3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8218</v>
      </c>
      <c r="G40" t="s">
        <v>8223</v>
      </c>
      <c r="H40" t="s">
        <v>8245</v>
      </c>
      <c r="I40" s="8">
        <v>1368235344</v>
      </c>
      <c r="J40">
        <v>1365643344</v>
      </c>
      <c r="K40" t="b">
        <v>0</v>
      </c>
      <c r="L40" s="10">
        <v>66</v>
      </c>
      <c r="M40" t="b">
        <v>1</v>
      </c>
      <c r="N40" t="s">
        <v>8263</v>
      </c>
      <c r="O40" s="11">
        <f t="shared" si="0"/>
        <v>110</v>
      </c>
      <c r="P40" s="12">
        <f t="shared" si="2"/>
        <v>42</v>
      </c>
      <c r="Q40" s="14" t="s">
        <v>8307</v>
      </c>
      <c r="R40" t="s">
        <v>8308</v>
      </c>
      <c r="S40" s="17">
        <f t="shared" si="1"/>
        <v>41375.057222222218</v>
      </c>
      <c r="T40" s="17">
        <f t="shared" si="3"/>
        <v>41405.057222222218</v>
      </c>
      <c r="U40">
        <f>MONTH(Table1[[#This Row],[Launched]])</f>
        <v>4</v>
      </c>
      <c r="Z40" t="s">
        <v>8381</v>
      </c>
      <c r="AA40" s="36">
        <f>SUMIFS(D:D,U:U,AB40,F:F,"successful")</f>
        <v>1345039</v>
      </c>
      <c r="AB40">
        <v>1</v>
      </c>
    </row>
    <row r="41" spans="1:28" ht="57.6" x14ac:dyDescent="0.3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8218</v>
      </c>
      <c r="G41" t="s">
        <v>8224</v>
      </c>
      <c r="H41" t="s">
        <v>8246</v>
      </c>
      <c r="I41" s="8">
        <v>1401058740</v>
      </c>
      <c r="J41">
        <v>1398388068</v>
      </c>
      <c r="K41" t="b">
        <v>0</v>
      </c>
      <c r="L41" s="10">
        <v>217</v>
      </c>
      <c r="M41" t="b">
        <v>1</v>
      </c>
      <c r="N41" t="s">
        <v>8263</v>
      </c>
      <c r="O41" s="11">
        <f t="shared" si="0"/>
        <v>131</v>
      </c>
      <c r="P41" s="12">
        <f t="shared" si="2"/>
        <v>151</v>
      </c>
      <c r="Q41" s="14" t="s">
        <v>8307</v>
      </c>
      <c r="R41" t="s">
        <v>8308</v>
      </c>
      <c r="S41" s="17">
        <f t="shared" si="1"/>
        <v>41754.047083333331</v>
      </c>
      <c r="T41" s="17">
        <f t="shared" si="3"/>
        <v>41784.957638888889</v>
      </c>
      <c r="U41">
        <f>MONTH(Table1[[#This Row],[Launched]])</f>
        <v>4</v>
      </c>
      <c r="Z41" t="s">
        <v>8382</v>
      </c>
      <c r="AA41" s="36">
        <f t="shared" ref="AA41:AA51" si="7">SUMIFS(D:D,U:U,AB41,F:F,"successful")</f>
        <v>2124934</v>
      </c>
      <c r="AB41">
        <v>2</v>
      </c>
    </row>
    <row r="42" spans="1:28" ht="43.2" x14ac:dyDescent="0.3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8218</v>
      </c>
      <c r="G42" t="s">
        <v>8223</v>
      </c>
      <c r="H42" t="s">
        <v>8245</v>
      </c>
      <c r="I42" s="8">
        <v>1403150400</v>
      </c>
      <c r="J42">
        <v>1401426488</v>
      </c>
      <c r="K42" t="b">
        <v>0</v>
      </c>
      <c r="L42" s="10">
        <v>16</v>
      </c>
      <c r="M42" t="b">
        <v>1</v>
      </c>
      <c r="N42" t="s">
        <v>8263</v>
      </c>
      <c r="O42" s="11">
        <f t="shared" si="0"/>
        <v>101</v>
      </c>
      <c r="P42" s="12">
        <f t="shared" si="2"/>
        <v>127</v>
      </c>
      <c r="Q42" s="14" t="s">
        <v>8307</v>
      </c>
      <c r="R42" t="s">
        <v>8308</v>
      </c>
      <c r="S42" s="17">
        <f t="shared" si="1"/>
        <v>41789.21398148148</v>
      </c>
      <c r="T42" s="17">
        <f t="shared" si="3"/>
        <v>41809.166666666664</v>
      </c>
      <c r="U42">
        <f>MONTH(Table1[[#This Row],[Launched]])</f>
        <v>5</v>
      </c>
      <c r="Z42" t="s">
        <v>8383</v>
      </c>
      <c r="AA42" s="36">
        <f t="shared" si="7"/>
        <v>1932665</v>
      </c>
      <c r="AB42">
        <v>3</v>
      </c>
    </row>
    <row r="43" spans="1:28" ht="43.2" x14ac:dyDescent="0.3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8218</v>
      </c>
      <c r="G43" t="s">
        <v>8223</v>
      </c>
      <c r="H43" t="s">
        <v>8245</v>
      </c>
      <c r="I43" s="8">
        <v>1412516354</v>
      </c>
      <c r="J43">
        <v>1409924354</v>
      </c>
      <c r="K43" t="b">
        <v>0</v>
      </c>
      <c r="L43" s="10">
        <v>19</v>
      </c>
      <c r="M43" t="b">
        <v>1</v>
      </c>
      <c r="N43" t="s">
        <v>8263</v>
      </c>
      <c r="O43" s="11">
        <f t="shared" si="0"/>
        <v>100</v>
      </c>
      <c r="P43" s="12">
        <f t="shared" si="2"/>
        <v>105</v>
      </c>
      <c r="Q43" s="14" t="s">
        <v>8307</v>
      </c>
      <c r="R43" t="s">
        <v>8308</v>
      </c>
      <c r="S43" s="17">
        <f t="shared" si="1"/>
        <v>41887.568912037037</v>
      </c>
      <c r="T43" s="17">
        <f t="shared" si="3"/>
        <v>41917.568912037037</v>
      </c>
      <c r="U43">
        <f>MONTH(Table1[[#This Row],[Launched]])</f>
        <v>9</v>
      </c>
      <c r="Z43" t="s">
        <v>8384</v>
      </c>
      <c r="AA43" s="36">
        <f t="shared" si="7"/>
        <v>2379814.4699999997</v>
      </c>
      <c r="AB43">
        <v>4</v>
      </c>
    </row>
    <row r="44" spans="1:28" ht="43.2" x14ac:dyDescent="0.3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8218</v>
      </c>
      <c r="G44" t="s">
        <v>8223</v>
      </c>
      <c r="H44" t="s">
        <v>8245</v>
      </c>
      <c r="I44" s="8">
        <v>1419780026</v>
      </c>
      <c r="J44">
        <v>1417188026</v>
      </c>
      <c r="K44" t="b">
        <v>0</v>
      </c>
      <c r="L44" s="10">
        <v>169</v>
      </c>
      <c r="M44" t="b">
        <v>1</v>
      </c>
      <c r="N44" t="s">
        <v>8263</v>
      </c>
      <c r="O44" s="11">
        <f t="shared" si="0"/>
        <v>142</v>
      </c>
      <c r="P44" s="12">
        <f t="shared" si="2"/>
        <v>118</v>
      </c>
      <c r="Q44" s="14" t="s">
        <v>8307</v>
      </c>
      <c r="R44" t="s">
        <v>8308</v>
      </c>
      <c r="S44" s="17">
        <f t="shared" si="1"/>
        <v>41971.639189814814</v>
      </c>
      <c r="T44" s="17">
        <f t="shared" si="3"/>
        <v>42001.639189814814</v>
      </c>
      <c r="U44">
        <f>MONTH(Table1[[#This Row],[Launched]])</f>
        <v>11</v>
      </c>
      <c r="Z44" t="s">
        <v>8375</v>
      </c>
      <c r="AA44" s="36">
        <f t="shared" si="7"/>
        <v>2038459</v>
      </c>
      <c r="AB44">
        <v>5</v>
      </c>
    </row>
    <row r="45" spans="1:28" ht="43.2" x14ac:dyDescent="0.3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8218</v>
      </c>
      <c r="G45" t="s">
        <v>8223</v>
      </c>
      <c r="H45" t="s">
        <v>8245</v>
      </c>
      <c r="I45" s="8">
        <v>1405209600</v>
      </c>
      <c r="J45">
        <v>1402599486</v>
      </c>
      <c r="K45" t="b">
        <v>0</v>
      </c>
      <c r="L45" s="10">
        <v>263</v>
      </c>
      <c r="M45" t="b">
        <v>1</v>
      </c>
      <c r="N45" t="s">
        <v>8263</v>
      </c>
      <c r="O45" s="11">
        <f t="shared" si="0"/>
        <v>309</v>
      </c>
      <c r="P45" s="12">
        <f t="shared" si="2"/>
        <v>117</v>
      </c>
      <c r="Q45" s="14" t="s">
        <v>8307</v>
      </c>
      <c r="R45" t="s">
        <v>8308</v>
      </c>
      <c r="S45" s="17">
        <f t="shared" si="1"/>
        <v>41802.790347222224</v>
      </c>
      <c r="T45" s="17">
        <f t="shared" si="3"/>
        <v>41833</v>
      </c>
      <c r="U45">
        <f>MONTH(Table1[[#This Row],[Launched]])</f>
        <v>6</v>
      </c>
      <c r="Z45" t="s">
        <v>8385</v>
      </c>
      <c r="AA45" s="36">
        <f t="shared" si="7"/>
        <v>1651472</v>
      </c>
      <c r="AB45">
        <v>6</v>
      </c>
    </row>
    <row r="46" spans="1:28" ht="57.6" x14ac:dyDescent="0.3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8218</v>
      </c>
      <c r="G46" t="s">
        <v>8223</v>
      </c>
      <c r="H46" t="s">
        <v>8245</v>
      </c>
      <c r="I46" s="8">
        <v>1412648537</v>
      </c>
      <c r="J46">
        <v>1408760537</v>
      </c>
      <c r="K46" t="b">
        <v>0</v>
      </c>
      <c r="L46" s="10">
        <v>15</v>
      </c>
      <c r="M46" t="b">
        <v>1</v>
      </c>
      <c r="N46" t="s">
        <v>8263</v>
      </c>
      <c r="O46" s="11">
        <f t="shared" si="0"/>
        <v>100</v>
      </c>
      <c r="P46" s="12">
        <f t="shared" si="2"/>
        <v>133</v>
      </c>
      <c r="Q46" s="14" t="s">
        <v>8307</v>
      </c>
      <c r="R46" t="s">
        <v>8308</v>
      </c>
      <c r="S46" s="17">
        <f t="shared" si="1"/>
        <v>41874.098807870374</v>
      </c>
      <c r="T46" s="17">
        <f t="shared" si="3"/>
        <v>41919.098807870374</v>
      </c>
      <c r="U46">
        <f>MONTH(Table1[[#This Row],[Launched]])</f>
        <v>8</v>
      </c>
      <c r="Z46" t="s">
        <v>8376</v>
      </c>
      <c r="AA46" s="36">
        <f t="shared" si="7"/>
        <v>1630130</v>
      </c>
      <c r="AB46">
        <v>7</v>
      </c>
    </row>
    <row r="47" spans="1:28" ht="43.2" x14ac:dyDescent="0.3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8218</v>
      </c>
      <c r="G47" t="s">
        <v>8223</v>
      </c>
      <c r="H47" t="s">
        <v>8245</v>
      </c>
      <c r="I47" s="8">
        <v>1461769107</v>
      </c>
      <c r="J47">
        <v>1459177107</v>
      </c>
      <c r="K47" t="b">
        <v>0</v>
      </c>
      <c r="L47" s="10">
        <v>61</v>
      </c>
      <c r="M47" t="b">
        <v>1</v>
      </c>
      <c r="N47" t="s">
        <v>8263</v>
      </c>
      <c r="O47" s="11">
        <f t="shared" si="0"/>
        <v>120</v>
      </c>
      <c r="P47" s="12">
        <f t="shared" si="2"/>
        <v>98</v>
      </c>
      <c r="Q47" s="14" t="s">
        <v>8307</v>
      </c>
      <c r="R47" t="s">
        <v>8308</v>
      </c>
      <c r="S47" s="17">
        <f t="shared" si="1"/>
        <v>42457.623923611114</v>
      </c>
      <c r="T47" s="17">
        <f t="shared" si="3"/>
        <v>42487.623923611114</v>
      </c>
      <c r="U47">
        <f>MONTH(Table1[[#This Row],[Launched]])</f>
        <v>3</v>
      </c>
      <c r="Z47" t="s">
        <v>8377</v>
      </c>
      <c r="AA47" s="36">
        <f t="shared" si="7"/>
        <v>1226330.79</v>
      </c>
      <c r="AB47">
        <v>8</v>
      </c>
    </row>
    <row r="48" spans="1:28" ht="43.2" x14ac:dyDescent="0.3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8218</v>
      </c>
      <c r="G48" t="s">
        <v>8225</v>
      </c>
      <c r="H48" t="s">
        <v>8247</v>
      </c>
      <c r="I48" s="8">
        <v>1450220974</v>
      </c>
      <c r="J48">
        <v>1447628974</v>
      </c>
      <c r="K48" t="b">
        <v>0</v>
      </c>
      <c r="L48" s="10">
        <v>45</v>
      </c>
      <c r="M48" t="b">
        <v>1</v>
      </c>
      <c r="N48" t="s">
        <v>8263</v>
      </c>
      <c r="O48" s="11">
        <f t="shared" si="0"/>
        <v>104</v>
      </c>
      <c r="P48" s="12">
        <f t="shared" si="2"/>
        <v>194</v>
      </c>
      <c r="Q48" s="14" t="s">
        <v>8307</v>
      </c>
      <c r="R48" t="s">
        <v>8308</v>
      </c>
      <c r="S48" s="17">
        <f t="shared" si="1"/>
        <v>42323.964976851858</v>
      </c>
      <c r="T48" s="17">
        <f t="shared" si="3"/>
        <v>42353.964976851858</v>
      </c>
      <c r="U48">
        <f>MONTH(Table1[[#This Row],[Launched]])</f>
        <v>11</v>
      </c>
      <c r="Z48" t="s">
        <v>8378</v>
      </c>
      <c r="AA48" s="36">
        <f t="shared" si="7"/>
        <v>1606900</v>
      </c>
      <c r="AB48">
        <v>9</v>
      </c>
    </row>
    <row r="49" spans="1:28" ht="57.6" x14ac:dyDescent="0.3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8218</v>
      </c>
      <c r="G49" t="s">
        <v>8223</v>
      </c>
      <c r="H49" t="s">
        <v>8245</v>
      </c>
      <c r="I49" s="8">
        <v>1419021607</v>
      </c>
      <c r="J49">
        <v>1413834007</v>
      </c>
      <c r="K49" t="b">
        <v>0</v>
      </c>
      <c r="L49" s="10">
        <v>70</v>
      </c>
      <c r="M49" t="b">
        <v>1</v>
      </c>
      <c r="N49" t="s">
        <v>8263</v>
      </c>
      <c r="O49" s="11">
        <f t="shared" si="0"/>
        <v>108</v>
      </c>
      <c r="P49" s="12">
        <f t="shared" si="2"/>
        <v>77</v>
      </c>
      <c r="Q49" s="14" t="s">
        <v>8307</v>
      </c>
      <c r="R49" t="s">
        <v>8308</v>
      </c>
      <c r="S49" s="17">
        <f t="shared" si="1"/>
        <v>41932.819525462961</v>
      </c>
      <c r="T49" s="17">
        <f t="shared" si="3"/>
        <v>41992.861192129625</v>
      </c>
      <c r="U49">
        <f>MONTH(Table1[[#This Row],[Launched]])</f>
        <v>10</v>
      </c>
      <c r="Z49" t="s">
        <v>8379</v>
      </c>
      <c r="AA49" s="36">
        <f t="shared" si="7"/>
        <v>2454263.5499999998</v>
      </c>
      <c r="AB49">
        <v>10</v>
      </c>
    </row>
    <row r="50" spans="1:28" ht="43.2" x14ac:dyDescent="0.3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8218</v>
      </c>
      <c r="G50" t="s">
        <v>8224</v>
      </c>
      <c r="H50" t="s">
        <v>8246</v>
      </c>
      <c r="I50" s="8">
        <v>1425211200</v>
      </c>
      <c r="J50">
        <v>1422534260</v>
      </c>
      <c r="K50" t="b">
        <v>0</v>
      </c>
      <c r="L50" s="10">
        <v>38</v>
      </c>
      <c r="M50" t="b">
        <v>1</v>
      </c>
      <c r="N50" t="s">
        <v>8263</v>
      </c>
      <c r="O50" s="11">
        <f t="shared" si="0"/>
        <v>108</v>
      </c>
      <c r="P50" s="12">
        <f t="shared" si="2"/>
        <v>57</v>
      </c>
      <c r="Q50" s="14" t="s">
        <v>8307</v>
      </c>
      <c r="R50" t="s">
        <v>8308</v>
      </c>
      <c r="S50" s="17">
        <f t="shared" si="1"/>
        <v>42033.516898148147</v>
      </c>
      <c r="T50" s="17">
        <f t="shared" si="3"/>
        <v>42064.5</v>
      </c>
      <c r="U50">
        <f>MONTH(Table1[[#This Row],[Launched]])</f>
        <v>1</v>
      </c>
      <c r="Z50" t="s">
        <v>8380</v>
      </c>
      <c r="AA50" s="36">
        <f t="shared" si="7"/>
        <v>2152020</v>
      </c>
      <c r="AB50">
        <v>11</v>
      </c>
    </row>
    <row r="51" spans="1:28" ht="15.6" x14ac:dyDescent="0.3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8218</v>
      </c>
      <c r="G51" t="s">
        <v>8223</v>
      </c>
      <c r="H51" t="s">
        <v>8245</v>
      </c>
      <c r="I51" s="8">
        <v>1445660045</v>
      </c>
      <c r="J51">
        <v>1443068045</v>
      </c>
      <c r="K51" t="b">
        <v>0</v>
      </c>
      <c r="L51" s="10">
        <v>87</v>
      </c>
      <c r="M51" t="b">
        <v>1</v>
      </c>
      <c r="N51" t="s">
        <v>8263</v>
      </c>
      <c r="O51" s="11">
        <f t="shared" si="0"/>
        <v>100</v>
      </c>
      <c r="P51" s="12">
        <f t="shared" si="2"/>
        <v>138</v>
      </c>
      <c r="Q51" s="14" t="s">
        <v>8307</v>
      </c>
      <c r="R51" t="s">
        <v>8308</v>
      </c>
      <c r="S51" s="17">
        <f t="shared" si="1"/>
        <v>42271.176446759258</v>
      </c>
      <c r="T51" s="17">
        <f t="shared" si="3"/>
        <v>42301.176446759258</v>
      </c>
      <c r="U51">
        <f>MONTH(Table1[[#This Row],[Launched]])</f>
        <v>9</v>
      </c>
      <c r="Z51" t="s">
        <v>8386</v>
      </c>
      <c r="AA51" s="36">
        <f t="shared" si="7"/>
        <v>1017336</v>
      </c>
      <c r="AB51">
        <v>12</v>
      </c>
    </row>
    <row r="52" spans="1:28" ht="43.2" x14ac:dyDescent="0.3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8218</v>
      </c>
      <c r="G52" t="s">
        <v>8224</v>
      </c>
      <c r="H52" t="s">
        <v>8246</v>
      </c>
      <c r="I52" s="8">
        <v>1422637200</v>
      </c>
      <c r="J52">
        <v>1419271458</v>
      </c>
      <c r="K52" t="b">
        <v>0</v>
      </c>
      <c r="L52" s="10">
        <v>22</v>
      </c>
      <c r="M52" t="b">
        <v>1</v>
      </c>
      <c r="N52" t="s">
        <v>8263</v>
      </c>
      <c r="O52" s="11">
        <f t="shared" si="0"/>
        <v>100</v>
      </c>
      <c r="P52" s="12">
        <f t="shared" si="2"/>
        <v>27</v>
      </c>
      <c r="Q52" s="14" t="s">
        <v>8307</v>
      </c>
      <c r="R52" t="s">
        <v>8308</v>
      </c>
      <c r="S52" s="17">
        <f t="shared" si="1"/>
        <v>41995.752986111111</v>
      </c>
      <c r="T52" s="17">
        <f t="shared" si="3"/>
        <v>42034.708333333328</v>
      </c>
      <c r="U52">
        <f>MONTH(Table1[[#This Row],[Launched]])</f>
        <v>12</v>
      </c>
      <c r="Z52" t="s">
        <v>8450</v>
      </c>
      <c r="AA52" s="39">
        <f>SUM(AA40:AA51)</f>
        <v>21559363.809999999</v>
      </c>
    </row>
    <row r="53" spans="1:28" ht="43.2" x14ac:dyDescent="0.3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8218</v>
      </c>
      <c r="G53" t="s">
        <v>8223</v>
      </c>
      <c r="H53" t="s">
        <v>8245</v>
      </c>
      <c r="I53" s="8">
        <v>1439245037</v>
      </c>
      <c r="J53">
        <v>1436653037</v>
      </c>
      <c r="K53" t="b">
        <v>0</v>
      </c>
      <c r="L53" s="10">
        <v>119</v>
      </c>
      <c r="M53" t="b">
        <v>1</v>
      </c>
      <c r="N53" t="s">
        <v>8263</v>
      </c>
      <c r="O53" s="11">
        <f t="shared" si="0"/>
        <v>128</v>
      </c>
      <c r="P53" s="12">
        <f t="shared" si="2"/>
        <v>118</v>
      </c>
      <c r="Q53" s="14" t="s">
        <v>8307</v>
      </c>
      <c r="R53" t="s">
        <v>8308</v>
      </c>
      <c r="S53" s="17">
        <f t="shared" si="1"/>
        <v>42196.928668981483</v>
      </c>
      <c r="T53" s="17">
        <f t="shared" si="3"/>
        <v>42226.928668981483</v>
      </c>
      <c r="U53">
        <f>MONTH(Table1[[#This Row],[Launched]])</f>
        <v>7</v>
      </c>
    </row>
    <row r="54" spans="1:28" ht="43.2" x14ac:dyDescent="0.3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8218</v>
      </c>
      <c r="G54" t="s">
        <v>8223</v>
      </c>
      <c r="H54" t="s">
        <v>8245</v>
      </c>
      <c r="I54" s="8">
        <v>1405615846</v>
      </c>
      <c r="J54">
        <v>1403023846</v>
      </c>
      <c r="K54" t="b">
        <v>0</v>
      </c>
      <c r="L54" s="10">
        <v>52</v>
      </c>
      <c r="M54" t="b">
        <v>1</v>
      </c>
      <c r="N54" t="s">
        <v>8263</v>
      </c>
      <c r="O54" s="11">
        <f t="shared" si="0"/>
        <v>116</v>
      </c>
      <c r="P54" s="12">
        <f t="shared" si="2"/>
        <v>223</v>
      </c>
      <c r="Q54" s="14" t="s">
        <v>8307</v>
      </c>
      <c r="R54" t="s">
        <v>8308</v>
      </c>
      <c r="S54" s="17">
        <f t="shared" si="1"/>
        <v>41807.701921296299</v>
      </c>
      <c r="T54" s="17">
        <f t="shared" si="3"/>
        <v>41837.701921296299</v>
      </c>
      <c r="U54">
        <f>MONTH(Table1[[#This Row],[Launched]])</f>
        <v>6</v>
      </c>
    </row>
    <row r="55" spans="1:28" ht="28.8" x14ac:dyDescent="0.3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8218</v>
      </c>
      <c r="G55" t="s">
        <v>8223</v>
      </c>
      <c r="H55" t="s">
        <v>8245</v>
      </c>
      <c r="I55" s="8">
        <v>1396648800</v>
      </c>
      <c r="J55">
        <v>1395407445</v>
      </c>
      <c r="K55" t="b">
        <v>0</v>
      </c>
      <c r="L55" s="10">
        <v>117</v>
      </c>
      <c r="M55" t="b">
        <v>1</v>
      </c>
      <c r="N55" t="s">
        <v>8263</v>
      </c>
      <c r="O55" s="11">
        <f t="shared" si="0"/>
        <v>110</v>
      </c>
      <c r="P55" s="12">
        <f t="shared" si="2"/>
        <v>28</v>
      </c>
      <c r="Q55" s="14" t="s">
        <v>8307</v>
      </c>
      <c r="R55" t="s">
        <v>8308</v>
      </c>
      <c r="S55" s="17">
        <f t="shared" si="1"/>
        <v>41719.549131944441</v>
      </c>
      <c r="T55" s="17">
        <f t="shared" si="3"/>
        <v>41733.916666666664</v>
      </c>
      <c r="U55">
        <f>MONTH(Table1[[#This Row],[Launched]])</f>
        <v>3</v>
      </c>
    </row>
    <row r="56" spans="1:28" ht="57.6" x14ac:dyDescent="0.3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8218</v>
      </c>
      <c r="G56" t="s">
        <v>8223</v>
      </c>
      <c r="H56" t="s">
        <v>8245</v>
      </c>
      <c r="I56" s="8">
        <v>1451063221</v>
      </c>
      <c r="J56">
        <v>1448471221</v>
      </c>
      <c r="K56" t="b">
        <v>0</v>
      </c>
      <c r="L56" s="10">
        <v>52</v>
      </c>
      <c r="M56" t="b">
        <v>1</v>
      </c>
      <c r="N56" t="s">
        <v>8263</v>
      </c>
      <c r="O56" s="11">
        <f t="shared" si="0"/>
        <v>101</v>
      </c>
      <c r="P56" s="12">
        <f t="shared" si="2"/>
        <v>194</v>
      </c>
      <c r="Q56" s="14" t="s">
        <v>8307</v>
      </c>
      <c r="R56" t="s">
        <v>8308</v>
      </c>
      <c r="S56" s="17">
        <f t="shared" si="1"/>
        <v>42333.713206018518</v>
      </c>
      <c r="T56" s="17">
        <f t="shared" si="3"/>
        <v>42363.713206018518</v>
      </c>
      <c r="U56">
        <f>MONTH(Table1[[#This Row],[Launched]])</f>
        <v>11</v>
      </c>
    </row>
    <row r="57" spans="1:28" ht="43.2" x14ac:dyDescent="0.3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8218</v>
      </c>
      <c r="G57" t="s">
        <v>8223</v>
      </c>
      <c r="H57" t="s">
        <v>8245</v>
      </c>
      <c r="I57" s="8">
        <v>1464390916</v>
      </c>
      <c r="J57">
        <v>1462576516</v>
      </c>
      <c r="K57" t="b">
        <v>0</v>
      </c>
      <c r="L57" s="10">
        <v>86</v>
      </c>
      <c r="M57" t="b">
        <v>1</v>
      </c>
      <c r="N57" t="s">
        <v>8263</v>
      </c>
      <c r="O57" s="11">
        <f t="shared" si="0"/>
        <v>129</v>
      </c>
      <c r="P57" s="12">
        <f t="shared" si="2"/>
        <v>129</v>
      </c>
      <c r="Q57" s="14" t="s">
        <v>8307</v>
      </c>
      <c r="R57" t="s">
        <v>8308</v>
      </c>
      <c r="S57" s="17">
        <f t="shared" si="1"/>
        <v>42496.968935185185</v>
      </c>
      <c r="T57" s="17">
        <f t="shared" si="3"/>
        <v>42517.968935185185</v>
      </c>
      <c r="U57">
        <f>MONTH(Table1[[#This Row],[Launched]])</f>
        <v>5</v>
      </c>
    </row>
    <row r="58" spans="1:28" ht="28.8" x14ac:dyDescent="0.3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8218</v>
      </c>
      <c r="G58" t="s">
        <v>8224</v>
      </c>
      <c r="H58" t="s">
        <v>8246</v>
      </c>
      <c r="I58" s="8">
        <v>1433779200</v>
      </c>
      <c r="J58">
        <v>1432559424</v>
      </c>
      <c r="K58" t="b">
        <v>0</v>
      </c>
      <c r="L58" s="10">
        <v>174</v>
      </c>
      <c r="M58" t="b">
        <v>1</v>
      </c>
      <c r="N58" t="s">
        <v>8263</v>
      </c>
      <c r="O58" s="11">
        <f t="shared" si="0"/>
        <v>107</v>
      </c>
      <c r="P58" s="12">
        <f t="shared" si="2"/>
        <v>49</v>
      </c>
      <c r="Q58" s="14" t="s">
        <v>8307</v>
      </c>
      <c r="R58" t="s">
        <v>8308</v>
      </c>
      <c r="S58" s="17">
        <f t="shared" si="1"/>
        <v>42149.548888888887</v>
      </c>
      <c r="T58" s="17">
        <f t="shared" si="3"/>
        <v>42163.666666666672</v>
      </c>
      <c r="U58">
        <f>MONTH(Table1[[#This Row],[Launched]])</f>
        <v>5</v>
      </c>
    </row>
    <row r="59" spans="1:28" ht="43.2" x14ac:dyDescent="0.3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8218</v>
      </c>
      <c r="G59" t="s">
        <v>8223</v>
      </c>
      <c r="H59" t="s">
        <v>8245</v>
      </c>
      <c r="I59" s="8">
        <v>1429991962</v>
      </c>
      <c r="J59">
        <v>1427399962</v>
      </c>
      <c r="K59" t="b">
        <v>0</v>
      </c>
      <c r="L59" s="10">
        <v>69</v>
      </c>
      <c r="M59" t="b">
        <v>1</v>
      </c>
      <c r="N59" t="s">
        <v>8263</v>
      </c>
      <c r="O59" s="11">
        <f t="shared" si="0"/>
        <v>102</v>
      </c>
      <c r="P59" s="12">
        <f t="shared" si="2"/>
        <v>222</v>
      </c>
      <c r="Q59" s="14" t="s">
        <v>8307</v>
      </c>
      <c r="R59" t="s">
        <v>8308</v>
      </c>
      <c r="S59" s="17">
        <f t="shared" si="1"/>
        <v>42089.83289351852</v>
      </c>
      <c r="T59" s="17">
        <f t="shared" si="3"/>
        <v>42119.83289351852</v>
      </c>
      <c r="U59">
        <f>MONTH(Table1[[#This Row],[Launched]])</f>
        <v>3</v>
      </c>
    </row>
    <row r="60" spans="1:28" ht="43.2" x14ac:dyDescent="0.3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8218</v>
      </c>
      <c r="G60" t="s">
        <v>8223</v>
      </c>
      <c r="H60" t="s">
        <v>8245</v>
      </c>
      <c r="I60" s="8">
        <v>1416423172</v>
      </c>
      <c r="J60">
        <v>1413827572</v>
      </c>
      <c r="K60" t="b">
        <v>0</v>
      </c>
      <c r="L60" s="10">
        <v>75</v>
      </c>
      <c r="M60" t="b">
        <v>1</v>
      </c>
      <c r="N60" t="s">
        <v>8263</v>
      </c>
      <c r="O60" s="11">
        <f t="shared" si="0"/>
        <v>103</v>
      </c>
      <c r="P60" s="12">
        <f t="shared" si="2"/>
        <v>137</v>
      </c>
      <c r="Q60" s="14" t="s">
        <v>8307</v>
      </c>
      <c r="R60" t="s">
        <v>8308</v>
      </c>
      <c r="S60" s="17">
        <f t="shared" si="1"/>
        <v>41932.745046296295</v>
      </c>
      <c r="T60" s="17">
        <f t="shared" si="3"/>
        <v>41962.786712962959</v>
      </c>
      <c r="U60">
        <f>MONTH(Table1[[#This Row],[Launched]])</f>
        <v>10</v>
      </c>
    </row>
    <row r="61" spans="1:28" ht="43.2" x14ac:dyDescent="0.3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8218</v>
      </c>
      <c r="G61" t="s">
        <v>8223</v>
      </c>
      <c r="H61" t="s">
        <v>8245</v>
      </c>
      <c r="I61" s="8">
        <v>1442264400</v>
      </c>
      <c r="J61">
        <v>1439530776</v>
      </c>
      <c r="K61" t="b">
        <v>0</v>
      </c>
      <c r="L61" s="10">
        <v>33</v>
      </c>
      <c r="M61" t="b">
        <v>1</v>
      </c>
      <c r="N61" t="s">
        <v>8263</v>
      </c>
      <c r="O61" s="11">
        <f t="shared" si="0"/>
        <v>100</v>
      </c>
      <c r="P61" s="12">
        <f t="shared" si="2"/>
        <v>607</v>
      </c>
      <c r="Q61" s="14" t="s">
        <v>8307</v>
      </c>
      <c r="R61" t="s">
        <v>8308</v>
      </c>
      <c r="S61" s="17">
        <f t="shared" si="1"/>
        <v>42230.23583333334</v>
      </c>
      <c r="T61" s="17">
        <f t="shared" si="3"/>
        <v>42261.875</v>
      </c>
      <c r="U61">
        <f>MONTH(Table1[[#This Row],[Launched]])</f>
        <v>8</v>
      </c>
    </row>
    <row r="62" spans="1:28" ht="43.2" x14ac:dyDescent="0.3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8218</v>
      </c>
      <c r="G62" t="s">
        <v>8224</v>
      </c>
      <c r="H62" t="s">
        <v>8246</v>
      </c>
      <c r="I62" s="8">
        <v>1395532800</v>
      </c>
      <c r="J62">
        <v>1393882717</v>
      </c>
      <c r="K62" t="b">
        <v>0</v>
      </c>
      <c r="L62" s="10">
        <v>108</v>
      </c>
      <c r="M62" t="b">
        <v>1</v>
      </c>
      <c r="N62" t="s">
        <v>8264</v>
      </c>
      <c r="O62" s="11">
        <f t="shared" si="0"/>
        <v>103</v>
      </c>
      <c r="P62" s="12">
        <f t="shared" si="2"/>
        <v>43</v>
      </c>
      <c r="Q62" s="14" t="s">
        <v>8307</v>
      </c>
      <c r="R62" t="s">
        <v>8309</v>
      </c>
      <c r="S62" s="17">
        <f t="shared" si="1"/>
        <v>41701.901817129627</v>
      </c>
      <c r="T62" s="17">
        <f t="shared" si="3"/>
        <v>41721</v>
      </c>
      <c r="U62">
        <f>MONTH(Table1[[#This Row],[Launched]])</f>
        <v>3</v>
      </c>
    </row>
    <row r="63" spans="1:28" ht="43.2" x14ac:dyDescent="0.3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8218</v>
      </c>
      <c r="G63" t="s">
        <v>8223</v>
      </c>
      <c r="H63" t="s">
        <v>8245</v>
      </c>
      <c r="I63" s="8">
        <v>1370547157</v>
      </c>
      <c r="J63">
        <v>1368646357</v>
      </c>
      <c r="K63" t="b">
        <v>0</v>
      </c>
      <c r="L63" s="10">
        <v>23</v>
      </c>
      <c r="M63" t="b">
        <v>1</v>
      </c>
      <c r="N63" t="s">
        <v>8264</v>
      </c>
      <c r="O63" s="11">
        <f t="shared" si="0"/>
        <v>148</v>
      </c>
      <c r="P63" s="12">
        <f t="shared" si="2"/>
        <v>322</v>
      </c>
      <c r="Q63" s="14" t="s">
        <v>8307</v>
      </c>
      <c r="R63" t="s">
        <v>8309</v>
      </c>
      <c r="S63" s="17">
        <f t="shared" si="1"/>
        <v>41409.814317129632</v>
      </c>
      <c r="T63" s="17">
        <f t="shared" si="3"/>
        <v>41431.814317129632</v>
      </c>
      <c r="U63">
        <f>MONTH(Table1[[#This Row],[Launched]])</f>
        <v>5</v>
      </c>
    </row>
    <row r="64" spans="1:28" ht="43.2" x14ac:dyDescent="0.3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8218</v>
      </c>
      <c r="G64" t="s">
        <v>8223</v>
      </c>
      <c r="H64" t="s">
        <v>8245</v>
      </c>
      <c r="I64" s="8">
        <v>1362337878</v>
      </c>
      <c r="J64">
        <v>1360177878</v>
      </c>
      <c r="K64" t="b">
        <v>0</v>
      </c>
      <c r="L64" s="10">
        <v>48</v>
      </c>
      <c r="M64" t="b">
        <v>1</v>
      </c>
      <c r="N64" t="s">
        <v>8264</v>
      </c>
      <c r="O64" s="11">
        <f t="shared" si="0"/>
        <v>155</v>
      </c>
      <c r="P64" s="12">
        <f t="shared" si="2"/>
        <v>97</v>
      </c>
      <c r="Q64" s="14" t="s">
        <v>8307</v>
      </c>
      <c r="R64" t="s">
        <v>8309</v>
      </c>
      <c r="S64" s="17">
        <f t="shared" si="1"/>
        <v>41311.799513888887</v>
      </c>
      <c r="T64" s="17">
        <f t="shared" si="3"/>
        <v>41336.799513888887</v>
      </c>
      <c r="U64">
        <f>MONTH(Table1[[#This Row],[Launched]])</f>
        <v>2</v>
      </c>
    </row>
    <row r="65" spans="1:21" ht="43.2" x14ac:dyDescent="0.3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8218</v>
      </c>
      <c r="G65" t="s">
        <v>8223</v>
      </c>
      <c r="H65" t="s">
        <v>8245</v>
      </c>
      <c r="I65" s="8">
        <v>1388206740</v>
      </c>
      <c r="J65">
        <v>1386194013</v>
      </c>
      <c r="K65" t="b">
        <v>0</v>
      </c>
      <c r="L65" s="10">
        <v>64</v>
      </c>
      <c r="M65" t="b">
        <v>1</v>
      </c>
      <c r="N65" t="s">
        <v>8264</v>
      </c>
      <c r="O65" s="11">
        <f t="shared" si="0"/>
        <v>114</v>
      </c>
      <c r="P65" s="12">
        <f t="shared" si="2"/>
        <v>35</v>
      </c>
      <c r="Q65" s="14" t="s">
        <v>8307</v>
      </c>
      <c r="R65" t="s">
        <v>8309</v>
      </c>
      <c r="S65" s="17">
        <f t="shared" si="1"/>
        <v>41612.912187499998</v>
      </c>
      <c r="T65" s="17">
        <f t="shared" si="3"/>
        <v>41636.207638888889</v>
      </c>
      <c r="U65">
        <f>MONTH(Table1[[#This Row],[Launched]])</f>
        <v>12</v>
      </c>
    </row>
    <row r="66" spans="1:21" ht="43.2" x14ac:dyDescent="0.3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8218</v>
      </c>
      <c r="G66" t="s">
        <v>8223</v>
      </c>
      <c r="H66" t="s">
        <v>8245</v>
      </c>
      <c r="I66" s="8">
        <v>1373243181</v>
      </c>
      <c r="J66">
        <v>1370651181</v>
      </c>
      <c r="K66" t="b">
        <v>0</v>
      </c>
      <c r="L66" s="10">
        <v>24</v>
      </c>
      <c r="M66" t="b">
        <v>1</v>
      </c>
      <c r="N66" t="s">
        <v>8264</v>
      </c>
      <c r="O66" s="11">
        <f t="shared" ref="O66:O129" si="8">ROUND(E66/D66*100,0)</f>
        <v>173</v>
      </c>
      <c r="P66" s="12">
        <f t="shared" si="2"/>
        <v>87</v>
      </c>
      <c r="Q66" s="14" t="s">
        <v>8307</v>
      </c>
      <c r="R66" t="s">
        <v>8309</v>
      </c>
      <c r="S66" s="17">
        <f t="shared" si="1"/>
        <v>41433.01829861111</v>
      </c>
      <c r="T66" s="17">
        <f t="shared" si="3"/>
        <v>41463.01829861111</v>
      </c>
      <c r="U66">
        <f>MONTH(Table1[[#This Row],[Launched]])</f>
        <v>6</v>
      </c>
    </row>
    <row r="67" spans="1:21" ht="43.2" x14ac:dyDescent="0.3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8218</v>
      </c>
      <c r="G67" t="s">
        <v>8228</v>
      </c>
      <c r="H67" t="s">
        <v>8250</v>
      </c>
      <c r="I67" s="8">
        <v>1407736740</v>
      </c>
      <c r="J67">
        <v>1405453354</v>
      </c>
      <c r="K67" t="b">
        <v>0</v>
      </c>
      <c r="L67" s="10">
        <v>57</v>
      </c>
      <c r="M67" t="b">
        <v>1</v>
      </c>
      <c r="N67" t="s">
        <v>8264</v>
      </c>
      <c r="O67" s="11">
        <f t="shared" si="8"/>
        <v>108</v>
      </c>
      <c r="P67" s="12">
        <f t="shared" ref="P67:P130" si="9">IFERROR(ROUND(E67/L67,),"No Backers")</f>
        <v>132</v>
      </c>
      <c r="Q67" s="14" t="s">
        <v>8307</v>
      </c>
      <c r="R67" t="s">
        <v>8309</v>
      </c>
      <c r="S67" s="17">
        <f t="shared" ref="S67:S130" si="10">(((J67/60)/60)/24)+DATE(1970,1,1)</f>
        <v>41835.821226851855</v>
      </c>
      <c r="T67" s="17">
        <f t="shared" ref="T67:T130" si="11">(((I67/60)/60)/24)+DATE(1970,1,1)</f>
        <v>41862.249305555553</v>
      </c>
      <c r="U67">
        <f>MONTH(Table1[[#This Row],[Launched]])</f>
        <v>7</v>
      </c>
    </row>
    <row r="68" spans="1:21" ht="28.8" x14ac:dyDescent="0.3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8218</v>
      </c>
      <c r="G68" t="s">
        <v>8223</v>
      </c>
      <c r="H68" t="s">
        <v>8245</v>
      </c>
      <c r="I68" s="8">
        <v>1468873420</v>
      </c>
      <c r="J68">
        <v>1466281420</v>
      </c>
      <c r="K68" t="b">
        <v>0</v>
      </c>
      <c r="L68" s="10">
        <v>26</v>
      </c>
      <c r="M68" t="b">
        <v>1</v>
      </c>
      <c r="N68" t="s">
        <v>8264</v>
      </c>
      <c r="O68" s="11">
        <f t="shared" si="8"/>
        <v>119</v>
      </c>
      <c r="P68" s="12">
        <f t="shared" si="9"/>
        <v>91</v>
      </c>
      <c r="Q68" s="14" t="s">
        <v>8307</v>
      </c>
      <c r="R68" t="s">
        <v>8309</v>
      </c>
      <c r="S68" s="17">
        <f t="shared" si="10"/>
        <v>42539.849768518514</v>
      </c>
      <c r="T68" s="17">
        <f t="shared" si="11"/>
        <v>42569.849768518514</v>
      </c>
      <c r="U68">
        <f>MONTH(Table1[[#This Row],[Launched]])</f>
        <v>6</v>
      </c>
    </row>
    <row r="69" spans="1:21" ht="43.2" x14ac:dyDescent="0.3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8218</v>
      </c>
      <c r="G69" t="s">
        <v>8223</v>
      </c>
      <c r="H69" t="s">
        <v>8245</v>
      </c>
      <c r="I69" s="8">
        <v>1342360804</v>
      </c>
      <c r="J69">
        <v>1339768804</v>
      </c>
      <c r="K69" t="b">
        <v>0</v>
      </c>
      <c r="L69" s="10">
        <v>20</v>
      </c>
      <c r="M69" t="b">
        <v>1</v>
      </c>
      <c r="N69" t="s">
        <v>8264</v>
      </c>
      <c r="O69" s="11">
        <f t="shared" si="8"/>
        <v>116</v>
      </c>
      <c r="P69" s="12">
        <f t="shared" si="9"/>
        <v>116</v>
      </c>
      <c r="Q69" s="14" t="s">
        <v>8307</v>
      </c>
      <c r="R69" t="s">
        <v>8309</v>
      </c>
      <c r="S69" s="17">
        <f t="shared" si="10"/>
        <v>41075.583379629628</v>
      </c>
      <c r="T69" s="17">
        <f t="shared" si="11"/>
        <v>41105.583379629628</v>
      </c>
      <c r="U69">
        <f>MONTH(Table1[[#This Row],[Launched]])</f>
        <v>6</v>
      </c>
    </row>
    <row r="70" spans="1:21" ht="57.6" x14ac:dyDescent="0.3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8218</v>
      </c>
      <c r="G70" t="s">
        <v>8224</v>
      </c>
      <c r="H70" t="s">
        <v>8246</v>
      </c>
      <c r="I70" s="8">
        <v>1393162791</v>
      </c>
      <c r="J70">
        <v>1390570791</v>
      </c>
      <c r="K70" t="b">
        <v>0</v>
      </c>
      <c r="L70" s="10">
        <v>36</v>
      </c>
      <c r="M70" t="b">
        <v>1</v>
      </c>
      <c r="N70" t="s">
        <v>8264</v>
      </c>
      <c r="O70" s="11">
        <f t="shared" si="8"/>
        <v>127</v>
      </c>
      <c r="P70" s="12">
        <f t="shared" si="9"/>
        <v>21</v>
      </c>
      <c r="Q70" s="14" t="s">
        <v>8307</v>
      </c>
      <c r="R70" t="s">
        <v>8309</v>
      </c>
      <c r="S70" s="17">
        <f t="shared" si="10"/>
        <v>41663.569340277776</v>
      </c>
      <c r="T70" s="17">
        <f t="shared" si="11"/>
        <v>41693.569340277776</v>
      </c>
      <c r="U70">
        <f>MONTH(Table1[[#This Row],[Launched]])</f>
        <v>1</v>
      </c>
    </row>
    <row r="71" spans="1:21" ht="43.2" x14ac:dyDescent="0.3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8218</v>
      </c>
      <c r="G71" t="s">
        <v>8223</v>
      </c>
      <c r="H71" t="s">
        <v>8245</v>
      </c>
      <c r="I71" s="8">
        <v>1317538740</v>
      </c>
      <c r="J71">
        <v>1314765025</v>
      </c>
      <c r="K71" t="b">
        <v>0</v>
      </c>
      <c r="L71" s="10">
        <v>178</v>
      </c>
      <c r="M71" t="b">
        <v>1</v>
      </c>
      <c r="N71" t="s">
        <v>8264</v>
      </c>
      <c r="O71" s="11">
        <f t="shared" si="8"/>
        <v>111</v>
      </c>
      <c r="P71" s="12">
        <f t="shared" si="9"/>
        <v>62</v>
      </c>
      <c r="Q71" s="14" t="s">
        <v>8307</v>
      </c>
      <c r="R71" t="s">
        <v>8309</v>
      </c>
      <c r="S71" s="17">
        <f t="shared" si="10"/>
        <v>40786.187789351854</v>
      </c>
      <c r="T71" s="17">
        <f t="shared" si="11"/>
        <v>40818.290972222225</v>
      </c>
      <c r="U71">
        <f>MONTH(Table1[[#This Row],[Launched]])</f>
        <v>8</v>
      </c>
    </row>
    <row r="72" spans="1:21" ht="43.2" x14ac:dyDescent="0.3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8218</v>
      </c>
      <c r="G72" t="s">
        <v>8223</v>
      </c>
      <c r="H72" t="s">
        <v>8245</v>
      </c>
      <c r="I72" s="8">
        <v>1315171845</v>
      </c>
      <c r="J72">
        <v>1309987845</v>
      </c>
      <c r="K72" t="b">
        <v>0</v>
      </c>
      <c r="L72" s="10">
        <v>17</v>
      </c>
      <c r="M72" t="b">
        <v>1</v>
      </c>
      <c r="N72" t="s">
        <v>8264</v>
      </c>
      <c r="O72" s="11">
        <f t="shared" si="8"/>
        <v>127</v>
      </c>
      <c r="P72" s="12">
        <f t="shared" si="9"/>
        <v>37</v>
      </c>
      <c r="Q72" s="14" t="s">
        <v>8307</v>
      </c>
      <c r="R72" t="s">
        <v>8309</v>
      </c>
      <c r="S72" s="17">
        <f t="shared" si="10"/>
        <v>40730.896354166667</v>
      </c>
      <c r="T72" s="17">
        <f t="shared" si="11"/>
        <v>40790.896354166667</v>
      </c>
      <c r="U72">
        <f>MONTH(Table1[[#This Row],[Launched]])</f>
        <v>7</v>
      </c>
    </row>
    <row r="73" spans="1:21" ht="43.2" x14ac:dyDescent="0.3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8218</v>
      </c>
      <c r="G73" t="s">
        <v>8223</v>
      </c>
      <c r="H73" t="s">
        <v>8245</v>
      </c>
      <c r="I73" s="8">
        <v>1338186657</v>
      </c>
      <c r="J73">
        <v>1333002657</v>
      </c>
      <c r="K73" t="b">
        <v>0</v>
      </c>
      <c r="L73" s="10">
        <v>32</v>
      </c>
      <c r="M73" t="b">
        <v>1</v>
      </c>
      <c r="N73" t="s">
        <v>8264</v>
      </c>
      <c r="O73" s="11">
        <f t="shared" si="8"/>
        <v>124</v>
      </c>
      <c r="P73" s="12">
        <f t="shared" si="9"/>
        <v>70</v>
      </c>
      <c r="Q73" s="14" t="s">
        <v>8307</v>
      </c>
      <c r="R73" t="s">
        <v>8309</v>
      </c>
      <c r="S73" s="17">
        <f t="shared" si="10"/>
        <v>40997.271493055552</v>
      </c>
      <c r="T73" s="17">
        <f t="shared" si="11"/>
        <v>41057.271493055552</v>
      </c>
      <c r="U73">
        <f>MONTH(Table1[[#This Row],[Launched]])</f>
        <v>3</v>
      </c>
    </row>
    <row r="74" spans="1:21" ht="43.2" x14ac:dyDescent="0.3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8218</v>
      </c>
      <c r="G74" t="s">
        <v>8223</v>
      </c>
      <c r="H74" t="s">
        <v>8245</v>
      </c>
      <c r="I74" s="8">
        <v>1352937600</v>
      </c>
      <c r="J74">
        <v>1351210481</v>
      </c>
      <c r="K74" t="b">
        <v>0</v>
      </c>
      <c r="L74" s="10">
        <v>41</v>
      </c>
      <c r="M74" t="b">
        <v>1</v>
      </c>
      <c r="N74" t="s">
        <v>8264</v>
      </c>
      <c r="O74" s="11">
        <f t="shared" si="8"/>
        <v>108</v>
      </c>
      <c r="P74" s="12">
        <f t="shared" si="9"/>
        <v>58</v>
      </c>
      <c r="Q74" s="14" t="s">
        <v>8307</v>
      </c>
      <c r="R74" t="s">
        <v>8309</v>
      </c>
      <c r="S74" s="17">
        <f t="shared" si="10"/>
        <v>41208.010196759256</v>
      </c>
      <c r="T74" s="17">
        <f t="shared" si="11"/>
        <v>41228</v>
      </c>
      <c r="U74">
        <f>MONTH(Table1[[#This Row],[Launched]])</f>
        <v>10</v>
      </c>
    </row>
    <row r="75" spans="1:21" ht="43.2" x14ac:dyDescent="0.3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8218</v>
      </c>
      <c r="G75" t="s">
        <v>8223</v>
      </c>
      <c r="H75" t="s">
        <v>8245</v>
      </c>
      <c r="I75" s="8">
        <v>1304395140</v>
      </c>
      <c r="J75">
        <v>1297620584</v>
      </c>
      <c r="K75" t="b">
        <v>0</v>
      </c>
      <c r="L75" s="10">
        <v>18</v>
      </c>
      <c r="M75" t="b">
        <v>1</v>
      </c>
      <c r="N75" t="s">
        <v>8264</v>
      </c>
      <c r="O75" s="11">
        <f t="shared" si="8"/>
        <v>100</v>
      </c>
      <c r="P75" s="12">
        <f t="shared" si="9"/>
        <v>50</v>
      </c>
      <c r="Q75" s="14" t="s">
        <v>8307</v>
      </c>
      <c r="R75" t="s">
        <v>8309</v>
      </c>
      <c r="S75" s="17">
        <f t="shared" si="10"/>
        <v>40587.75675925926</v>
      </c>
      <c r="T75" s="17">
        <f t="shared" si="11"/>
        <v>40666.165972222225</v>
      </c>
      <c r="U75">
        <f>MONTH(Table1[[#This Row],[Launched]])</f>
        <v>2</v>
      </c>
    </row>
    <row r="76" spans="1:21" ht="43.2" x14ac:dyDescent="0.3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8218</v>
      </c>
      <c r="G76" t="s">
        <v>8229</v>
      </c>
      <c r="H76" t="s">
        <v>8248</v>
      </c>
      <c r="I76" s="8">
        <v>1453376495</v>
      </c>
      <c r="J76">
        <v>1450784495</v>
      </c>
      <c r="K76" t="b">
        <v>0</v>
      </c>
      <c r="L76" s="10">
        <v>29</v>
      </c>
      <c r="M76" t="b">
        <v>1</v>
      </c>
      <c r="N76" t="s">
        <v>8264</v>
      </c>
      <c r="O76" s="11">
        <f t="shared" si="8"/>
        <v>113</v>
      </c>
      <c r="P76" s="12">
        <f t="shared" si="9"/>
        <v>19</v>
      </c>
      <c r="Q76" s="14" t="s">
        <v>8307</v>
      </c>
      <c r="R76" t="s">
        <v>8309</v>
      </c>
      <c r="S76" s="17">
        <f t="shared" si="10"/>
        <v>42360.487210648149</v>
      </c>
      <c r="T76" s="17">
        <f t="shared" si="11"/>
        <v>42390.487210648149</v>
      </c>
      <c r="U76">
        <f>MONTH(Table1[[#This Row],[Launched]])</f>
        <v>12</v>
      </c>
    </row>
    <row r="77" spans="1:21" ht="43.2" x14ac:dyDescent="0.3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8218</v>
      </c>
      <c r="G77" t="s">
        <v>8223</v>
      </c>
      <c r="H77" t="s">
        <v>8245</v>
      </c>
      <c r="I77" s="8">
        <v>1366693272</v>
      </c>
      <c r="J77">
        <v>1364101272</v>
      </c>
      <c r="K77" t="b">
        <v>0</v>
      </c>
      <c r="L77" s="10">
        <v>47</v>
      </c>
      <c r="M77" t="b">
        <v>1</v>
      </c>
      <c r="N77" t="s">
        <v>8264</v>
      </c>
      <c r="O77" s="11">
        <f t="shared" si="8"/>
        <v>115</v>
      </c>
      <c r="P77" s="12">
        <f t="shared" si="9"/>
        <v>86</v>
      </c>
      <c r="Q77" s="14" t="s">
        <v>8307</v>
      </c>
      <c r="R77" t="s">
        <v>8309</v>
      </c>
      <c r="S77" s="17">
        <f t="shared" si="10"/>
        <v>41357.209166666667</v>
      </c>
      <c r="T77" s="17">
        <f t="shared" si="11"/>
        <v>41387.209166666667</v>
      </c>
      <c r="U77">
        <f>MONTH(Table1[[#This Row],[Launched]])</f>
        <v>3</v>
      </c>
    </row>
    <row r="78" spans="1:21" ht="43.2" x14ac:dyDescent="0.3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8218</v>
      </c>
      <c r="G78" t="s">
        <v>8223</v>
      </c>
      <c r="H78" t="s">
        <v>8245</v>
      </c>
      <c r="I78" s="8">
        <v>1325007358</v>
      </c>
      <c r="J78">
        <v>1319819758</v>
      </c>
      <c r="K78" t="b">
        <v>0</v>
      </c>
      <c r="L78" s="10">
        <v>15</v>
      </c>
      <c r="M78" t="b">
        <v>1</v>
      </c>
      <c r="N78" t="s">
        <v>8264</v>
      </c>
      <c r="O78" s="11">
        <f t="shared" si="8"/>
        <v>153</v>
      </c>
      <c r="P78" s="12">
        <f t="shared" si="9"/>
        <v>31</v>
      </c>
      <c r="Q78" s="14" t="s">
        <v>8307</v>
      </c>
      <c r="R78" t="s">
        <v>8309</v>
      </c>
      <c r="S78" s="17">
        <f t="shared" si="10"/>
        <v>40844.691643518519</v>
      </c>
      <c r="T78" s="17">
        <f t="shared" si="11"/>
        <v>40904.733310185184</v>
      </c>
      <c r="U78">
        <f>MONTH(Table1[[#This Row],[Launched]])</f>
        <v>10</v>
      </c>
    </row>
    <row r="79" spans="1:21" ht="43.2" x14ac:dyDescent="0.3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8218</v>
      </c>
      <c r="G79" t="s">
        <v>8223</v>
      </c>
      <c r="H79" t="s">
        <v>8245</v>
      </c>
      <c r="I79" s="8">
        <v>1337569140</v>
      </c>
      <c r="J79">
        <v>1332991717</v>
      </c>
      <c r="K79" t="b">
        <v>0</v>
      </c>
      <c r="L79" s="10">
        <v>26</v>
      </c>
      <c r="M79" t="b">
        <v>1</v>
      </c>
      <c r="N79" t="s">
        <v>8264</v>
      </c>
      <c r="O79" s="11">
        <f t="shared" si="8"/>
        <v>393</v>
      </c>
      <c r="P79" s="12">
        <f t="shared" si="9"/>
        <v>60</v>
      </c>
      <c r="Q79" s="14" t="s">
        <v>8307</v>
      </c>
      <c r="R79" t="s">
        <v>8309</v>
      </c>
      <c r="S79" s="17">
        <f t="shared" si="10"/>
        <v>40997.144872685189</v>
      </c>
      <c r="T79" s="17">
        <f t="shared" si="11"/>
        <v>41050.124305555553</v>
      </c>
      <c r="U79">
        <f>MONTH(Table1[[#This Row],[Launched]])</f>
        <v>3</v>
      </c>
    </row>
    <row r="80" spans="1:21" ht="86.4" x14ac:dyDescent="0.3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8218</v>
      </c>
      <c r="G80" t="s">
        <v>8229</v>
      </c>
      <c r="H80" t="s">
        <v>8248</v>
      </c>
      <c r="I80" s="8">
        <v>1472751121</v>
      </c>
      <c r="J80">
        <v>1471887121</v>
      </c>
      <c r="K80" t="b">
        <v>0</v>
      </c>
      <c r="L80" s="10">
        <v>35</v>
      </c>
      <c r="M80" t="b">
        <v>1</v>
      </c>
      <c r="N80" t="s">
        <v>8264</v>
      </c>
      <c r="O80" s="11">
        <f t="shared" si="8"/>
        <v>2702</v>
      </c>
      <c r="P80" s="12">
        <f t="shared" si="9"/>
        <v>39</v>
      </c>
      <c r="Q80" s="14" t="s">
        <v>8307</v>
      </c>
      <c r="R80" t="s">
        <v>8309</v>
      </c>
      <c r="S80" s="17">
        <f t="shared" si="10"/>
        <v>42604.730567129634</v>
      </c>
      <c r="T80" s="17">
        <f t="shared" si="11"/>
        <v>42614.730567129634</v>
      </c>
      <c r="U80">
        <f>MONTH(Table1[[#This Row],[Launched]])</f>
        <v>8</v>
      </c>
    </row>
    <row r="81" spans="1:21" ht="43.2" x14ac:dyDescent="0.3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8218</v>
      </c>
      <c r="G81" t="s">
        <v>8224</v>
      </c>
      <c r="H81" t="s">
        <v>8246</v>
      </c>
      <c r="I81" s="8">
        <v>1398451093</v>
      </c>
      <c r="J81">
        <v>1395859093</v>
      </c>
      <c r="K81" t="b">
        <v>0</v>
      </c>
      <c r="L81" s="10">
        <v>41</v>
      </c>
      <c r="M81" t="b">
        <v>1</v>
      </c>
      <c r="N81" t="s">
        <v>8264</v>
      </c>
      <c r="O81" s="11">
        <f t="shared" si="8"/>
        <v>127</v>
      </c>
      <c r="P81" s="12">
        <f t="shared" si="9"/>
        <v>40</v>
      </c>
      <c r="Q81" s="14" t="s">
        <v>8307</v>
      </c>
      <c r="R81" t="s">
        <v>8309</v>
      </c>
      <c r="S81" s="17">
        <f t="shared" si="10"/>
        <v>41724.776539351849</v>
      </c>
      <c r="T81" s="17">
        <f t="shared" si="11"/>
        <v>41754.776539351849</v>
      </c>
      <c r="U81">
        <f>MONTH(Table1[[#This Row],[Launched]])</f>
        <v>3</v>
      </c>
    </row>
    <row r="82" spans="1:21" ht="43.2" x14ac:dyDescent="0.3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8218</v>
      </c>
      <c r="G82" t="s">
        <v>8223</v>
      </c>
      <c r="H82" t="s">
        <v>8245</v>
      </c>
      <c r="I82" s="8">
        <v>1386640856</v>
      </c>
      <c r="J82">
        <v>1383616856</v>
      </c>
      <c r="K82" t="b">
        <v>0</v>
      </c>
      <c r="L82" s="10">
        <v>47</v>
      </c>
      <c r="M82" t="b">
        <v>1</v>
      </c>
      <c r="N82" t="s">
        <v>8264</v>
      </c>
      <c r="O82" s="11">
        <f t="shared" si="8"/>
        <v>107</v>
      </c>
      <c r="P82" s="12">
        <f t="shared" si="9"/>
        <v>274</v>
      </c>
      <c r="Q82" s="14" t="s">
        <v>8307</v>
      </c>
      <c r="R82" t="s">
        <v>8309</v>
      </c>
      <c r="S82" s="17">
        <f t="shared" si="10"/>
        <v>41583.083981481483</v>
      </c>
      <c r="T82" s="17">
        <f t="shared" si="11"/>
        <v>41618.083981481483</v>
      </c>
      <c r="U82">
        <f>MONTH(Table1[[#This Row],[Launched]])</f>
        <v>11</v>
      </c>
    </row>
    <row r="83" spans="1:21" ht="43.2" x14ac:dyDescent="0.3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8218</v>
      </c>
      <c r="G83" t="s">
        <v>8223</v>
      </c>
      <c r="H83" t="s">
        <v>8245</v>
      </c>
      <c r="I83" s="8">
        <v>1342234920</v>
      </c>
      <c r="J83">
        <v>1341892127</v>
      </c>
      <c r="K83" t="b">
        <v>0</v>
      </c>
      <c r="L83" s="10">
        <v>28</v>
      </c>
      <c r="M83" t="b">
        <v>1</v>
      </c>
      <c r="N83" t="s">
        <v>8264</v>
      </c>
      <c r="O83" s="11">
        <f t="shared" si="8"/>
        <v>198</v>
      </c>
      <c r="P83" s="12">
        <f t="shared" si="9"/>
        <v>53</v>
      </c>
      <c r="Q83" s="14" t="s">
        <v>8307</v>
      </c>
      <c r="R83" t="s">
        <v>8309</v>
      </c>
      <c r="S83" s="17">
        <f t="shared" si="10"/>
        <v>41100.158877314818</v>
      </c>
      <c r="T83" s="17">
        <f t="shared" si="11"/>
        <v>41104.126388888886</v>
      </c>
      <c r="U83">
        <f>MONTH(Table1[[#This Row],[Launched]])</f>
        <v>7</v>
      </c>
    </row>
    <row r="84" spans="1:21" ht="43.2" x14ac:dyDescent="0.3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8218</v>
      </c>
      <c r="G84" t="s">
        <v>8223</v>
      </c>
      <c r="H84" t="s">
        <v>8245</v>
      </c>
      <c r="I84" s="8">
        <v>1318189261</v>
      </c>
      <c r="J84">
        <v>1315597261</v>
      </c>
      <c r="K84" t="b">
        <v>0</v>
      </c>
      <c r="L84" s="10">
        <v>100</v>
      </c>
      <c r="M84" t="b">
        <v>1</v>
      </c>
      <c r="N84" t="s">
        <v>8264</v>
      </c>
      <c r="O84" s="11">
        <f t="shared" si="8"/>
        <v>100</v>
      </c>
      <c r="P84" s="12">
        <f t="shared" si="9"/>
        <v>40</v>
      </c>
      <c r="Q84" s="14" t="s">
        <v>8307</v>
      </c>
      <c r="R84" t="s">
        <v>8309</v>
      </c>
      <c r="S84" s="17">
        <f t="shared" si="10"/>
        <v>40795.820150462961</v>
      </c>
      <c r="T84" s="17">
        <f t="shared" si="11"/>
        <v>40825.820150462961</v>
      </c>
      <c r="U84">
        <f>MONTH(Table1[[#This Row],[Launched]])</f>
        <v>9</v>
      </c>
    </row>
    <row r="85" spans="1:21" ht="43.2" x14ac:dyDescent="0.3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8218</v>
      </c>
      <c r="G85" t="s">
        <v>8224</v>
      </c>
      <c r="H85" t="s">
        <v>8246</v>
      </c>
      <c r="I85" s="8">
        <v>1424604600</v>
      </c>
      <c r="J85">
        <v>1423320389</v>
      </c>
      <c r="K85" t="b">
        <v>0</v>
      </c>
      <c r="L85" s="10">
        <v>13</v>
      </c>
      <c r="M85" t="b">
        <v>1</v>
      </c>
      <c r="N85" t="s">
        <v>8264</v>
      </c>
      <c r="O85" s="11">
        <f t="shared" si="8"/>
        <v>103</v>
      </c>
      <c r="P85" s="12">
        <f t="shared" si="9"/>
        <v>16</v>
      </c>
      <c r="Q85" s="14" t="s">
        <v>8307</v>
      </c>
      <c r="R85" t="s">
        <v>8309</v>
      </c>
      <c r="S85" s="17">
        <f t="shared" si="10"/>
        <v>42042.615613425922</v>
      </c>
      <c r="T85" s="17">
        <f t="shared" si="11"/>
        <v>42057.479166666672</v>
      </c>
      <c r="U85">
        <f>MONTH(Table1[[#This Row],[Launched]])</f>
        <v>2</v>
      </c>
    </row>
    <row r="86" spans="1:21" ht="43.2" x14ac:dyDescent="0.3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8218</v>
      </c>
      <c r="G86" t="s">
        <v>8223</v>
      </c>
      <c r="H86" t="s">
        <v>8245</v>
      </c>
      <c r="I86" s="8">
        <v>1305483086</v>
      </c>
      <c r="J86">
        <v>1302891086</v>
      </c>
      <c r="K86" t="b">
        <v>0</v>
      </c>
      <c r="L86" s="10">
        <v>7</v>
      </c>
      <c r="M86" t="b">
        <v>1</v>
      </c>
      <c r="N86" t="s">
        <v>8264</v>
      </c>
      <c r="O86" s="11">
        <f t="shared" si="8"/>
        <v>100</v>
      </c>
      <c r="P86" s="12">
        <f t="shared" si="9"/>
        <v>71</v>
      </c>
      <c r="Q86" s="14" t="s">
        <v>8307</v>
      </c>
      <c r="R86" t="s">
        <v>8309</v>
      </c>
      <c r="S86" s="17">
        <f t="shared" si="10"/>
        <v>40648.757939814815</v>
      </c>
      <c r="T86" s="17">
        <f t="shared" si="11"/>
        <v>40678.757939814815</v>
      </c>
      <c r="U86">
        <f>MONTH(Table1[[#This Row],[Launched]])</f>
        <v>4</v>
      </c>
    </row>
    <row r="87" spans="1:21" ht="43.2" x14ac:dyDescent="0.3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8218</v>
      </c>
      <c r="G87" t="s">
        <v>8223</v>
      </c>
      <c r="H87" t="s">
        <v>8245</v>
      </c>
      <c r="I87" s="8">
        <v>1316746837</v>
      </c>
      <c r="J87">
        <v>1314154837</v>
      </c>
      <c r="K87" t="b">
        <v>0</v>
      </c>
      <c r="L87" s="10">
        <v>21</v>
      </c>
      <c r="M87" t="b">
        <v>1</v>
      </c>
      <c r="N87" t="s">
        <v>8264</v>
      </c>
      <c r="O87" s="11">
        <f t="shared" si="8"/>
        <v>126</v>
      </c>
      <c r="P87" s="12">
        <f t="shared" si="9"/>
        <v>72</v>
      </c>
      <c r="Q87" s="14" t="s">
        <v>8307</v>
      </c>
      <c r="R87" t="s">
        <v>8309</v>
      </c>
      <c r="S87" s="17">
        <f t="shared" si="10"/>
        <v>40779.125428240739</v>
      </c>
      <c r="T87" s="17">
        <f t="shared" si="11"/>
        <v>40809.125428240739</v>
      </c>
      <c r="U87">
        <f>MONTH(Table1[[#This Row],[Launched]])</f>
        <v>8</v>
      </c>
    </row>
    <row r="88" spans="1:21" ht="57.6" x14ac:dyDescent="0.3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8218</v>
      </c>
      <c r="G88" t="s">
        <v>8229</v>
      </c>
      <c r="H88" t="s">
        <v>8248</v>
      </c>
      <c r="I88" s="8">
        <v>1451226045</v>
      </c>
      <c r="J88">
        <v>1444828845</v>
      </c>
      <c r="K88" t="b">
        <v>0</v>
      </c>
      <c r="L88" s="10">
        <v>17</v>
      </c>
      <c r="M88" t="b">
        <v>1</v>
      </c>
      <c r="N88" t="s">
        <v>8264</v>
      </c>
      <c r="O88" s="11">
        <f t="shared" si="8"/>
        <v>106</v>
      </c>
      <c r="P88" s="12">
        <f t="shared" si="9"/>
        <v>376</v>
      </c>
      <c r="Q88" s="14" t="s">
        <v>8307</v>
      </c>
      <c r="R88" t="s">
        <v>8309</v>
      </c>
      <c r="S88" s="17">
        <f t="shared" si="10"/>
        <v>42291.556076388893</v>
      </c>
      <c r="T88" s="17">
        <f t="shared" si="11"/>
        <v>42365.59774305555</v>
      </c>
      <c r="U88">
        <f>MONTH(Table1[[#This Row],[Launched]])</f>
        <v>10</v>
      </c>
    </row>
    <row r="89" spans="1:21" ht="43.2" x14ac:dyDescent="0.3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8218</v>
      </c>
      <c r="G89" t="s">
        <v>8223</v>
      </c>
      <c r="H89" t="s">
        <v>8245</v>
      </c>
      <c r="I89" s="8">
        <v>1275529260</v>
      </c>
      <c r="J89">
        <v>1274705803</v>
      </c>
      <c r="K89" t="b">
        <v>0</v>
      </c>
      <c r="L89" s="10">
        <v>25</v>
      </c>
      <c r="M89" t="b">
        <v>1</v>
      </c>
      <c r="N89" t="s">
        <v>8264</v>
      </c>
      <c r="O89" s="11">
        <f t="shared" si="8"/>
        <v>105</v>
      </c>
      <c r="P89" s="12">
        <f t="shared" si="9"/>
        <v>105</v>
      </c>
      <c r="Q89" s="14" t="s">
        <v>8307</v>
      </c>
      <c r="R89" t="s">
        <v>8309</v>
      </c>
      <c r="S89" s="17">
        <f t="shared" si="10"/>
        <v>40322.53938657407</v>
      </c>
      <c r="T89" s="17">
        <f t="shared" si="11"/>
        <v>40332.070138888892</v>
      </c>
      <c r="U89">
        <f>MONTH(Table1[[#This Row],[Launched]])</f>
        <v>5</v>
      </c>
    </row>
    <row r="90" spans="1:21" ht="43.2" x14ac:dyDescent="0.3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8218</v>
      </c>
      <c r="G90" t="s">
        <v>8223</v>
      </c>
      <c r="H90" t="s">
        <v>8245</v>
      </c>
      <c r="I90" s="8">
        <v>1403452131</v>
      </c>
      <c r="J90">
        <v>1401205731</v>
      </c>
      <c r="K90" t="b">
        <v>0</v>
      </c>
      <c r="L90" s="10">
        <v>60</v>
      </c>
      <c r="M90" t="b">
        <v>1</v>
      </c>
      <c r="N90" t="s">
        <v>8264</v>
      </c>
      <c r="O90" s="11">
        <f t="shared" si="8"/>
        <v>103</v>
      </c>
      <c r="P90" s="12">
        <f t="shared" si="9"/>
        <v>60</v>
      </c>
      <c r="Q90" s="14" t="s">
        <v>8307</v>
      </c>
      <c r="R90" t="s">
        <v>8309</v>
      </c>
      <c r="S90" s="17">
        <f t="shared" si="10"/>
        <v>41786.65892361111</v>
      </c>
      <c r="T90" s="17">
        <f t="shared" si="11"/>
        <v>41812.65892361111</v>
      </c>
      <c r="U90">
        <f>MONTH(Table1[[#This Row],[Launched]])</f>
        <v>5</v>
      </c>
    </row>
    <row r="91" spans="1:21" ht="43.2" x14ac:dyDescent="0.3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8218</v>
      </c>
      <c r="G91" t="s">
        <v>8223</v>
      </c>
      <c r="H91" t="s">
        <v>8245</v>
      </c>
      <c r="I91" s="8">
        <v>1370196192</v>
      </c>
      <c r="J91">
        <v>1368036192</v>
      </c>
      <c r="K91" t="b">
        <v>0</v>
      </c>
      <c r="L91" s="10">
        <v>56</v>
      </c>
      <c r="M91" t="b">
        <v>1</v>
      </c>
      <c r="N91" t="s">
        <v>8264</v>
      </c>
      <c r="O91" s="11">
        <f t="shared" si="8"/>
        <v>115</v>
      </c>
      <c r="P91" s="12">
        <f t="shared" si="9"/>
        <v>123</v>
      </c>
      <c r="Q91" s="14" t="s">
        <v>8307</v>
      </c>
      <c r="R91" t="s">
        <v>8309</v>
      </c>
      <c r="S91" s="17">
        <f t="shared" si="10"/>
        <v>41402.752222222225</v>
      </c>
      <c r="T91" s="17">
        <f t="shared" si="11"/>
        <v>41427.752222222225</v>
      </c>
      <c r="U91">
        <f>MONTH(Table1[[#This Row],[Launched]])</f>
        <v>5</v>
      </c>
    </row>
    <row r="92" spans="1:21" ht="28.8" x14ac:dyDescent="0.3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8218</v>
      </c>
      <c r="G92" t="s">
        <v>8223</v>
      </c>
      <c r="H92" t="s">
        <v>8245</v>
      </c>
      <c r="I92" s="8">
        <v>1310454499</v>
      </c>
      <c r="J92">
        <v>1307862499</v>
      </c>
      <c r="K92" t="b">
        <v>0</v>
      </c>
      <c r="L92" s="10">
        <v>16</v>
      </c>
      <c r="M92" t="b">
        <v>1</v>
      </c>
      <c r="N92" t="s">
        <v>8264</v>
      </c>
      <c r="O92" s="11">
        <f t="shared" si="8"/>
        <v>100</v>
      </c>
      <c r="P92" s="12">
        <f t="shared" si="9"/>
        <v>31</v>
      </c>
      <c r="Q92" s="14" t="s">
        <v>8307</v>
      </c>
      <c r="R92" t="s">
        <v>8309</v>
      </c>
      <c r="S92" s="17">
        <f t="shared" si="10"/>
        <v>40706.297442129631</v>
      </c>
      <c r="T92" s="17">
        <f t="shared" si="11"/>
        <v>40736.297442129631</v>
      </c>
      <c r="U92">
        <f>MONTH(Table1[[#This Row],[Launched]])</f>
        <v>6</v>
      </c>
    </row>
    <row r="93" spans="1:21" ht="43.2" x14ac:dyDescent="0.3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8218</v>
      </c>
      <c r="G93" t="s">
        <v>8223</v>
      </c>
      <c r="H93" t="s">
        <v>8245</v>
      </c>
      <c r="I93" s="8">
        <v>1305625164</v>
      </c>
      <c r="J93">
        <v>1300354764</v>
      </c>
      <c r="K93" t="b">
        <v>0</v>
      </c>
      <c r="L93" s="10">
        <v>46</v>
      </c>
      <c r="M93" t="b">
        <v>1</v>
      </c>
      <c r="N93" t="s">
        <v>8264</v>
      </c>
      <c r="O93" s="11">
        <f t="shared" si="8"/>
        <v>120</v>
      </c>
      <c r="P93" s="12">
        <f t="shared" si="9"/>
        <v>78</v>
      </c>
      <c r="Q93" s="14" t="s">
        <v>8307</v>
      </c>
      <c r="R93" t="s">
        <v>8309</v>
      </c>
      <c r="S93" s="17">
        <f t="shared" si="10"/>
        <v>40619.402361111112</v>
      </c>
      <c r="T93" s="17">
        <f t="shared" si="11"/>
        <v>40680.402361111112</v>
      </c>
      <c r="U93">
        <f>MONTH(Table1[[#This Row],[Launched]])</f>
        <v>3</v>
      </c>
    </row>
    <row r="94" spans="1:21" ht="43.2" x14ac:dyDescent="0.3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8218</v>
      </c>
      <c r="G94" t="s">
        <v>8228</v>
      </c>
      <c r="H94" t="s">
        <v>8250</v>
      </c>
      <c r="I94" s="8">
        <v>1485936000</v>
      </c>
      <c r="J94">
        <v>1481949983</v>
      </c>
      <c r="K94" t="b">
        <v>0</v>
      </c>
      <c r="L94" s="10">
        <v>43</v>
      </c>
      <c r="M94" t="b">
        <v>1</v>
      </c>
      <c r="N94" t="s">
        <v>8264</v>
      </c>
      <c r="O94" s="11">
        <f t="shared" si="8"/>
        <v>105</v>
      </c>
      <c r="P94" s="12">
        <f t="shared" si="9"/>
        <v>122</v>
      </c>
      <c r="Q94" s="14" t="s">
        <v>8307</v>
      </c>
      <c r="R94" t="s">
        <v>8309</v>
      </c>
      <c r="S94" s="17">
        <f t="shared" si="10"/>
        <v>42721.198877314819</v>
      </c>
      <c r="T94" s="17">
        <f t="shared" si="11"/>
        <v>42767.333333333328</v>
      </c>
      <c r="U94">
        <f>MONTH(Table1[[#This Row],[Launched]])</f>
        <v>12</v>
      </c>
    </row>
    <row r="95" spans="1:21" ht="57.6" x14ac:dyDescent="0.3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8218</v>
      </c>
      <c r="G95" t="s">
        <v>8223</v>
      </c>
      <c r="H95" t="s">
        <v>8245</v>
      </c>
      <c r="I95" s="8">
        <v>1341349200</v>
      </c>
      <c r="J95">
        <v>1338928537</v>
      </c>
      <c r="K95" t="b">
        <v>0</v>
      </c>
      <c r="L95" s="10">
        <v>15</v>
      </c>
      <c r="M95" t="b">
        <v>1</v>
      </c>
      <c r="N95" t="s">
        <v>8264</v>
      </c>
      <c r="O95" s="11">
        <f t="shared" si="8"/>
        <v>111</v>
      </c>
      <c r="P95" s="12">
        <f t="shared" si="9"/>
        <v>74</v>
      </c>
      <c r="Q95" s="14" t="s">
        <v>8307</v>
      </c>
      <c r="R95" t="s">
        <v>8309</v>
      </c>
      <c r="S95" s="17">
        <f t="shared" si="10"/>
        <v>41065.858067129629</v>
      </c>
      <c r="T95" s="17">
        <f t="shared" si="11"/>
        <v>41093.875</v>
      </c>
      <c r="U95">
        <f>MONTH(Table1[[#This Row],[Launched]])</f>
        <v>6</v>
      </c>
    </row>
    <row r="96" spans="1:21" ht="43.2" x14ac:dyDescent="0.3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8218</v>
      </c>
      <c r="G96" t="s">
        <v>8224</v>
      </c>
      <c r="H96" t="s">
        <v>8246</v>
      </c>
      <c r="I96" s="8">
        <v>1396890822</v>
      </c>
      <c r="J96">
        <v>1395162822</v>
      </c>
      <c r="K96" t="b">
        <v>0</v>
      </c>
      <c r="L96" s="10">
        <v>12</v>
      </c>
      <c r="M96" t="b">
        <v>1</v>
      </c>
      <c r="N96" t="s">
        <v>8264</v>
      </c>
      <c r="O96" s="11">
        <f t="shared" si="8"/>
        <v>104</v>
      </c>
      <c r="P96" s="12">
        <f t="shared" si="9"/>
        <v>22</v>
      </c>
      <c r="Q96" s="14" t="s">
        <v>8307</v>
      </c>
      <c r="R96" t="s">
        <v>8309</v>
      </c>
      <c r="S96" s="17">
        <f t="shared" si="10"/>
        <v>41716.717847222222</v>
      </c>
      <c r="T96" s="17">
        <f t="shared" si="11"/>
        <v>41736.717847222222</v>
      </c>
      <c r="U96">
        <f>MONTH(Table1[[#This Row],[Launched]])</f>
        <v>3</v>
      </c>
    </row>
    <row r="97" spans="1:21" ht="43.2" x14ac:dyDescent="0.3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8218</v>
      </c>
      <c r="G97" t="s">
        <v>8223</v>
      </c>
      <c r="H97" t="s">
        <v>8245</v>
      </c>
      <c r="I97" s="8">
        <v>1330214841</v>
      </c>
      <c r="J97">
        <v>1327622841</v>
      </c>
      <c r="K97" t="b">
        <v>0</v>
      </c>
      <c r="L97" s="10">
        <v>21</v>
      </c>
      <c r="M97" t="b">
        <v>1</v>
      </c>
      <c r="N97" t="s">
        <v>8264</v>
      </c>
      <c r="O97" s="11">
        <f t="shared" si="8"/>
        <v>131</v>
      </c>
      <c r="P97" s="12">
        <f t="shared" si="9"/>
        <v>22</v>
      </c>
      <c r="Q97" s="14" t="s">
        <v>8307</v>
      </c>
      <c r="R97" t="s">
        <v>8309</v>
      </c>
      <c r="S97" s="17">
        <f t="shared" si="10"/>
        <v>40935.005104166667</v>
      </c>
      <c r="T97" s="17">
        <f t="shared" si="11"/>
        <v>40965.005104166667</v>
      </c>
      <c r="U97">
        <f>MONTH(Table1[[#This Row],[Launched]])</f>
        <v>1</v>
      </c>
    </row>
    <row r="98" spans="1:21" ht="57.6" x14ac:dyDescent="0.3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8218</v>
      </c>
      <c r="G98" t="s">
        <v>8223</v>
      </c>
      <c r="H98" t="s">
        <v>8245</v>
      </c>
      <c r="I98" s="8">
        <v>1280631600</v>
      </c>
      <c r="J98">
        <v>1274889241</v>
      </c>
      <c r="K98" t="b">
        <v>0</v>
      </c>
      <c r="L98" s="10">
        <v>34</v>
      </c>
      <c r="M98" t="b">
        <v>1</v>
      </c>
      <c r="N98" t="s">
        <v>8264</v>
      </c>
      <c r="O98" s="11">
        <f t="shared" si="8"/>
        <v>115</v>
      </c>
      <c r="P98" s="12">
        <f t="shared" si="9"/>
        <v>51</v>
      </c>
      <c r="Q98" s="14" t="s">
        <v>8307</v>
      </c>
      <c r="R98" t="s">
        <v>8309</v>
      </c>
      <c r="S98" s="17">
        <f t="shared" si="10"/>
        <v>40324.662511574075</v>
      </c>
      <c r="T98" s="17">
        <f t="shared" si="11"/>
        <v>40391.125</v>
      </c>
      <c r="U98">
        <f>MONTH(Table1[[#This Row],[Launched]])</f>
        <v>5</v>
      </c>
    </row>
    <row r="99" spans="1:21" ht="43.2" x14ac:dyDescent="0.3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8218</v>
      </c>
      <c r="G99" t="s">
        <v>8223</v>
      </c>
      <c r="H99" t="s">
        <v>8245</v>
      </c>
      <c r="I99" s="8">
        <v>1310440482</v>
      </c>
      <c r="J99">
        <v>1307848482</v>
      </c>
      <c r="K99" t="b">
        <v>0</v>
      </c>
      <c r="L99" s="10">
        <v>8</v>
      </c>
      <c r="M99" t="b">
        <v>1</v>
      </c>
      <c r="N99" t="s">
        <v>8264</v>
      </c>
      <c r="O99" s="11">
        <f t="shared" si="8"/>
        <v>106</v>
      </c>
      <c r="P99" s="12">
        <f t="shared" si="9"/>
        <v>53</v>
      </c>
      <c r="Q99" s="14" t="s">
        <v>8307</v>
      </c>
      <c r="R99" t="s">
        <v>8309</v>
      </c>
      <c r="S99" s="17">
        <f t="shared" si="10"/>
        <v>40706.135208333333</v>
      </c>
      <c r="T99" s="17">
        <f t="shared" si="11"/>
        <v>40736.135208333333</v>
      </c>
      <c r="U99">
        <f>MONTH(Table1[[#This Row],[Launched]])</f>
        <v>6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8218</v>
      </c>
      <c r="G100" t="s">
        <v>8223</v>
      </c>
      <c r="H100" t="s">
        <v>8245</v>
      </c>
      <c r="I100" s="8">
        <v>1354923000</v>
      </c>
      <c r="J100">
        <v>1351796674</v>
      </c>
      <c r="K100" t="b">
        <v>0</v>
      </c>
      <c r="L100" s="10">
        <v>60</v>
      </c>
      <c r="M100" t="b">
        <v>1</v>
      </c>
      <c r="N100" t="s">
        <v>8264</v>
      </c>
      <c r="O100" s="11">
        <f t="shared" si="8"/>
        <v>106</v>
      </c>
      <c r="P100" s="12">
        <f t="shared" si="9"/>
        <v>57</v>
      </c>
      <c r="Q100" s="14" t="s">
        <v>8307</v>
      </c>
      <c r="R100" t="s">
        <v>8309</v>
      </c>
      <c r="S100" s="17">
        <f t="shared" si="10"/>
        <v>41214.79483796296</v>
      </c>
      <c r="T100" s="17">
        <f t="shared" si="11"/>
        <v>41250.979166666664</v>
      </c>
      <c r="U100">
        <f>MONTH(Table1[[#This Row],[Launched]])</f>
        <v>11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8218</v>
      </c>
      <c r="G101" t="s">
        <v>8223</v>
      </c>
      <c r="H101" t="s">
        <v>8245</v>
      </c>
      <c r="I101" s="8">
        <v>1390426799</v>
      </c>
      <c r="J101">
        <v>1387834799</v>
      </c>
      <c r="K101" t="b">
        <v>0</v>
      </c>
      <c r="L101" s="10">
        <v>39</v>
      </c>
      <c r="M101" t="b">
        <v>1</v>
      </c>
      <c r="N101" t="s">
        <v>8264</v>
      </c>
      <c r="O101" s="11">
        <f t="shared" si="8"/>
        <v>106</v>
      </c>
      <c r="P101" s="12">
        <f t="shared" si="9"/>
        <v>41</v>
      </c>
      <c r="Q101" s="14" t="s">
        <v>8307</v>
      </c>
      <c r="R101" t="s">
        <v>8309</v>
      </c>
      <c r="S101" s="17">
        <f t="shared" si="10"/>
        <v>41631.902766203704</v>
      </c>
      <c r="T101" s="17">
        <f t="shared" si="11"/>
        <v>41661.902766203704</v>
      </c>
      <c r="U101">
        <f>MONTH(Table1[[#This Row],[Launched]])</f>
        <v>12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8218</v>
      </c>
      <c r="G102" t="s">
        <v>8223</v>
      </c>
      <c r="H102" t="s">
        <v>8245</v>
      </c>
      <c r="I102" s="8">
        <v>1352055886</v>
      </c>
      <c r="J102">
        <v>1350324286</v>
      </c>
      <c r="K102" t="b">
        <v>0</v>
      </c>
      <c r="L102" s="10">
        <v>26</v>
      </c>
      <c r="M102" t="b">
        <v>1</v>
      </c>
      <c r="N102" t="s">
        <v>8264</v>
      </c>
      <c r="O102" s="11">
        <f t="shared" si="8"/>
        <v>100</v>
      </c>
      <c r="P102" s="12">
        <f t="shared" si="9"/>
        <v>192</v>
      </c>
      <c r="Q102" s="14" t="s">
        <v>8307</v>
      </c>
      <c r="R102" t="s">
        <v>8309</v>
      </c>
      <c r="S102" s="17">
        <f t="shared" si="10"/>
        <v>41197.753310185188</v>
      </c>
      <c r="T102" s="17">
        <f t="shared" si="11"/>
        <v>41217.794976851852</v>
      </c>
      <c r="U102">
        <f>MONTH(Table1[[#This Row],[Launched]])</f>
        <v>10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8218</v>
      </c>
      <c r="G103" t="s">
        <v>8223</v>
      </c>
      <c r="H103" t="s">
        <v>8245</v>
      </c>
      <c r="I103" s="8">
        <v>1359052710</v>
      </c>
      <c r="J103">
        <v>1356979110</v>
      </c>
      <c r="K103" t="b">
        <v>0</v>
      </c>
      <c r="L103" s="10">
        <v>35</v>
      </c>
      <c r="M103" t="b">
        <v>1</v>
      </c>
      <c r="N103" t="s">
        <v>8264</v>
      </c>
      <c r="O103" s="11">
        <f t="shared" si="8"/>
        <v>100</v>
      </c>
      <c r="P103" s="12">
        <f t="shared" si="9"/>
        <v>100</v>
      </c>
      <c r="Q103" s="14" t="s">
        <v>8307</v>
      </c>
      <c r="R103" t="s">
        <v>8309</v>
      </c>
      <c r="S103" s="17">
        <f t="shared" si="10"/>
        <v>41274.776736111111</v>
      </c>
      <c r="T103" s="17">
        <f t="shared" si="11"/>
        <v>41298.776736111111</v>
      </c>
      <c r="U103">
        <f>MONTH(Table1[[#This Row],[Launched]])</f>
        <v>12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8218</v>
      </c>
      <c r="G104" t="s">
        <v>8223</v>
      </c>
      <c r="H104" t="s">
        <v>8245</v>
      </c>
      <c r="I104" s="8">
        <v>1293073733</v>
      </c>
      <c r="J104">
        <v>1290481733</v>
      </c>
      <c r="K104" t="b">
        <v>0</v>
      </c>
      <c r="L104" s="10">
        <v>65</v>
      </c>
      <c r="M104" t="b">
        <v>1</v>
      </c>
      <c r="N104" t="s">
        <v>8264</v>
      </c>
      <c r="O104" s="11">
        <f t="shared" si="8"/>
        <v>128</v>
      </c>
      <c r="P104" s="12">
        <f t="shared" si="9"/>
        <v>118</v>
      </c>
      <c r="Q104" s="14" t="s">
        <v>8307</v>
      </c>
      <c r="R104" t="s">
        <v>8309</v>
      </c>
      <c r="S104" s="17">
        <f t="shared" si="10"/>
        <v>40505.131168981483</v>
      </c>
      <c r="T104" s="17">
        <f t="shared" si="11"/>
        <v>40535.131168981483</v>
      </c>
      <c r="U104">
        <f>MONTH(Table1[[#This Row],[Launched]])</f>
        <v>11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8218</v>
      </c>
      <c r="G105" t="s">
        <v>8224</v>
      </c>
      <c r="H105" t="s">
        <v>8246</v>
      </c>
      <c r="I105" s="8">
        <v>1394220030</v>
      </c>
      <c r="J105">
        <v>1392232830</v>
      </c>
      <c r="K105" t="b">
        <v>0</v>
      </c>
      <c r="L105" s="10">
        <v>49</v>
      </c>
      <c r="M105" t="b">
        <v>1</v>
      </c>
      <c r="N105" t="s">
        <v>8264</v>
      </c>
      <c r="O105" s="11">
        <f t="shared" si="8"/>
        <v>105</v>
      </c>
      <c r="P105" s="12">
        <f t="shared" si="9"/>
        <v>28</v>
      </c>
      <c r="Q105" s="14" t="s">
        <v>8307</v>
      </c>
      <c r="R105" t="s">
        <v>8309</v>
      </c>
      <c r="S105" s="17">
        <f t="shared" si="10"/>
        <v>41682.805902777778</v>
      </c>
      <c r="T105" s="17">
        <f t="shared" si="11"/>
        <v>41705.805902777778</v>
      </c>
      <c r="U105">
        <f>MONTH(Table1[[#This Row],[Launched]])</f>
        <v>2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8218</v>
      </c>
      <c r="G106" t="s">
        <v>8223</v>
      </c>
      <c r="H106" t="s">
        <v>8245</v>
      </c>
      <c r="I106" s="8">
        <v>1301792400</v>
      </c>
      <c r="J106">
        <v>1299775266</v>
      </c>
      <c r="K106" t="b">
        <v>0</v>
      </c>
      <c r="L106" s="10">
        <v>10</v>
      </c>
      <c r="M106" t="b">
        <v>1</v>
      </c>
      <c r="N106" t="s">
        <v>8264</v>
      </c>
      <c r="O106" s="11">
        <f t="shared" si="8"/>
        <v>120</v>
      </c>
      <c r="P106" s="12">
        <f t="shared" si="9"/>
        <v>60</v>
      </c>
      <c r="Q106" s="14" t="s">
        <v>8307</v>
      </c>
      <c r="R106" t="s">
        <v>8309</v>
      </c>
      <c r="S106" s="17">
        <f t="shared" si="10"/>
        <v>40612.695208333331</v>
      </c>
      <c r="T106" s="17">
        <f t="shared" si="11"/>
        <v>40636.041666666664</v>
      </c>
      <c r="U106">
        <f>MONTH(Table1[[#This Row],[Launched]])</f>
        <v>3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8218</v>
      </c>
      <c r="G107" t="s">
        <v>8223</v>
      </c>
      <c r="H107" t="s">
        <v>8245</v>
      </c>
      <c r="I107" s="8">
        <v>1463184000</v>
      </c>
      <c r="J107">
        <v>1461605020</v>
      </c>
      <c r="K107" t="b">
        <v>0</v>
      </c>
      <c r="L107" s="10">
        <v>60</v>
      </c>
      <c r="M107" t="b">
        <v>1</v>
      </c>
      <c r="N107" t="s">
        <v>8264</v>
      </c>
      <c r="O107" s="11">
        <f t="shared" si="8"/>
        <v>107</v>
      </c>
      <c r="P107" s="12">
        <f t="shared" si="9"/>
        <v>39</v>
      </c>
      <c r="Q107" s="14" t="s">
        <v>8307</v>
      </c>
      <c r="R107" t="s">
        <v>8309</v>
      </c>
      <c r="S107" s="17">
        <f t="shared" si="10"/>
        <v>42485.724768518514</v>
      </c>
      <c r="T107" s="17">
        <f t="shared" si="11"/>
        <v>42504</v>
      </c>
      <c r="U107">
        <f>MONTH(Table1[[#This Row],[Launched]])</f>
        <v>4</v>
      </c>
    </row>
    <row r="108" spans="1:21" ht="15.6" x14ac:dyDescent="0.3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8218</v>
      </c>
      <c r="G108" t="s">
        <v>8223</v>
      </c>
      <c r="H108" t="s">
        <v>8245</v>
      </c>
      <c r="I108" s="8">
        <v>1333391901</v>
      </c>
      <c r="J108">
        <v>1332182301</v>
      </c>
      <c r="K108" t="b">
        <v>0</v>
      </c>
      <c r="L108" s="10">
        <v>27</v>
      </c>
      <c r="M108" t="b">
        <v>1</v>
      </c>
      <c r="N108" t="s">
        <v>8264</v>
      </c>
      <c r="O108" s="11">
        <f t="shared" si="8"/>
        <v>101</v>
      </c>
      <c r="P108" s="12">
        <f t="shared" si="9"/>
        <v>186</v>
      </c>
      <c r="Q108" s="14" t="s">
        <v>8307</v>
      </c>
      <c r="R108" t="s">
        <v>8309</v>
      </c>
      <c r="S108" s="17">
        <f t="shared" si="10"/>
        <v>40987.776631944449</v>
      </c>
      <c r="T108" s="17">
        <f t="shared" si="11"/>
        <v>41001.776631944449</v>
      </c>
      <c r="U108">
        <f>MONTH(Table1[[#This Row],[Launched]])</f>
        <v>3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8218</v>
      </c>
      <c r="G109" t="s">
        <v>8223</v>
      </c>
      <c r="H109" t="s">
        <v>8245</v>
      </c>
      <c r="I109" s="8">
        <v>1303688087</v>
      </c>
      <c r="J109">
        <v>1301787287</v>
      </c>
      <c r="K109" t="b">
        <v>0</v>
      </c>
      <c r="L109" s="10">
        <v>69</v>
      </c>
      <c r="M109" t="b">
        <v>1</v>
      </c>
      <c r="N109" t="s">
        <v>8264</v>
      </c>
      <c r="O109" s="11">
        <f t="shared" si="8"/>
        <v>102</v>
      </c>
      <c r="P109" s="12">
        <f t="shared" si="9"/>
        <v>111</v>
      </c>
      <c r="Q109" s="14" t="s">
        <v>8307</v>
      </c>
      <c r="R109" t="s">
        <v>8309</v>
      </c>
      <c r="S109" s="17">
        <f t="shared" si="10"/>
        <v>40635.982488425929</v>
      </c>
      <c r="T109" s="17">
        <f t="shared" si="11"/>
        <v>40657.982488425929</v>
      </c>
      <c r="U109">
        <f>MONTH(Table1[[#This Row],[Launched]])</f>
        <v>4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8218</v>
      </c>
      <c r="G110" t="s">
        <v>8223</v>
      </c>
      <c r="H110" t="s">
        <v>8245</v>
      </c>
      <c r="I110" s="8">
        <v>1370011370</v>
      </c>
      <c r="J110">
        <v>1364827370</v>
      </c>
      <c r="K110" t="b">
        <v>0</v>
      </c>
      <c r="L110" s="10">
        <v>47</v>
      </c>
      <c r="M110" t="b">
        <v>1</v>
      </c>
      <c r="N110" t="s">
        <v>8264</v>
      </c>
      <c r="O110" s="11">
        <f t="shared" si="8"/>
        <v>247</v>
      </c>
      <c r="P110" s="12">
        <f t="shared" si="9"/>
        <v>79</v>
      </c>
      <c r="Q110" s="14" t="s">
        <v>8307</v>
      </c>
      <c r="R110" t="s">
        <v>8309</v>
      </c>
      <c r="S110" s="17">
        <f t="shared" si="10"/>
        <v>41365.613078703704</v>
      </c>
      <c r="T110" s="17">
        <f t="shared" si="11"/>
        <v>41425.613078703704</v>
      </c>
      <c r="U110">
        <f>MONTH(Table1[[#This Row],[Launched]])</f>
        <v>4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8218</v>
      </c>
      <c r="G111" t="s">
        <v>8223</v>
      </c>
      <c r="H111" t="s">
        <v>8245</v>
      </c>
      <c r="I111" s="8">
        <v>1298680630</v>
      </c>
      <c r="J111">
        <v>1296088630</v>
      </c>
      <c r="K111" t="b">
        <v>0</v>
      </c>
      <c r="L111" s="10">
        <v>47</v>
      </c>
      <c r="M111" t="b">
        <v>1</v>
      </c>
      <c r="N111" t="s">
        <v>8264</v>
      </c>
      <c r="O111" s="11">
        <f t="shared" si="8"/>
        <v>220</v>
      </c>
      <c r="P111" s="12">
        <f t="shared" si="9"/>
        <v>47</v>
      </c>
      <c r="Q111" s="14" t="s">
        <v>8307</v>
      </c>
      <c r="R111" t="s">
        <v>8309</v>
      </c>
      <c r="S111" s="17">
        <f t="shared" si="10"/>
        <v>40570.025810185187</v>
      </c>
      <c r="T111" s="17">
        <f t="shared" si="11"/>
        <v>40600.025810185187</v>
      </c>
      <c r="U111">
        <f>MONTH(Table1[[#This Row],[Launched]])</f>
        <v>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8218</v>
      </c>
      <c r="G112" t="s">
        <v>8223</v>
      </c>
      <c r="H112" t="s">
        <v>8245</v>
      </c>
      <c r="I112" s="8">
        <v>1384408740</v>
      </c>
      <c r="J112">
        <v>1381445253</v>
      </c>
      <c r="K112" t="b">
        <v>0</v>
      </c>
      <c r="L112" s="10">
        <v>26</v>
      </c>
      <c r="M112" t="b">
        <v>1</v>
      </c>
      <c r="N112" t="s">
        <v>8264</v>
      </c>
      <c r="O112" s="11">
        <f t="shared" si="8"/>
        <v>131</v>
      </c>
      <c r="P112" s="12">
        <f t="shared" si="9"/>
        <v>65</v>
      </c>
      <c r="Q112" s="14" t="s">
        <v>8307</v>
      </c>
      <c r="R112" t="s">
        <v>8309</v>
      </c>
      <c r="S112" s="17">
        <f t="shared" si="10"/>
        <v>41557.949687500004</v>
      </c>
      <c r="T112" s="17">
        <f t="shared" si="11"/>
        <v>41592.249305555553</v>
      </c>
      <c r="U112">
        <f>MONTH(Table1[[#This Row],[Launched]])</f>
        <v>10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8218</v>
      </c>
      <c r="G113" t="s">
        <v>8225</v>
      </c>
      <c r="H113" t="s">
        <v>8247</v>
      </c>
      <c r="I113" s="8">
        <v>1433059187</v>
      </c>
      <c r="J113">
        <v>1430467187</v>
      </c>
      <c r="K113" t="b">
        <v>0</v>
      </c>
      <c r="L113" s="10">
        <v>53</v>
      </c>
      <c r="M113" t="b">
        <v>1</v>
      </c>
      <c r="N113" t="s">
        <v>8264</v>
      </c>
      <c r="O113" s="11">
        <f t="shared" si="8"/>
        <v>155</v>
      </c>
      <c r="P113" s="12">
        <f t="shared" si="9"/>
        <v>102</v>
      </c>
      <c r="Q113" s="14" t="s">
        <v>8307</v>
      </c>
      <c r="R113" t="s">
        <v>8309</v>
      </c>
      <c r="S113" s="17">
        <f t="shared" si="10"/>
        <v>42125.333182870367</v>
      </c>
      <c r="T113" s="17">
        <f t="shared" si="11"/>
        <v>42155.333182870367</v>
      </c>
      <c r="U113">
        <f>MONTH(Table1[[#This Row],[Launched]])</f>
        <v>5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8218</v>
      </c>
      <c r="G114" t="s">
        <v>8223</v>
      </c>
      <c r="H114" t="s">
        <v>8245</v>
      </c>
      <c r="I114" s="8">
        <v>1397354400</v>
      </c>
      <c r="J114">
        <v>1395277318</v>
      </c>
      <c r="K114" t="b">
        <v>0</v>
      </c>
      <c r="L114" s="10">
        <v>81</v>
      </c>
      <c r="M114" t="b">
        <v>1</v>
      </c>
      <c r="N114" t="s">
        <v>8264</v>
      </c>
      <c r="O114" s="11">
        <f t="shared" si="8"/>
        <v>104</v>
      </c>
      <c r="P114" s="12">
        <f t="shared" si="9"/>
        <v>64</v>
      </c>
      <c r="Q114" s="14" t="s">
        <v>8307</v>
      </c>
      <c r="R114" t="s">
        <v>8309</v>
      </c>
      <c r="S114" s="17">
        <f t="shared" si="10"/>
        <v>41718.043032407404</v>
      </c>
      <c r="T114" s="17">
        <f t="shared" si="11"/>
        <v>41742.083333333336</v>
      </c>
      <c r="U114">
        <f>MONTH(Table1[[#This Row],[Launched]])</f>
        <v>3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8218</v>
      </c>
      <c r="G115" t="s">
        <v>8223</v>
      </c>
      <c r="H115" t="s">
        <v>8245</v>
      </c>
      <c r="I115" s="8">
        <v>1312642800</v>
      </c>
      <c r="J115">
        <v>1311963128</v>
      </c>
      <c r="K115" t="b">
        <v>0</v>
      </c>
      <c r="L115" s="10">
        <v>78</v>
      </c>
      <c r="M115" t="b">
        <v>1</v>
      </c>
      <c r="N115" t="s">
        <v>8264</v>
      </c>
      <c r="O115" s="11">
        <f t="shared" si="8"/>
        <v>141</v>
      </c>
      <c r="P115" s="12">
        <f t="shared" si="9"/>
        <v>90</v>
      </c>
      <c r="Q115" s="14" t="s">
        <v>8307</v>
      </c>
      <c r="R115" t="s">
        <v>8309</v>
      </c>
      <c r="S115" s="17">
        <f t="shared" si="10"/>
        <v>40753.758425925924</v>
      </c>
      <c r="T115" s="17">
        <f t="shared" si="11"/>
        <v>40761.625</v>
      </c>
      <c r="U115">
        <f>MONTH(Table1[[#This Row],[Launched]])</f>
        <v>7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8218</v>
      </c>
      <c r="G116" t="s">
        <v>8223</v>
      </c>
      <c r="H116" t="s">
        <v>8245</v>
      </c>
      <c r="I116" s="8">
        <v>1326436488</v>
      </c>
      <c r="J116">
        <v>1321252488</v>
      </c>
      <c r="K116" t="b">
        <v>0</v>
      </c>
      <c r="L116" s="10">
        <v>35</v>
      </c>
      <c r="M116" t="b">
        <v>1</v>
      </c>
      <c r="N116" t="s">
        <v>8264</v>
      </c>
      <c r="O116" s="11">
        <f t="shared" si="8"/>
        <v>103</v>
      </c>
      <c r="P116" s="12">
        <f t="shared" si="9"/>
        <v>89</v>
      </c>
      <c r="Q116" s="14" t="s">
        <v>8307</v>
      </c>
      <c r="R116" t="s">
        <v>8309</v>
      </c>
      <c r="S116" s="17">
        <f t="shared" si="10"/>
        <v>40861.27416666667</v>
      </c>
      <c r="T116" s="17">
        <f t="shared" si="11"/>
        <v>40921.27416666667</v>
      </c>
      <c r="U116">
        <f>MONTH(Table1[[#This Row],[Launched]])</f>
        <v>11</v>
      </c>
    </row>
    <row r="117" spans="1:21" ht="15.6" x14ac:dyDescent="0.3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8218</v>
      </c>
      <c r="G117" t="s">
        <v>8223</v>
      </c>
      <c r="H117" t="s">
        <v>8245</v>
      </c>
      <c r="I117" s="8">
        <v>1328377444</v>
      </c>
      <c r="J117">
        <v>1326217444</v>
      </c>
      <c r="K117" t="b">
        <v>0</v>
      </c>
      <c r="L117" s="10">
        <v>22</v>
      </c>
      <c r="M117" t="b">
        <v>1</v>
      </c>
      <c r="N117" t="s">
        <v>8264</v>
      </c>
      <c r="O117" s="11">
        <f t="shared" si="8"/>
        <v>140</v>
      </c>
      <c r="P117" s="12">
        <f t="shared" si="9"/>
        <v>29</v>
      </c>
      <c r="Q117" s="14" t="s">
        <v>8307</v>
      </c>
      <c r="R117" t="s">
        <v>8309</v>
      </c>
      <c r="S117" s="17">
        <f t="shared" si="10"/>
        <v>40918.738935185182</v>
      </c>
      <c r="T117" s="17">
        <f t="shared" si="11"/>
        <v>40943.738935185182</v>
      </c>
      <c r="U117">
        <f>MONTH(Table1[[#This Row],[Launched]])</f>
        <v>1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8218</v>
      </c>
      <c r="G118" t="s">
        <v>8223</v>
      </c>
      <c r="H118" t="s">
        <v>8245</v>
      </c>
      <c r="I118" s="8">
        <v>1302260155</v>
      </c>
      <c r="J118">
        <v>1298289355</v>
      </c>
      <c r="K118" t="b">
        <v>0</v>
      </c>
      <c r="L118" s="10">
        <v>57</v>
      </c>
      <c r="M118" t="b">
        <v>1</v>
      </c>
      <c r="N118" t="s">
        <v>8264</v>
      </c>
      <c r="O118" s="11">
        <f t="shared" si="8"/>
        <v>114</v>
      </c>
      <c r="P118" s="12">
        <f t="shared" si="9"/>
        <v>70</v>
      </c>
      <c r="Q118" s="14" t="s">
        <v>8307</v>
      </c>
      <c r="R118" t="s">
        <v>8309</v>
      </c>
      <c r="S118" s="17">
        <f t="shared" si="10"/>
        <v>40595.497164351851</v>
      </c>
      <c r="T118" s="17">
        <f t="shared" si="11"/>
        <v>40641.455497685187</v>
      </c>
      <c r="U118">
        <f>MONTH(Table1[[#This Row],[Launched]])</f>
        <v>2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8218</v>
      </c>
      <c r="G119" t="s">
        <v>8223</v>
      </c>
      <c r="H119" t="s">
        <v>8245</v>
      </c>
      <c r="I119" s="8">
        <v>1276110000</v>
      </c>
      <c r="J119">
        <v>1268337744</v>
      </c>
      <c r="K119" t="b">
        <v>0</v>
      </c>
      <c r="L119" s="10">
        <v>27</v>
      </c>
      <c r="M119" t="b">
        <v>1</v>
      </c>
      <c r="N119" t="s">
        <v>8264</v>
      </c>
      <c r="O119" s="11">
        <f t="shared" si="8"/>
        <v>100</v>
      </c>
      <c r="P119" s="12">
        <f t="shared" si="9"/>
        <v>167</v>
      </c>
      <c r="Q119" s="14" t="s">
        <v>8307</v>
      </c>
      <c r="R119" t="s">
        <v>8309</v>
      </c>
      <c r="S119" s="17">
        <f t="shared" si="10"/>
        <v>40248.834999999999</v>
      </c>
      <c r="T119" s="17">
        <f t="shared" si="11"/>
        <v>40338.791666666664</v>
      </c>
      <c r="U119">
        <f>MONTH(Table1[[#This Row],[Launched]])</f>
        <v>3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8218</v>
      </c>
      <c r="G120" t="s">
        <v>8223</v>
      </c>
      <c r="H120" t="s">
        <v>8245</v>
      </c>
      <c r="I120" s="8">
        <v>1311902236</v>
      </c>
      <c r="J120">
        <v>1309310236</v>
      </c>
      <c r="K120" t="b">
        <v>0</v>
      </c>
      <c r="L120" s="10">
        <v>39</v>
      </c>
      <c r="M120" t="b">
        <v>1</v>
      </c>
      <c r="N120" t="s">
        <v>8264</v>
      </c>
      <c r="O120" s="11">
        <f t="shared" si="8"/>
        <v>113</v>
      </c>
      <c r="P120" s="12">
        <f t="shared" si="9"/>
        <v>145</v>
      </c>
      <c r="Q120" s="14" t="s">
        <v>8307</v>
      </c>
      <c r="R120" t="s">
        <v>8309</v>
      </c>
      <c r="S120" s="17">
        <f t="shared" si="10"/>
        <v>40723.053657407407</v>
      </c>
      <c r="T120" s="17">
        <f t="shared" si="11"/>
        <v>40753.053657407407</v>
      </c>
      <c r="U120">
        <f>MONTH(Table1[[#This Row],[Launched]])</f>
        <v>6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8218</v>
      </c>
      <c r="G121" t="s">
        <v>8223</v>
      </c>
      <c r="H121" t="s">
        <v>8245</v>
      </c>
      <c r="I121" s="8">
        <v>1313276400</v>
      </c>
      <c r="J121">
        <v>1310693986</v>
      </c>
      <c r="K121" t="b">
        <v>0</v>
      </c>
      <c r="L121" s="10">
        <v>37</v>
      </c>
      <c r="M121" t="b">
        <v>1</v>
      </c>
      <c r="N121" t="s">
        <v>8264</v>
      </c>
      <c r="O121" s="11">
        <f t="shared" si="8"/>
        <v>105</v>
      </c>
      <c r="P121" s="12">
        <f t="shared" si="9"/>
        <v>92</v>
      </c>
      <c r="Q121" s="14" t="s">
        <v>8307</v>
      </c>
      <c r="R121" t="s">
        <v>8309</v>
      </c>
      <c r="S121" s="17">
        <f t="shared" si="10"/>
        <v>40739.069282407407</v>
      </c>
      <c r="T121" s="17">
        <f t="shared" si="11"/>
        <v>40768.958333333336</v>
      </c>
      <c r="U121">
        <f>MONTH(Table1[[#This Row],[Launched]])</f>
        <v>7</v>
      </c>
    </row>
    <row r="122" spans="1:21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8219</v>
      </c>
      <c r="G122" t="s">
        <v>8230</v>
      </c>
      <c r="H122" t="s">
        <v>8251</v>
      </c>
      <c r="I122" s="8">
        <v>1475457107</v>
      </c>
      <c r="J122">
        <v>1472865107</v>
      </c>
      <c r="K122" t="b">
        <v>0</v>
      </c>
      <c r="L122" s="10">
        <v>1</v>
      </c>
      <c r="M122" t="b">
        <v>0</v>
      </c>
      <c r="N122" t="s">
        <v>8265</v>
      </c>
      <c r="O122" s="11">
        <f t="shared" si="8"/>
        <v>0</v>
      </c>
      <c r="P122" s="12">
        <f t="shared" si="9"/>
        <v>10</v>
      </c>
      <c r="Q122" s="14" t="s">
        <v>8307</v>
      </c>
      <c r="R122" t="s">
        <v>8310</v>
      </c>
      <c r="S122" s="17">
        <f t="shared" si="10"/>
        <v>42616.049849537041</v>
      </c>
      <c r="T122" s="17">
        <f t="shared" si="11"/>
        <v>42646.049849537041</v>
      </c>
      <c r="U122">
        <f>MONTH(Table1[[#This Row],[Launched]])</f>
        <v>9</v>
      </c>
    </row>
    <row r="123" spans="1:21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8219</v>
      </c>
      <c r="G123" t="s">
        <v>8223</v>
      </c>
      <c r="H123" t="s">
        <v>8245</v>
      </c>
      <c r="I123" s="8">
        <v>1429352160</v>
      </c>
      <c r="J123">
        <v>1427993710</v>
      </c>
      <c r="K123" t="b">
        <v>0</v>
      </c>
      <c r="L123" s="10">
        <v>1</v>
      </c>
      <c r="M123" t="b">
        <v>0</v>
      </c>
      <c r="N123" t="s">
        <v>8265</v>
      </c>
      <c r="O123" s="11">
        <f t="shared" si="8"/>
        <v>0</v>
      </c>
      <c r="P123" s="12">
        <f t="shared" si="9"/>
        <v>1</v>
      </c>
      <c r="Q123" s="14" t="s">
        <v>8307</v>
      </c>
      <c r="R123" t="s">
        <v>8310</v>
      </c>
      <c r="S123" s="17">
        <f t="shared" si="10"/>
        <v>42096.704976851848</v>
      </c>
      <c r="T123" s="17">
        <f t="shared" si="11"/>
        <v>42112.427777777775</v>
      </c>
      <c r="U123">
        <f>MONTH(Table1[[#This Row],[Launched]])</f>
        <v>4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8219</v>
      </c>
      <c r="G124" t="s">
        <v>8223</v>
      </c>
      <c r="H124" t="s">
        <v>8245</v>
      </c>
      <c r="I124" s="8">
        <v>1476094907</v>
      </c>
      <c r="J124">
        <v>1470910907</v>
      </c>
      <c r="K124" t="b">
        <v>0</v>
      </c>
      <c r="L124" s="10">
        <v>0</v>
      </c>
      <c r="M124" t="b">
        <v>0</v>
      </c>
      <c r="N124" t="s">
        <v>8265</v>
      </c>
      <c r="O124" s="11">
        <f t="shared" si="8"/>
        <v>0</v>
      </c>
      <c r="P124" s="12" t="str">
        <f t="shared" si="9"/>
        <v>No Backers</v>
      </c>
      <c r="Q124" s="14" t="s">
        <v>8307</v>
      </c>
      <c r="R124" t="s">
        <v>8310</v>
      </c>
      <c r="S124" s="17">
        <f t="shared" si="10"/>
        <v>42593.431793981479</v>
      </c>
      <c r="T124" s="17">
        <f t="shared" si="11"/>
        <v>42653.431793981479</v>
      </c>
      <c r="U124">
        <f>MONTH(Table1[[#This Row],[Launched]])</f>
        <v>8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8219</v>
      </c>
      <c r="G125" t="s">
        <v>8223</v>
      </c>
      <c r="H125" t="s">
        <v>8245</v>
      </c>
      <c r="I125" s="8">
        <v>1414533600</v>
      </c>
      <c r="J125">
        <v>1411411564</v>
      </c>
      <c r="K125" t="b">
        <v>0</v>
      </c>
      <c r="L125" s="10">
        <v>6</v>
      </c>
      <c r="M125" t="b">
        <v>0</v>
      </c>
      <c r="N125" t="s">
        <v>8265</v>
      </c>
      <c r="O125" s="11">
        <f t="shared" si="8"/>
        <v>0</v>
      </c>
      <c r="P125" s="12">
        <f t="shared" si="9"/>
        <v>25</v>
      </c>
      <c r="Q125" s="14" t="s">
        <v>8307</v>
      </c>
      <c r="R125" t="s">
        <v>8310</v>
      </c>
      <c r="S125" s="17">
        <f t="shared" si="10"/>
        <v>41904.781990740739</v>
      </c>
      <c r="T125" s="17">
        <f t="shared" si="11"/>
        <v>41940.916666666664</v>
      </c>
      <c r="U125">
        <f>MONTH(Table1[[#This Row],[Launched]])</f>
        <v>9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8219</v>
      </c>
      <c r="G126" t="s">
        <v>8223</v>
      </c>
      <c r="H126" t="s">
        <v>8245</v>
      </c>
      <c r="I126" s="8">
        <v>1431728242</v>
      </c>
      <c r="J126">
        <v>1429568242</v>
      </c>
      <c r="K126" t="b">
        <v>0</v>
      </c>
      <c r="L126" s="10">
        <v>0</v>
      </c>
      <c r="M126" t="b">
        <v>0</v>
      </c>
      <c r="N126" t="s">
        <v>8265</v>
      </c>
      <c r="O126" s="11">
        <f t="shared" si="8"/>
        <v>0</v>
      </c>
      <c r="P126" s="12" t="str">
        <f t="shared" si="9"/>
        <v>No Backers</v>
      </c>
      <c r="Q126" s="14" t="s">
        <v>8307</v>
      </c>
      <c r="R126" t="s">
        <v>8310</v>
      </c>
      <c r="S126" s="17">
        <f t="shared" si="10"/>
        <v>42114.928726851853</v>
      </c>
      <c r="T126" s="17">
        <f t="shared" si="11"/>
        <v>42139.928726851853</v>
      </c>
      <c r="U126">
        <f>MONTH(Table1[[#This Row],[Launched]])</f>
        <v>4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8219</v>
      </c>
      <c r="G127" t="s">
        <v>8228</v>
      </c>
      <c r="H127" t="s">
        <v>8250</v>
      </c>
      <c r="I127" s="8">
        <v>1486165880</v>
      </c>
      <c r="J127">
        <v>1480981880</v>
      </c>
      <c r="K127" t="b">
        <v>0</v>
      </c>
      <c r="L127" s="10">
        <v>6</v>
      </c>
      <c r="M127" t="b">
        <v>0</v>
      </c>
      <c r="N127" t="s">
        <v>8265</v>
      </c>
      <c r="O127" s="11">
        <f t="shared" si="8"/>
        <v>14</v>
      </c>
      <c r="P127" s="12">
        <f t="shared" si="9"/>
        <v>12</v>
      </c>
      <c r="Q127" s="14" t="s">
        <v>8307</v>
      </c>
      <c r="R127" t="s">
        <v>8310</v>
      </c>
      <c r="S127" s="17">
        <f t="shared" si="10"/>
        <v>42709.993981481486</v>
      </c>
      <c r="T127" s="17">
        <f t="shared" si="11"/>
        <v>42769.993981481486</v>
      </c>
      <c r="U127">
        <f>MONTH(Table1[[#This Row],[Launched]])</f>
        <v>12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8219</v>
      </c>
      <c r="G128" t="s">
        <v>8223</v>
      </c>
      <c r="H128" t="s">
        <v>8245</v>
      </c>
      <c r="I128" s="8">
        <v>1433988000</v>
      </c>
      <c r="J128">
        <v>1431353337</v>
      </c>
      <c r="K128" t="b">
        <v>0</v>
      </c>
      <c r="L128" s="10">
        <v>13</v>
      </c>
      <c r="M128" t="b">
        <v>0</v>
      </c>
      <c r="N128" t="s">
        <v>8265</v>
      </c>
      <c r="O128" s="11">
        <f t="shared" si="8"/>
        <v>6</v>
      </c>
      <c r="P128" s="12">
        <f t="shared" si="9"/>
        <v>107</v>
      </c>
      <c r="Q128" s="14" t="s">
        <v>8307</v>
      </c>
      <c r="R128" t="s">
        <v>8310</v>
      </c>
      <c r="S128" s="17">
        <f t="shared" si="10"/>
        <v>42135.589548611111</v>
      </c>
      <c r="T128" s="17">
        <f t="shared" si="11"/>
        <v>42166.083333333328</v>
      </c>
      <c r="U128">
        <f>MONTH(Table1[[#This Row],[Launched]])</f>
        <v>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8219</v>
      </c>
      <c r="G129" t="s">
        <v>8223</v>
      </c>
      <c r="H129" t="s">
        <v>8245</v>
      </c>
      <c r="I129" s="8">
        <v>1428069541</v>
      </c>
      <c r="J129">
        <v>1425481141</v>
      </c>
      <c r="K129" t="b">
        <v>0</v>
      </c>
      <c r="L129" s="10">
        <v>4</v>
      </c>
      <c r="M129" t="b">
        <v>0</v>
      </c>
      <c r="N129" t="s">
        <v>8265</v>
      </c>
      <c r="O129" s="11">
        <f t="shared" si="8"/>
        <v>2</v>
      </c>
      <c r="P129" s="12">
        <f t="shared" si="9"/>
        <v>48</v>
      </c>
      <c r="Q129" s="14" t="s">
        <v>8307</v>
      </c>
      <c r="R129" t="s">
        <v>8310</v>
      </c>
      <c r="S129" s="17">
        <f t="shared" si="10"/>
        <v>42067.62431712963</v>
      </c>
      <c r="T129" s="17">
        <f t="shared" si="11"/>
        <v>42097.582650462966</v>
      </c>
      <c r="U129">
        <f>MONTH(Table1[[#This Row],[Launched]])</f>
        <v>3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8219</v>
      </c>
      <c r="G130" t="s">
        <v>8223</v>
      </c>
      <c r="H130" t="s">
        <v>8245</v>
      </c>
      <c r="I130" s="8">
        <v>1476941293</v>
      </c>
      <c r="J130">
        <v>1473917293</v>
      </c>
      <c r="K130" t="b">
        <v>0</v>
      </c>
      <c r="L130" s="10">
        <v>6</v>
      </c>
      <c r="M130" t="b">
        <v>0</v>
      </c>
      <c r="N130" t="s">
        <v>8265</v>
      </c>
      <c r="O130" s="11">
        <f t="shared" ref="O130:O193" si="12">ROUND(E130/D130*100,0)</f>
        <v>2</v>
      </c>
      <c r="P130" s="12">
        <f t="shared" si="9"/>
        <v>311</v>
      </c>
      <c r="Q130" s="14" t="s">
        <v>8307</v>
      </c>
      <c r="R130" t="s">
        <v>8310</v>
      </c>
      <c r="S130" s="17">
        <f t="shared" si="10"/>
        <v>42628.22792824074</v>
      </c>
      <c r="T130" s="17">
        <f t="shared" si="11"/>
        <v>42663.22792824074</v>
      </c>
      <c r="U130">
        <f>MONTH(Table1[[#This Row],[Launched]])</f>
        <v>9</v>
      </c>
    </row>
    <row r="131" spans="1:21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8219</v>
      </c>
      <c r="G131" t="s">
        <v>8223</v>
      </c>
      <c r="H131" t="s">
        <v>8245</v>
      </c>
      <c r="I131" s="8">
        <v>1414708183</v>
      </c>
      <c r="J131">
        <v>1409524183</v>
      </c>
      <c r="K131" t="b">
        <v>0</v>
      </c>
      <c r="L131" s="10">
        <v>0</v>
      </c>
      <c r="M131" t="b">
        <v>0</v>
      </c>
      <c r="N131" t="s">
        <v>8265</v>
      </c>
      <c r="O131" s="11">
        <f t="shared" si="12"/>
        <v>0</v>
      </c>
      <c r="P131" s="12" t="str">
        <f t="shared" ref="P131:P194" si="13">IFERROR(ROUND(E131/L131,),"No Backers")</f>
        <v>No Backers</v>
      </c>
      <c r="Q131" s="14" t="s">
        <v>8307</v>
      </c>
      <c r="R131" t="s">
        <v>8310</v>
      </c>
      <c r="S131" s="17">
        <f t="shared" ref="S131:S194" si="14">(((J131/60)/60)/24)+DATE(1970,1,1)</f>
        <v>41882.937303240738</v>
      </c>
      <c r="T131" s="17">
        <f t="shared" ref="T131:T194" si="15">(((I131/60)/60)/24)+DATE(1970,1,1)</f>
        <v>41942.937303240738</v>
      </c>
      <c r="U131">
        <f>MONTH(Table1[[#This Row],[Launched]])</f>
        <v>8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8219</v>
      </c>
      <c r="G132" t="s">
        <v>8224</v>
      </c>
      <c r="H132" t="s">
        <v>8246</v>
      </c>
      <c r="I132" s="8">
        <v>1402949760</v>
      </c>
      <c r="J132">
        <v>1400536692</v>
      </c>
      <c r="K132" t="b">
        <v>0</v>
      </c>
      <c r="L132" s="10">
        <v>0</v>
      </c>
      <c r="M132" t="b">
        <v>0</v>
      </c>
      <c r="N132" t="s">
        <v>8265</v>
      </c>
      <c r="O132" s="11">
        <f t="shared" si="12"/>
        <v>0</v>
      </c>
      <c r="P132" s="12" t="str">
        <f t="shared" si="13"/>
        <v>No Backers</v>
      </c>
      <c r="Q132" s="14" t="s">
        <v>8307</v>
      </c>
      <c r="R132" t="s">
        <v>8310</v>
      </c>
      <c r="S132" s="17">
        <f t="shared" si="14"/>
        <v>41778.915416666663</v>
      </c>
      <c r="T132" s="17">
        <f t="shared" si="15"/>
        <v>41806.844444444447</v>
      </c>
      <c r="U132">
        <f>MONTH(Table1[[#This Row],[Launched]])</f>
        <v>5</v>
      </c>
    </row>
    <row r="133" spans="1:21" ht="15.6" x14ac:dyDescent="0.3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8219</v>
      </c>
      <c r="G133" t="s">
        <v>8223</v>
      </c>
      <c r="H133" t="s">
        <v>8245</v>
      </c>
      <c r="I133" s="8">
        <v>1467763200</v>
      </c>
      <c r="J133">
        <v>1466453161</v>
      </c>
      <c r="K133" t="b">
        <v>0</v>
      </c>
      <c r="L133" s="10">
        <v>0</v>
      </c>
      <c r="M133" t="b">
        <v>0</v>
      </c>
      <c r="N133" t="s">
        <v>8265</v>
      </c>
      <c r="O133" s="11">
        <f t="shared" si="12"/>
        <v>0</v>
      </c>
      <c r="P133" s="12" t="str">
        <f t="shared" si="13"/>
        <v>No Backers</v>
      </c>
      <c r="Q133" s="14" t="s">
        <v>8307</v>
      </c>
      <c r="R133" t="s">
        <v>8310</v>
      </c>
      <c r="S133" s="17">
        <f t="shared" si="14"/>
        <v>42541.837511574078</v>
      </c>
      <c r="T133" s="17">
        <f t="shared" si="15"/>
        <v>42557</v>
      </c>
      <c r="U133">
        <f>MONTH(Table1[[#This Row],[Launched]])</f>
        <v>6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8219</v>
      </c>
      <c r="G134" t="s">
        <v>8223</v>
      </c>
      <c r="H134" t="s">
        <v>8245</v>
      </c>
      <c r="I134" s="8">
        <v>1415392207</v>
      </c>
      <c r="J134">
        <v>1411500607</v>
      </c>
      <c r="K134" t="b">
        <v>0</v>
      </c>
      <c r="L134" s="10">
        <v>81</v>
      </c>
      <c r="M134" t="b">
        <v>0</v>
      </c>
      <c r="N134" t="s">
        <v>8265</v>
      </c>
      <c r="O134" s="11">
        <f t="shared" si="12"/>
        <v>10</v>
      </c>
      <c r="P134" s="12">
        <f t="shared" si="13"/>
        <v>95</v>
      </c>
      <c r="Q134" s="14" t="s">
        <v>8307</v>
      </c>
      <c r="R134" t="s">
        <v>8310</v>
      </c>
      <c r="S134" s="17">
        <f t="shared" si="14"/>
        <v>41905.812581018516</v>
      </c>
      <c r="T134" s="17">
        <f t="shared" si="15"/>
        <v>41950.854247685187</v>
      </c>
      <c r="U134">
        <f>MONTH(Table1[[#This Row],[Launched]])</f>
        <v>9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8219</v>
      </c>
      <c r="G135" t="s">
        <v>8223</v>
      </c>
      <c r="H135" t="s">
        <v>8245</v>
      </c>
      <c r="I135" s="8">
        <v>1464715860</v>
      </c>
      <c r="J135">
        <v>1462130584</v>
      </c>
      <c r="K135" t="b">
        <v>0</v>
      </c>
      <c r="L135" s="10">
        <v>0</v>
      </c>
      <c r="M135" t="b">
        <v>0</v>
      </c>
      <c r="N135" t="s">
        <v>8265</v>
      </c>
      <c r="O135" s="11">
        <f t="shared" si="12"/>
        <v>0</v>
      </c>
      <c r="P135" s="12" t="str">
        <f t="shared" si="13"/>
        <v>No Backers</v>
      </c>
      <c r="Q135" s="14" t="s">
        <v>8307</v>
      </c>
      <c r="R135" t="s">
        <v>8310</v>
      </c>
      <c r="S135" s="17">
        <f t="shared" si="14"/>
        <v>42491.80768518518</v>
      </c>
      <c r="T135" s="17">
        <f t="shared" si="15"/>
        <v>42521.729861111111</v>
      </c>
      <c r="U135">
        <f>MONTH(Table1[[#This Row],[Launched]])</f>
        <v>5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8219</v>
      </c>
      <c r="G136" t="s">
        <v>8223</v>
      </c>
      <c r="H136" t="s">
        <v>8245</v>
      </c>
      <c r="I136" s="8">
        <v>1441386000</v>
      </c>
      <c r="J136">
        <v>1438811418</v>
      </c>
      <c r="K136" t="b">
        <v>0</v>
      </c>
      <c r="L136" s="10">
        <v>0</v>
      </c>
      <c r="M136" t="b">
        <v>0</v>
      </c>
      <c r="N136" t="s">
        <v>8265</v>
      </c>
      <c r="O136" s="11">
        <f t="shared" si="12"/>
        <v>0</v>
      </c>
      <c r="P136" s="12" t="str">
        <f t="shared" si="13"/>
        <v>No Backers</v>
      </c>
      <c r="Q136" s="14" t="s">
        <v>8307</v>
      </c>
      <c r="R136" t="s">
        <v>8310</v>
      </c>
      <c r="S136" s="17">
        <f t="shared" si="14"/>
        <v>42221.909930555557</v>
      </c>
      <c r="T136" s="17">
        <f t="shared" si="15"/>
        <v>42251.708333333328</v>
      </c>
      <c r="U136">
        <f>MONTH(Table1[[#This Row],[Launched]])</f>
        <v>8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8219</v>
      </c>
      <c r="G137" t="s">
        <v>8223</v>
      </c>
      <c r="H137" t="s">
        <v>8245</v>
      </c>
      <c r="I137" s="8">
        <v>1404241200</v>
      </c>
      <c r="J137">
        <v>1401354597</v>
      </c>
      <c r="K137" t="b">
        <v>0</v>
      </c>
      <c r="L137" s="10">
        <v>5</v>
      </c>
      <c r="M137" t="b">
        <v>0</v>
      </c>
      <c r="N137" t="s">
        <v>8265</v>
      </c>
      <c r="O137" s="11">
        <f t="shared" si="12"/>
        <v>13</v>
      </c>
      <c r="P137" s="12">
        <f t="shared" si="13"/>
        <v>81</v>
      </c>
      <c r="Q137" s="14" t="s">
        <v>8307</v>
      </c>
      <c r="R137" t="s">
        <v>8310</v>
      </c>
      <c r="S137" s="17">
        <f t="shared" si="14"/>
        <v>41788.381909722222</v>
      </c>
      <c r="T137" s="17">
        <f t="shared" si="15"/>
        <v>41821.791666666664</v>
      </c>
      <c r="U137">
        <f>MONTH(Table1[[#This Row],[Launched]])</f>
        <v>5</v>
      </c>
    </row>
    <row r="138" spans="1:21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8219</v>
      </c>
      <c r="G138" t="s">
        <v>8223</v>
      </c>
      <c r="H138" t="s">
        <v>8245</v>
      </c>
      <c r="I138" s="8">
        <v>1431771360</v>
      </c>
      <c r="J138">
        <v>1427968234</v>
      </c>
      <c r="K138" t="b">
        <v>0</v>
      </c>
      <c r="L138" s="10">
        <v>0</v>
      </c>
      <c r="M138" t="b">
        <v>0</v>
      </c>
      <c r="N138" t="s">
        <v>8265</v>
      </c>
      <c r="O138" s="11">
        <f t="shared" si="12"/>
        <v>0</v>
      </c>
      <c r="P138" s="12" t="str">
        <f t="shared" si="13"/>
        <v>No Backers</v>
      </c>
      <c r="Q138" s="14" t="s">
        <v>8307</v>
      </c>
      <c r="R138" t="s">
        <v>8310</v>
      </c>
      <c r="S138" s="17">
        <f t="shared" si="14"/>
        <v>42096.410115740742</v>
      </c>
      <c r="T138" s="17">
        <f t="shared" si="15"/>
        <v>42140.427777777775</v>
      </c>
      <c r="U138">
        <f>MONTH(Table1[[#This Row],[Launched]])</f>
        <v>4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8219</v>
      </c>
      <c r="G139" t="s">
        <v>8231</v>
      </c>
      <c r="H139" t="s">
        <v>8252</v>
      </c>
      <c r="I139" s="8">
        <v>1444657593</v>
      </c>
      <c r="J139">
        <v>1440337593</v>
      </c>
      <c r="K139" t="b">
        <v>0</v>
      </c>
      <c r="L139" s="10">
        <v>0</v>
      </c>
      <c r="M139" t="b">
        <v>0</v>
      </c>
      <c r="N139" t="s">
        <v>8265</v>
      </c>
      <c r="O139" s="11">
        <f t="shared" si="12"/>
        <v>0</v>
      </c>
      <c r="P139" s="12" t="str">
        <f t="shared" si="13"/>
        <v>No Backers</v>
      </c>
      <c r="Q139" s="14" t="s">
        <v>8307</v>
      </c>
      <c r="R139" t="s">
        <v>8310</v>
      </c>
      <c r="S139" s="17">
        <f t="shared" si="14"/>
        <v>42239.573993055557</v>
      </c>
      <c r="T139" s="17">
        <f t="shared" si="15"/>
        <v>42289.573993055557</v>
      </c>
      <c r="U139">
        <f>MONTH(Table1[[#This Row],[Launched]])</f>
        <v>8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8219</v>
      </c>
      <c r="G140" t="s">
        <v>8223</v>
      </c>
      <c r="H140" t="s">
        <v>8245</v>
      </c>
      <c r="I140" s="8">
        <v>1438405140</v>
      </c>
      <c r="J140">
        <v>1435731041</v>
      </c>
      <c r="K140" t="b">
        <v>0</v>
      </c>
      <c r="L140" s="10">
        <v>58</v>
      </c>
      <c r="M140" t="b">
        <v>0</v>
      </c>
      <c r="N140" t="s">
        <v>8265</v>
      </c>
      <c r="O140" s="11">
        <f t="shared" si="12"/>
        <v>3</v>
      </c>
      <c r="P140" s="12">
        <f t="shared" si="13"/>
        <v>81</v>
      </c>
      <c r="Q140" s="14" t="s">
        <v>8307</v>
      </c>
      <c r="R140" t="s">
        <v>8310</v>
      </c>
      <c r="S140" s="17">
        <f t="shared" si="14"/>
        <v>42186.257418981477</v>
      </c>
      <c r="T140" s="17">
        <f t="shared" si="15"/>
        <v>42217.207638888889</v>
      </c>
      <c r="U140">
        <f>MONTH(Table1[[#This Row],[Launched]])</f>
        <v>7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8219</v>
      </c>
      <c r="G141" t="s">
        <v>8223</v>
      </c>
      <c r="H141" t="s">
        <v>8245</v>
      </c>
      <c r="I141" s="8">
        <v>1436738772</v>
      </c>
      <c r="J141">
        <v>1435874772</v>
      </c>
      <c r="K141" t="b">
        <v>0</v>
      </c>
      <c r="L141" s="10">
        <v>1</v>
      </c>
      <c r="M141" t="b">
        <v>0</v>
      </c>
      <c r="N141" t="s">
        <v>8265</v>
      </c>
      <c r="O141" s="11">
        <f t="shared" si="12"/>
        <v>100</v>
      </c>
      <c r="P141" s="12">
        <f t="shared" si="13"/>
        <v>500</v>
      </c>
      <c r="Q141" s="14" t="s">
        <v>8307</v>
      </c>
      <c r="R141" t="s">
        <v>8310</v>
      </c>
      <c r="S141" s="17">
        <f t="shared" si="14"/>
        <v>42187.920972222222</v>
      </c>
      <c r="T141" s="17">
        <f t="shared" si="15"/>
        <v>42197.920972222222</v>
      </c>
      <c r="U141">
        <f>MONTH(Table1[[#This Row],[Launched]])</f>
        <v>7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8219</v>
      </c>
      <c r="G142" t="s">
        <v>8223</v>
      </c>
      <c r="H142" t="s">
        <v>8245</v>
      </c>
      <c r="I142" s="8">
        <v>1426823132</v>
      </c>
      <c r="J142">
        <v>1424234732</v>
      </c>
      <c r="K142" t="b">
        <v>0</v>
      </c>
      <c r="L142" s="10">
        <v>0</v>
      </c>
      <c r="M142" t="b">
        <v>0</v>
      </c>
      <c r="N142" t="s">
        <v>8265</v>
      </c>
      <c r="O142" s="11">
        <f t="shared" si="12"/>
        <v>0</v>
      </c>
      <c r="P142" s="12" t="str">
        <f t="shared" si="13"/>
        <v>No Backers</v>
      </c>
      <c r="Q142" s="14" t="s">
        <v>8307</v>
      </c>
      <c r="R142" t="s">
        <v>8310</v>
      </c>
      <c r="S142" s="17">
        <f t="shared" si="14"/>
        <v>42053.198287037041</v>
      </c>
      <c r="T142" s="17">
        <f t="shared" si="15"/>
        <v>42083.15662037037</v>
      </c>
      <c r="U142">
        <f>MONTH(Table1[[#This Row],[Launched]])</f>
        <v>2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8219</v>
      </c>
      <c r="G143" t="s">
        <v>8223</v>
      </c>
      <c r="H143" t="s">
        <v>8245</v>
      </c>
      <c r="I143" s="8">
        <v>1433043623</v>
      </c>
      <c r="J143">
        <v>1429155623</v>
      </c>
      <c r="K143" t="b">
        <v>0</v>
      </c>
      <c r="L143" s="10">
        <v>28</v>
      </c>
      <c r="M143" t="b">
        <v>0</v>
      </c>
      <c r="N143" t="s">
        <v>8265</v>
      </c>
      <c r="O143" s="11">
        <f t="shared" si="12"/>
        <v>11</v>
      </c>
      <c r="P143" s="12">
        <f t="shared" si="13"/>
        <v>46</v>
      </c>
      <c r="Q143" s="14" t="s">
        <v>8307</v>
      </c>
      <c r="R143" t="s">
        <v>8310</v>
      </c>
      <c r="S143" s="17">
        <f t="shared" si="14"/>
        <v>42110.153043981481</v>
      </c>
      <c r="T143" s="17">
        <f t="shared" si="15"/>
        <v>42155.153043981481</v>
      </c>
      <c r="U143">
        <f>MONTH(Table1[[#This Row],[Launched]])</f>
        <v>4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8219</v>
      </c>
      <c r="G144" t="s">
        <v>8223</v>
      </c>
      <c r="H144" t="s">
        <v>8245</v>
      </c>
      <c r="I144" s="8">
        <v>1416176778</v>
      </c>
      <c r="J144">
        <v>1414358778</v>
      </c>
      <c r="K144" t="b">
        <v>0</v>
      </c>
      <c r="L144" s="10">
        <v>1</v>
      </c>
      <c r="M144" t="b">
        <v>0</v>
      </c>
      <c r="N144" t="s">
        <v>8265</v>
      </c>
      <c r="O144" s="11">
        <f t="shared" si="12"/>
        <v>0</v>
      </c>
      <c r="P144" s="12">
        <f t="shared" si="13"/>
        <v>10</v>
      </c>
      <c r="Q144" s="14" t="s">
        <v>8307</v>
      </c>
      <c r="R144" t="s">
        <v>8310</v>
      </c>
      <c r="S144" s="17">
        <f t="shared" si="14"/>
        <v>41938.893263888887</v>
      </c>
      <c r="T144" s="17">
        <f t="shared" si="15"/>
        <v>41959.934930555552</v>
      </c>
      <c r="U144">
        <f>MONTH(Table1[[#This Row],[Launched]])</f>
        <v>10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8219</v>
      </c>
      <c r="G145" t="s">
        <v>8225</v>
      </c>
      <c r="H145" t="s">
        <v>8247</v>
      </c>
      <c r="I145" s="8">
        <v>1472882100</v>
      </c>
      <c r="J145">
        <v>1467941542</v>
      </c>
      <c r="K145" t="b">
        <v>0</v>
      </c>
      <c r="L145" s="10">
        <v>0</v>
      </c>
      <c r="M145" t="b">
        <v>0</v>
      </c>
      <c r="N145" t="s">
        <v>8265</v>
      </c>
      <c r="O145" s="11">
        <f t="shared" si="12"/>
        <v>0</v>
      </c>
      <c r="P145" s="12" t="str">
        <f t="shared" si="13"/>
        <v>No Backers</v>
      </c>
      <c r="Q145" s="14" t="s">
        <v>8307</v>
      </c>
      <c r="R145" t="s">
        <v>8310</v>
      </c>
      <c r="S145" s="17">
        <f t="shared" si="14"/>
        <v>42559.064143518524</v>
      </c>
      <c r="T145" s="17">
        <f t="shared" si="15"/>
        <v>42616.246527777781</v>
      </c>
      <c r="U145">
        <f>MONTH(Table1[[#This Row],[Launched]])</f>
        <v>7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8219</v>
      </c>
      <c r="G146" t="s">
        <v>8228</v>
      </c>
      <c r="H146" t="s">
        <v>8250</v>
      </c>
      <c r="I146" s="8">
        <v>1428945472</v>
      </c>
      <c r="J146">
        <v>1423765072</v>
      </c>
      <c r="K146" t="b">
        <v>0</v>
      </c>
      <c r="L146" s="10">
        <v>37</v>
      </c>
      <c r="M146" t="b">
        <v>0</v>
      </c>
      <c r="N146" t="s">
        <v>8265</v>
      </c>
      <c r="O146" s="11">
        <f t="shared" si="12"/>
        <v>28</v>
      </c>
      <c r="P146" s="12">
        <f t="shared" si="13"/>
        <v>56</v>
      </c>
      <c r="Q146" s="14" t="s">
        <v>8307</v>
      </c>
      <c r="R146" t="s">
        <v>8310</v>
      </c>
      <c r="S146" s="17">
        <f t="shared" si="14"/>
        <v>42047.762407407412</v>
      </c>
      <c r="T146" s="17">
        <f t="shared" si="15"/>
        <v>42107.72074074074</v>
      </c>
      <c r="U146">
        <f>MONTH(Table1[[#This Row],[Launched]])</f>
        <v>2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8219</v>
      </c>
      <c r="G147" t="s">
        <v>8223</v>
      </c>
      <c r="H147" t="s">
        <v>8245</v>
      </c>
      <c r="I147" s="8">
        <v>1439298052</v>
      </c>
      <c r="J147">
        <v>1436965252</v>
      </c>
      <c r="K147" t="b">
        <v>0</v>
      </c>
      <c r="L147" s="10">
        <v>9</v>
      </c>
      <c r="M147" t="b">
        <v>0</v>
      </c>
      <c r="N147" t="s">
        <v>8265</v>
      </c>
      <c r="O147" s="11">
        <f t="shared" si="12"/>
        <v>8</v>
      </c>
      <c r="P147" s="12">
        <f t="shared" si="13"/>
        <v>38</v>
      </c>
      <c r="Q147" s="14" t="s">
        <v>8307</v>
      </c>
      <c r="R147" t="s">
        <v>8310</v>
      </c>
      <c r="S147" s="17">
        <f t="shared" si="14"/>
        <v>42200.542268518519</v>
      </c>
      <c r="T147" s="17">
        <f t="shared" si="15"/>
        <v>42227.542268518519</v>
      </c>
      <c r="U147">
        <f>MONTH(Table1[[#This Row],[Launched]])</f>
        <v>7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8219</v>
      </c>
      <c r="G148" t="s">
        <v>8223</v>
      </c>
      <c r="H148" t="s">
        <v>8245</v>
      </c>
      <c r="I148" s="8">
        <v>1484698998</v>
      </c>
      <c r="J148">
        <v>1479514998</v>
      </c>
      <c r="K148" t="b">
        <v>0</v>
      </c>
      <c r="L148" s="10">
        <v>3</v>
      </c>
      <c r="M148" t="b">
        <v>0</v>
      </c>
      <c r="N148" t="s">
        <v>8265</v>
      </c>
      <c r="O148" s="11">
        <f t="shared" si="12"/>
        <v>1</v>
      </c>
      <c r="P148" s="12">
        <f t="shared" si="13"/>
        <v>38</v>
      </c>
      <c r="Q148" s="14" t="s">
        <v>8307</v>
      </c>
      <c r="R148" t="s">
        <v>8310</v>
      </c>
      <c r="S148" s="17">
        <f t="shared" si="14"/>
        <v>42693.016180555554</v>
      </c>
      <c r="T148" s="17">
        <f t="shared" si="15"/>
        <v>42753.016180555554</v>
      </c>
      <c r="U148">
        <f>MONTH(Table1[[#This Row],[Launched]])</f>
        <v>11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8219</v>
      </c>
      <c r="G149" t="s">
        <v>8224</v>
      </c>
      <c r="H149" t="s">
        <v>8246</v>
      </c>
      <c r="I149" s="8">
        <v>1420741080</v>
      </c>
      <c r="J149">
        <v>1417026340</v>
      </c>
      <c r="K149" t="b">
        <v>0</v>
      </c>
      <c r="L149" s="10">
        <v>0</v>
      </c>
      <c r="M149" t="b">
        <v>0</v>
      </c>
      <c r="N149" t="s">
        <v>8265</v>
      </c>
      <c r="O149" s="11">
        <f t="shared" si="12"/>
        <v>0</v>
      </c>
      <c r="P149" s="12" t="str">
        <f t="shared" si="13"/>
        <v>No Backers</v>
      </c>
      <c r="Q149" s="14" t="s">
        <v>8307</v>
      </c>
      <c r="R149" t="s">
        <v>8310</v>
      </c>
      <c r="S149" s="17">
        <f t="shared" si="14"/>
        <v>41969.767824074079</v>
      </c>
      <c r="T149" s="17">
        <f t="shared" si="15"/>
        <v>42012.762499999997</v>
      </c>
      <c r="U149">
        <f>MONTH(Table1[[#This Row],[Launched]])</f>
        <v>11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8219</v>
      </c>
      <c r="G150" t="s">
        <v>8223</v>
      </c>
      <c r="H150" t="s">
        <v>8245</v>
      </c>
      <c r="I150" s="8">
        <v>1456555536</v>
      </c>
      <c r="J150">
        <v>1453963536</v>
      </c>
      <c r="K150" t="b">
        <v>0</v>
      </c>
      <c r="L150" s="10">
        <v>2</v>
      </c>
      <c r="M150" t="b">
        <v>0</v>
      </c>
      <c r="N150" t="s">
        <v>8265</v>
      </c>
      <c r="O150" s="11">
        <f t="shared" si="12"/>
        <v>0</v>
      </c>
      <c r="P150" s="12">
        <f t="shared" si="13"/>
        <v>20</v>
      </c>
      <c r="Q150" s="14" t="s">
        <v>8307</v>
      </c>
      <c r="R150" t="s">
        <v>8310</v>
      </c>
      <c r="S150" s="17">
        <f t="shared" si="14"/>
        <v>42397.281666666662</v>
      </c>
      <c r="T150" s="17">
        <f t="shared" si="15"/>
        <v>42427.281666666662</v>
      </c>
      <c r="U150">
        <f>MONTH(Table1[[#This Row],[Launched]])</f>
        <v>1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8219</v>
      </c>
      <c r="G151" t="s">
        <v>8223</v>
      </c>
      <c r="H151" t="s">
        <v>8245</v>
      </c>
      <c r="I151" s="8">
        <v>1419494400</v>
      </c>
      <c r="J151">
        <v>1416888470</v>
      </c>
      <c r="K151" t="b">
        <v>0</v>
      </c>
      <c r="L151" s="10">
        <v>6</v>
      </c>
      <c r="M151" t="b">
        <v>0</v>
      </c>
      <c r="N151" t="s">
        <v>8265</v>
      </c>
      <c r="O151" s="11">
        <f t="shared" si="12"/>
        <v>1</v>
      </c>
      <c r="P151" s="12">
        <f t="shared" si="13"/>
        <v>15</v>
      </c>
      <c r="Q151" s="14" t="s">
        <v>8307</v>
      </c>
      <c r="R151" t="s">
        <v>8310</v>
      </c>
      <c r="S151" s="17">
        <f t="shared" si="14"/>
        <v>41968.172106481477</v>
      </c>
      <c r="T151" s="17">
        <f t="shared" si="15"/>
        <v>41998.333333333328</v>
      </c>
      <c r="U151">
        <f>MONTH(Table1[[#This Row],[Launched]])</f>
        <v>11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8219</v>
      </c>
      <c r="G152" t="s">
        <v>8223</v>
      </c>
      <c r="H152" t="s">
        <v>8245</v>
      </c>
      <c r="I152" s="8">
        <v>1432612382</v>
      </c>
      <c r="J152">
        <v>1427428382</v>
      </c>
      <c r="K152" t="b">
        <v>0</v>
      </c>
      <c r="L152" s="10">
        <v>67</v>
      </c>
      <c r="M152" t="b">
        <v>0</v>
      </c>
      <c r="N152" t="s">
        <v>8265</v>
      </c>
      <c r="O152" s="11">
        <f t="shared" si="12"/>
        <v>23</v>
      </c>
      <c r="P152" s="12">
        <f t="shared" si="13"/>
        <v>449</v>
      </c>
      <c r="Q152" s="14" t="s">
        <v>8307</v>
      </c>
      <c r="R152" t="s">
        <v>8310</v>
      </c>
      <c r="S152" s="17">
        <f t="shared" si="14"/>
        <v>42090.161828703705</v>
      </c>
      <c r="T152" s="17">
        <f t="shared" si="15"/>
        <v>42150.161828703705</v>
      </c>
      <c r="U152">
        <f>MONTH(Table1[[#This Row],[Launched]])</f>
        <v>3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8219</v>
      </c>
      <c r="G153" t="s">
        <v>8225</v>
      </c>
      <c r="H153" t="s">
        <v>8247</v>
      </c>
      <c r="I153" s="8">
        <v>1434633191</v>
      </c>
      <c r="J153">
        <v>1429449191</v>
      </c>
      <c r="K153" t="b">
        <v>0</v>
      </c>
      <c r="L153" s="10">
        <v>5</v>
      </c>
      <c r="M153" t="b">
        <v>0</v>
      </c>
      <c r="N153" t="s">
        <v>8265</v>
      </c>
      <c r="O153" s="11">
        <f t="shared" si="12"/>
        <v>0</v>
      </c>
      <c r="P153" s="12">
        <f t="shared" si="13"/>
        <v>28</v>
      </c>
      <c r="Q153" s="14" t="s">
        <v>8307</v>
      </c>
      <c r="R153" t="s">
        <v>8310</v>
      </c>
      <c r="S153" s="17">
        <f t="shared" si="14"/>
        <v>42113.550821759258</v>
      </c>
      <c r="T153" s="17">
        <f t="shared" si="15"/>
        <v>42173.550821759258</v>
      </c>
      <c r="U153">
        <f>MONTH(Table1[[#This Row],[Launched]])</f>
        <v>4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8219</v>
      </c>
      <c r="G154" t="s">
        <v>8223</v>
      </c>
      <c r="H154" t="s">
        <v>8245</v>
      </c>
      <c r="I154" s="8">
        <v>1411437100</v>
      </c>
      <c r="J154">
        <v>1408845100</v>
      </c>
      <c r="K154" t="b">
        <v>0</v>
      </c>
      <c r="L154" s="10">
        <v>2</v>
      </c>
      <c r="M154" t="b">
        <v>0</v>
      </c>
      <c r="N154" t="s">
        <v>8265</v>
      </c>
      <c r="O154" s="11">
        <f t="shared" si="12"/>
        <v>0</v>
      </c>
      <c r="P154" s="12">
        <f t="shared" si="13"/>
        <v>15</v>
      </c>
      <c r="Q154" s="14" t="s">
        <v>8307</v>
      </c>
      <c r="R154" t="s">
        <v>8310</v>
      </c>
      <c r="S154" s="17">
        <f t="shared" si="14"/>
        <v>41875.077546296299</v>
      </c>
      <c r="T154" s="17">
        <f t="shared" si="15"/>
        <v>41905.077546296299</v>
      </c>
      <c r="U154">
        <f>MONTH(Table1[[#This Row],[Launched]])</f>
        <v>8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8219</v>
      </c>
      <c r="G155" t="s">
        <v>8223</v>
      </c>
      <c r="H155" t="s">
        <v>8245</v>
      </c>
      <c r="I155" s="8">
        <v>1417532644</v>
      </c>
      <c r="J155">
        <v>1413900244</v>
      </c>
      <c r="K155" t="b">
        <v>0</v>
      </c>
      <c r="L155" s="10">
        <v>10</v>
      </c>
      <c r="M155" t="b">
        <v>0</v>
      </c>
      <c r="N155" t="s">
        <v>8265</v>
      </c>
      <c r="O155" s="11">
        <f t="shared" si="12"/>
        <v>1</v>
      </c>
      <c r="P155" s="12">
        <f t="shared" si="13"/>
        <v>36</v>
      </c>
      <c r="Q155" s="14" t="s">
        <v>8307</v>
      </c>
      <c r="R155" t="s">
        <v>8310</v>
      </c>
      <c r="S155" s="17">
        <f t="shared" si="14"/>
        <v>41933.586157407408</v>
      </c>
      <c r="T155" s="17">
        <f t="shared" si="15"/>
        <v>41975.627824074079</v>
      </c>
      <c r="U155">
        <f>MONTH(Table1[[#This Row],[Launched]])</f>
        <v>10</v>
      </c>
    </row>
    <row r="156" spans="1:21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8219</v>
      </c>
      <c r="G156" t="s">
        <v>8223</v>
      </c>
      <c r="H156" t="s">
        <v>8245</v>
      </c>
      <c r="I156" s="8">
        <v>1433336895</v>
      </c>
      <c r="J156">
        <v>1429621695</v>
      </c>
      <c r="K156" t="b">
        <v>0</v>
      </c>
      <c r="L156" s="10">
        <v>3</v>
      </c>
      <c r="M156" t="b">
        <v>0</v>
      </c>
      <c r="N156" t="s">
        <v>8265</v>
      </c>
      <c r="O156" s="11">
        <f t="shared" si="12"/>
        <v>3</v>
      </c>
      <c r="P156" s="12">
        <f t="shared" si="13"/>
        <v>13</v>
      </c>
      <c r="Q156" s="14" t="s">
        <v>8307</v>
      </c>
      <c r="R156" t="s">
        <v>8310</v>
      </c>
      <c r="S156" s="17">
        <f t="shared" si="14"/>
        <v>42115.547395833331</v>
      </c>
      <c r="T156" s="17">
        <f t="shared" si="15"/>
        <v>42158.547395833331</v>
      </c>
      <c r="U156">
        <f>MONTH(Table1[[#This Row],[Launched]])</f>
        <v>4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8219</v>
      </c>
      <c r="G157" t="s">
        <v>8223</v>
      </c>
      <c r="H157" t="s">
        <v>8245</v>
      </c>
      <c r="I157" s="8">
        <v>1437657935</v>
      </c>
      <c r="J157">
        <v>1434201935</v>
      </c>
      <c r="K157" t="b">
        <v>0</v>
      </c>
      <c r="L157" s="10">
        <v>4</v>
      </c>
      <c r="M157" t="b">
        <v>0</v>
      </c>
      <c r="N157" t="s">
        <v>8265</v>
      </c>
      <c r="O157" s="11">
        <f t="shared" si="12"/>
        <v>0</v>
      </c>
      <c r="P157" s="12">
        <f t="shared" si="13"/>
        <v>20</v>
      </c>
      <c r="Q157" s="14" t="s">
        <v>8307</v>
      </c>
      <c r="R157" t="s">
        <v>8310</v>
      </c>
      <c r="S157" s="17">
        <f t="shared" si="14"/>
        <v>42168.559432870374</v>
      </c>
      <c r="T157" s="17">
        <f t="shared" si="15"/>
        <v>42208.559432870374</v>
      </c>
      <c r="U157">
        <f>MONTH(Table1[[#This Row],[Launched]])</f>
        <v>6</v>
      </c>
    </row>
    <row r="158" spans="1:21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8219</v>
      </c>
      <c r="G158" t="s">
        <v>8228</v>
      </c>
      <c r="H158" t="s">
        <v>8250</v>
      </c>
      <c r="I158" s="8">
        <v>1407034796</v>
      </c>
      <c r="J158">
        <v>1401850796</v>
      </c>
      <c r="K158" t="b">
        <v>0</v>
      </c>
      <c r="L158" s="10">
        <v>15</v>
      </c>
      <c r="M158" t="b">
        <v>0</v>
      </c>
      <c r="N158" t="s">
        <v>8265</v>
      </c>
      <c r="O158" s="11">
        <f t="shared" si="12"/>
        <v>5</v>
      </c>
      <c r="P158" s="12">
        <f t="shared" si="13"/>
        <v>119</v>
      </c>
      <c r="Q158" s="14" t="s">
        <v>8307</v>
      </c>
      <c r="R158" t="s">
        <v>8310</v>
      </c>
      <c r="S158" s="17">
        <f t="shared" si="14"/>
        <v>41794.124953703707</v>
      </c>
      <c r="T158" s="17">
        <f t="shared" si="15"/>
        <v>41854.124953703707</v>
      </c>
      <c r="U158">
        <f>MONTH(Table1[[#This Row],[Launched]])</f>
        <v>6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8219</v>
      </c>
      <c r="G159" t="s">
        <v>8223</v>
      </c>
      <c r="H159" t="s">
        <v>8245</v>
      </c>
      <c r="I159" s="8">
        <v>1456523572</v>
      </c>
      <c r="J159">
        <v>1453931572</v>
      </c>
      <c r="K159" t="b">
        <v>0</v>
      </c>
      <c r="L159" s="10">
        <v>2</v>
      </c>
      <c r="M159" t="b">
        <v>0</v>
      </c>
      <c r="N159" t="s">
        <v>8265</v>
      </c>
      <c r="O159" s="11">
        <f t="shared" si="12"/>
        <v>0</v>
      </c>
      <c r="P159" s="12">
        <f t="shared" si="13"/>
        <v>4</v>
      </c>
      <c r="Q159" s="14" t="s">
        <v>8307</v>
      </c>
      <c r="R159" t="s">
        <v>8310</v>
      </c>
      <c r="S159" s="17">
        <f t="shared" si="14"/>
        <v>42396.911712962959</v>
      </c>
      <c r="T159" s="17">
        <f t="shared" si="15"/>
        <v>42426.911712962959</v>
      </c>
      <c r="U159">
        <f>MONTH(Table1[[#This Row],[Launched]])</f>
        <v>1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8219</v>
      </c>
      <c r="G160" t="s">
        <v>8223</v>
      </c>
      <c r="H160" t="s">
        <v>8245</v>
      </c>
      <c r="I160" s="8">
        <v>1413942628</v>
      </c>
      <c r="J160">
        <v>1411350628</v>
      </c>
      <c r="K160" t="b">
        <v>0</v>
      </c>
      <c r="L160" s="10">
        <v>0</v>
      </c>
      <c r="M160" t="b">
        <v>0</v>
      </c>
      <c r="N160" t="s">
        <v>8265</v>
      </c>
      <c r="O160" s="11">
        <f t="shared" si="12"/>
        <v>0</v>
      </c>
      <c r="P160" s="12" t="str">
        <f t="shared" si="13"/>
        <v>No Backers</v>
      </c>
      <c r="Q160" s="14" t="s">
        <v>8307</v>
      </c>
      <c r="R160" t="s">
        <v>8310</v>
      </c>
      <c r="S160" s="17">
        <f t="shared" si="14"/>
        <v>41904.07671296296</v>
      </c>
      <c r="T160" s="17">
        <f t="shared" si="15"/>
        <v>41934.07671296296</v>
      </c>
      <c r="U160">
        <f>MONTH(Table1[[#This Row],[Launched]])</f>
        <v>9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8219</v>
      </c>
      <c r="G161" t="s">
        <v>8223</v>
      </c>
      <c r="H161" t="s">
        <v>8245</v>
      </c>
      <c r="I161" s="8">
        <v>1467541545</v>
      </c>
      <c r="J161">
        <v>1464085545</v>
      </c>
      <c r="K161" t="b">
        <v>0</v>
      </c>
      <c r="L161" s="10">
        <v>1</v>
      </c>
      <c r="M161" t="b">
        <v>0</v>
      </c>
      <c r="N161" t="s">
        <v>8265</v>
      </c>
      <c r="O161" s="11">
        <f t="shared" si="12"/>
        <v>0</v>
      </c>
      <c r="P161" s="12">
        <f t="shared" si="13"/>
        <v>10</v>
      </c>
      <c r="Q161" s="14" t="s">
        <v>8307</v>
      </c>
      <c r="R161" t="s">
        <v>8310</v>
      </c>
      <c r="S161" s="17">
        <f t="shared" si="14"/>
        <v>42514.434548611112</v>
      </c>
      <c r="T161" s="17">
        <f t="shared" si="15"/>
        <v>42554.434548611112</v>
      </c>
      <c r="U161">
        <f>MONTH(Table1[[#This Row],[Launched]])</f>
        <v>5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8220</v>
      </c>
      <c r="G162" t="s">
        <v>8223</v>
      </c>
      <c r="H162" t="s">
        <v>8245</v>
      </c>
      <c r="I162" s="8">
        <v>1439675691</v>
      </c>
      <c r="J162">
        <v>1434491691</v>
      </c>
      <c r="K162" t="b">
        <v>0</v>
      </c>
      <c r="L162" s="10">
        <v>0</v>
      </c>
      <c r="M162" t="b">
        <v>0</v>
      </c>
      <c r="N162" t="s">
        <v>8266</v>
      </c>
      <c r="O162" s="11">
        <f t="shared" si="12"/>
        <v>0</v>
      </c>
      <c r="P162" s="12" t="str">
        <f t="shared" si="13"/>
        <v>No Backers</v>
      </c>
      <c r="Q162" s="14" t="s">
        <v>8307</v>
      </c>
      <c r="R162" t="s">
        <v>8311</v>
      </c>
      <c r="S162" s="17">
        <f t="shared" si="14"/>
        <v>42171.913090277783</v>
      </c>
      <c r="T162" s="17">
        <f t="shared" si="15"/>
        <v>42231.913090277783</v>
      </c>
      <c r="U162">
        <f>MONTH(Table1[[#This Row],[Launched]])</f>
        <v>6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8220</v>
      </c>
      <c r="G163" t="s">
        <v>8223</v>
      </c>
      <c r="H163" t="s">
        <v>8245</v>
      </c>
      <c r="I163" s="8">
        <v>1404318595</v>
      </c>
      <c r="J163">
        <v>1401726595</v>
      </c>
      <c r="K163" t="b">
        <v>0</v>
      </c>
      <c r="L163" s="10">
        <v>1</v>
      </c>
      <c r="M163" t="b">
        <v>0</v>
      </c>
      <c r="N163" t="s">
        <v>8266</v>
      </c>
      <c r="O163" s="11">
        <f t="shared" si="12"/>
        <v>0</v>
      </c>
      <c r="P163" s="12">
        <f t="shared" si="13"/>
        <v>5</v>
      </c>
      <c r="Q163" s="14" t="s">
        <v>8307</v>
      </c>
      <c r="R163" t="s">
        <v>8311</v>
      </c>
      <c r="S163" s="17">
        <f t="shared" si="14"/>
        <v>41792.687442129631</v>
      </c>
      <c r="T163" s="17">
        <f t="shared" si="15"/>
        <v>41822.687442129631</v>
      </c>
      <c r="U163">
        <f>MONTH(Table1[[#This Row],[Launched]])</f>
        <v>6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8220</v>
      </c>
      <c r="G164" t="s">
        <v>8223</v>
      </c>
      <c r="H164" t="s">
        <v>8245</v>
      </c>
      <c r="I164" s="8">
        <v>1408232520</v>
      </c>
      <c r="J164">
        <v>1405393356</v>
      </c>
      <c r="K164" t="b">
        <v>0</v>
      </c>
      <c r="L164" s="10">
        <v>10</v>
      </c>
      <c r="M164" t="b">
        <v>0</v>
      </c>
      <c r="N164" t="s">
        <v>8266</v>
      </c>
      <c r="O164" s="11">
        <f t="shared" si="12"/>
        <v>16</v>
      </c>
      <c r="P164" s="12">
        <f t="shared" si="13"/>
        <v>44</v>
      </c>
      <c r="Q164" s="14" t="s">
        <v>8307</v>
      </c>
      <c r="R164" t="s">
        <v>8311</v>
      </c>
      <c r="S164" s="17">
        <f t="shared" si="14"/>
        <v>41835.126805555556</v>
      </c>
      <c r="T164" s="17">
        <f t="shared" si="15"/>
        <v>41867.987500000003</v>
      </c>
      <c r="U164">
        <f>MONTH(Table1[[#This Row],[Launched]])</f>
        <v>7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8220</v>
      </c>
      <c r="G165" t="s">
        <v>8223</v>
      </c>
      <c r="H165" t="s">
        <v>8245</v>
      </c>
      <c r="I165" s="8">
        <v>1443657600</v>
      </c>
      <c r="J165">
        <v>1440716654</v>
      </c>
      <c r="K165" t="b">
        <v>0</v>
      </c>
      <c r="L165" s="10">
        <v>0</v>
      </c>
      <c r="M165" t="b">
        <v>0</v>
      </c>
      <c r="N165" t="s">
        <v>8266</v>
      </c>
      <c r="O165" s="11">
        <f t="shared" si="12"/>
        <v>0</v>
      </c>
      <c r="P165" s="12" t="str">
        <f t="shared" si="13"/>
        <v>No Backers</v>
      </c>
      <c r="Q165" s="14" t="s">
        <v>8307</v>
      </c>
      <c r="R165" t="s">
        <v>8311</v>
      </c>
      <c r="S165" s="17">
        <f t="shared" si="14"/>
        <v>42243.961273148147</v>
      </c>
      <c r="T165" s="17">
        <f t="shared" si="15"/>
        <v>42278</v>
      </c>
      <c r="U165">
        <f>MONTH(Table1[[#This Row],[Launched]])</f>
        <v>8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8220</v>
      </c>
      <c r="G166" t="s">
        <v>8223</v>
      </c>
      <c r="H166" t="s">
        <v>8245</v>
      </c>
      <c r="I166" s="8">
        <v>1411150701</v>
      </c>
      <c r="J166">
        <v>1405966701</v>
      </c>
      <c r="K166" t="b">
        <v>0</v>
      </c>
      <c r="L166" s="10">
        <v>7</v>
      </c>
      <c r="M166" t="b">
        <v>0</v>
      </c>
      <c r="N166" t="s">
        <v>8266</v>
      </c>
      <c r="O166" s="11">
        <f t="shared" si="12"/>
        <v>1</v>
      </c>
      <c r="P166" s="12">
        <f t="shared" si="13"/>
        <v>91</v>
      </c>
      <c r="Q166" s="14" t="s">
        <v>8307</v>
      </c>
      <c r="R166" t="s">
        <v>8311</v>
      </c>
      <c r="S166" s="17">
        <f t="shared" si="14"/>
        <v>41841.762743055559</v>
      </c>
      <c r="T166" s="17">
        <f t="shared" si="15"/>
        <v>41901.762743055559</v>
      </c>
      <c r="U166">
        <f>MONTH(Table1[[#This Row],[Launched]])</f>
        <v>7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8220</v>
      </c>
      <c r="G167" t="s">
        <v>8224</v>
      </c>
      <c r="H167" t="s">
        <v>8246</v>
      </c>
      <c r="I167" s="8">
        <v>1452613724</v>
      </c>
      <c r="J167">
        <v>1450021724</v>
      </c>
      <c r="K167" t="b">
        <v>0</v>
      </c>
      <c r="L167" s="10">
        <v>0</v>
      </c>
      <c r="M167" t="b">
        <v>0</v>
      </c>
      <c r="N167" t="s">
        <v>8266</v>
      </c>
      <c r="O167" s="11">
        <f t="shared" si="12"/>
        <v>0</v>
      </c>
      <c r="P167" s="12" t="str">
        <f t="shared" si="13"/>
        <v>No Backers</v>
      </c>
      <c r="Q167" s="14" t="s">
        <v>8307</v>
      </c>
      <c r="R167" t="s">
        <v>8311</v>
      </c>
      <c r="S167" s="17">
        <f t="shared" si="14"/>
        <v>42351.658842592587</v>
      </c>
      <c r="T167" s="17">
        <f t="shared" si="15"/>
        <v>42381.658842592587</v>
      </c>
      <c r="U167">
        <f>MONTH(Table1[[#This Row],[Launched]])</f>
        <v>12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8220</v>
      </c>
      <c r="G168" t="s">
        <v>8223</v>
      </c>
      <c r="H168" t="s">
        <v>8245</v>
      </c>
      <c r="I168" s="8">
        <v>1484531362</v>
      </c>
      <c r="J168">
        <v>1481939362</v>
      </c>
      <c r="K168" t="b">
        <v>0</v>
      </c>
      <c r="L168" s="10">
        <v>1</v>
      </c>
      <c r="M168" t="b">
        <v>0</v>
      </c>
      <c r="N168" t="s">
        <v>8266</v>
      </c>
      <c r="O168" s="11">
        <f t="shared" si="12"/>
        <v>60</v>
      </c>
      <c r="P168" s="12">
        <f t="shared" si="13"/>
        <v>3000</v>
      </c>
      <c r="Q168" s="14" t="s">
        <v>8307</v>
      </c>
      <c r="R168" t="s">
        <v>8311</v>
      </c>
      <c r="S168" s="17">
        <f t="shared" si="14"/>
        <v>42721.075949074075</v>
      </c>
      <c r="T168" s="17">
        <f t="shared" si="15"/>
        <v>42751.075949074075</v>
      </c>
      <c r="U168">
        <f>MONTH(Table1[[#This Row],[Launched]])</f>
        <v>12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8220</v>
      </c>
      <c r="G169" t="s">
        <v>8223</v>
      </c>
      <c r="H169" t="s">
        <v>8245</v>
      </c>
      <c r="I169" s="8">
        <v>1438726535</v>
      </c>
      <c r="J169">
        <v>1433542535</v>
      </c>
      <c r="K169" t="b">
        <v>0</v>
      </c>
      <c r="L169" s="10">
        <v>2</v>
      </c>
      <c r="M169" t="b">
        <v>0</v>
      </c>
      <c r="N169" t="s">
        <v>8266</v>
      </c>
      <c r="O169" s="11">
        <f t="shared" si="12"/>
        <v>0</v>
      </c>
      <c r="P169" s="12">
        <f t="shared" si="13"/>
        <v>6</v>
      </c>
      <c r="Q169" s="14" t="s">
        <v>8307</v>
      </c>
      <c r="R169" t="s">
        <v>8311</v>
      </c>
      <c r="S169" s="17">
        <f t="shared" si="14"/>
        <v>42160.927488425921</v>
      </c>
      <c r="T169" s="17">
        <f t="shared" si="15"/>
        <v>42220.927488425921</v>
      </c>
      <c r="U169">
        <f>MONTH(Table1[[#This Row],[Launched]])</f>
        <v>6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8220</v>
      </c>
      <c r="G170" t="s">
        <v>8223</v>
      </c>
      <c r="H170" t="s">
        <v>8245</v>
      </c>
      <c r="I170" s="8">
        <v>1426791770</v>
      </c>
      <c r="J170">
        <v>1424203370</v>
      </c>
      <c r="K170" t="b">
        <v>0</v>
      </c>
      <c r="L170" s="10">
        <v>3</v>
      </c>
      <c r="M170" t="b">
        <v>0</v>
      </c>
      <c r="N170" t="s">
        <v>8266</v>
      </c>
      <c r="O170" s="11">
        <f t="shared" si="12"/>
        <v>4</v>
      </c>
      <c r="P170" s="12">
        <f t="shared" si="13"/>
        <v>108</v>
      </c>
      <c r="Q170" s="14" t="s">
        <v>8307</v>
      </c>
      <c r="R170" t="s">
        <v>8311</v>
      </c>
      <c r="S170" s="17">
        <f t="shared" si="14"/>
        <v>42052.83530092593</v>
      </c>
      <c r="T170" s="17">
        <f t="shared" si="15"/>
        <v>42082.793634259258</v>
      </c>
      <c r="U170">
        <f>MONTH(Table1[[#This Row],[Launched]])</f>
        <v>2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8220</v>
      </c>
      <c r="G171" t="s">
        <v>8224</v>
      </c>
      <c r="H171" t="s">
        <v>8246</v>
      </c>
      <c r="I171" s="8">
        <v>1413634059</v>
      </c>
      <c r="J171">
        <v>1411042059</v>
      </c>
      <c r="K171" t="b">
        <v>0</v>
      </c>
      <c r="L171" s="10">
        <v>10</v>
      </c>
      <c r="M171" t="b">
        <v>0</v>
      </c>
      <c r="N171" t="s">
        <v>8266</v>
      </c>
      <c r="O171" s="11">
        <f t="shared" si="12"/>
        <v>22</v>
      </c>
      <c r="P171" s="12">
        <f t="shared" si="13"/>
        <v>56</v>
      </c>
      <c r="Q171" s="14" t="s">
        <v>8307</v>
      </c>
      <c r="R171" t="s">
        <v>8311</v>
      </c>
      <c r="S171" s="17">
        <f t="shared" si="14"/>
        <v>41900.505312499998</v>
      </c>
      <c r="T171" s="17">
        <f t="shared" si="15"/>
        <v>41930.505312499998</v>
      </c>
      <c r="U171">
        <f>MONTH(Table1[[#This Row],[Launched]])</f>
        <v>9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8220</v>
      </c>
      <c r="G172" t="s">
        <v>8223</v>
      </c>
      <c r="H172" t="s">
        <v>8245</v>
      </c>
      <c r="I172" s="8">
        <v>1440912480</v>
      </c>
      <c r="J172">
        <v>1438385283</v>
      </c>
      <c r="K172" t="b">
        <v>0</v>
      </c>
      <c r="L172" s="10">
        <v>10</v>
      </c>
      <c r="M172" t="b">
        <v>0</v>
      </c>
      <c r="N172" t="s">
        <v>8266</v>
      </c>
      <c r="O172" s="11">
        <f t="shared" si="12"/>
        <v>3</v>
      </c>
      <c r="P172" s="12">
        <f t="shared" si="13"/>
        <v>33</v>
      </c>
      <c r="Q172" s="14" t="s">
        <v>8307</v>
      </c>
      <c r="R172" t="s">
        <v>8311</v>
      </c>
      <c r="S172" s="17">
        <f t="shared" si="14"/>
        <v>42216.977812500001</v>
      </c>
      <c r="T172" s="17">
        <f t="shared" si="15"/>
        <v>42246.227777777778</v>
      </c>
      <c r="U172">
        <f>MONTH(Table1[[#This Row],[Launched]])</f>
        <v>7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8220</v>
      </c>
      <c r="G173" t="s">
        <v>8223</v>
      </c>
      <c r="H173" t="s">
        <v>8245</v>
      </c>
      <c r="I173" s="8">
        <v>1470975614</v>
      </c>
      <c r="J173">
        <v>1465791614</v>
      </c>
      <c r="K173" t="b">
        <v>0</v>
      </c>
      <c r="L173" s="10">
        <v>1</v>
      </c>
      <c r="M173" t="b">
        <v>0</v>
      </c>
      <c r="N173" t="s">
        <v>8266</v>
      </c>
      <c r="O173" s="11">
        <f t="shared" si="12"/>
        <v>0</v>
      </c>
      <c r="P173" s="12">
        <f t="shared" si="13"/>
        <v>1</v>
      </c>
      <c r="Q173" s="14" t="s">
        <v>8307</v>
      </c>
      <c r="R173" t="s">
        <v>8311</v>
      </c>
      <c r="S173" s="17">
        <f t="shared" si="14"/>
        <v>42534.180717592593</v>
      </c>
      <c r="T173" s="17">
        <f t="shared" si="15"/>
        <v>42594.180717592593</v>
      </c>
      <c r="U173">
        <f>MONTH(Table1[[#This Row],[Launched]])</f>
        <v>6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8220</v>
      </c>
      <c r="G174" t="s">
        <v>8223</v>
      </c>
      <c r="H174" t="s">
        <v>8245</v>
      </c>
      <c r="I174" s="8">
        <v>1426753723</v>
      </c>
      <c r="J174">
        <v>1423733323</v>
      </c>
      <c r="K174" t="b">
        <v>0</v>
      </c>
      <c r="L174" s="10">
        <v>0</v>
      </c>
      <c r="M174" t="b">
        <v>0</v>
      </c>
      <c r="N174" t="s">
        <v>8266</v>
      </c>
      <c r="O174" s="11">
        <f t="shared" si="12"/>
        <v>0</v>
      </c>
      <c r="P174" s="12" t="str">
        <f t="shared" si="13"/>
        <v>No Backers</v>
      </c>
      <c r="Q174" s="14" t="s">
        <v>8307</v>
      </c>
      <c r="R174" t="s">
        <v>8311</v>
      </c>
      <c r="S174" s="17">
        <f t="shared" si="14"/>
        <v>42047.394942129627</v>
      </c>
      <c r="T174" s="17">
        <f t="shared" si="15"/>
        <v>42082.353275462956</v>
      </c>
      <c r="U174">
        <f>MONTH(Table1[[#This Row],[Launched]])</f>
        <v>2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8220</v>
      </c>
      <c r="G175" t="s">
        <v>8224</v>
      </c>
      <c r="H175" t="s">
        <v>8246</v>
      </c>
      <c r="I175" s="8">
        <v>1425131108</v>
      </c>
      <c r="J175">
        <v>1422539108</v>
      </c>
      <c r="K175" t="b">
        <v>0</v>
      </c>
      <c r="L175" s="10">
        <v>0</v>
      </c>
      <c r="M175" t="b">
        <v>0</v>
      </c>
      <c r="N175" t="s">
        <v>8266</v>
      </c>
      <c r="O175" s="11">
        <f t="shared" si="12"/>
        <v>0</v>
      </c>
      <c r="P175" s="12" t="str">
        <f t="shared" si="13"/>
        <v>No Backers</v>
      </c>
      <c r="Q175" s="14" t="s">
        <v>8307</v>
      </c>
      <c r="R175" t="s">
        <v>8311</v>
      </c>
      <c r="S175" s="17">
        <f t="shared" si="14"/>
        <v>42033.573009259257</v>
      </c>
      <c r="T175" s="17">
        <f t="shared" si="15"/>
        <v>42063.573009259257</v>
      </c>
      <c r="U175">
        <f>MONTH(Table1[[#This Row],[Launched]])</f>
        <v>1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8220</v>
      </c>
      <c r="G176" t="s">
        <v>8232</v>
      </c>
      <c r="H176" t="s">
        <v>8248</v>
      </c>
      <c r="I176" s="8">
        <v>1431108776</v>
      </c>
      <c r="J176">
        <v>1425924776</v>
      </c>
      <c r="K176" t="b">
        <v>0</v>
      </c>
      <c r="L176" s="10">
        <v>0</v>
      </c>
      <c r="M176" t="b">
        <v>0</v>
      </c>
      <c r="N176" t="s">
        <v>8266</v>
      </c>
      <c r="O176" s="11">
        <f t="shared" si="12"/>
        <v>0</v>
      </c>
      <c r="P176" s="12" t="str">
        <f t="shared" si="13"/>
        <v>No Backers</v>
      </c>
      <c r="Q176" s="14" t="s">
        <v>8307</v>
      </c>
      <c r="R176" t="s">
        <v>8311</v>
      </c>
      <c r="S176" s="17">
        <f t="shared" si="14"/>
        <v>42072.758981481486</v>
      </c>
      <c r="T176" s="17">
        <f t="shared" si="15"/>
        <v>42132.758981481486</v>
      </c>
      <c r="U176">
        <f>MONTH(Table1[[#This Row],[Launched]])</f>
        <v>3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8220</v>
      </c>
      <c r="G177" t="s">
        <v>8224</v>
      </c>
      <c r="H177" t="s">
        <v>8246</v>
      </c>
      <c r="I177" s="8">
        <v>1409337611</v>
      </c>
      <c r="J177">
        <v>1407177611</v>
      </c>
      <c r="K177" t="b">
        <v>0</v>
      </c>
      <c r="L177" s="10">
        <v>26</v>
      </c>
      <c r="M177" t="b">
        <v>0</v>
      </c>
      <c r="N177" t="s">
        <v>8266</v>
      </c>
      <c r="O177" s="11">
        <f t="shared" si="12"/>
        <v>6</v>
      </c>
      <c r="P177" s="12">
        <f t="shared" si="13"/>
        <v>50</v>
      </c>
      <c r="Q177" s="14" t="s">
        <v>8307</v>
      </c>
      <c r="R177" t="s">
        <v>8311</v>
      </c>
      <c r="S177" s="17">
        <f t="shared" si="14"/>
        <v>41855.777905092589</v>
      </c>
      <c r="T177" s="17">
        <f t="shared" si="15"/>
        <v>41880.777905092589</v>
      </c>
      <c r="U177">
        <f>MONTH(Table1[[#This Row],[Launched]])</f>
        <v>8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8220</v>
      </c>
      <c r="G178" t="s">
        <v>8223</v>
      </c>
      <c r="H178" t="s">
        <v>8245</v>
      </c>
      <c r="I178" s="8">
        <v>1438803999</v>
      </c>
      <c r="J178">
        <v>1436211999</v>
      </c>
      <c r="K178" t="b">
        <v>0</v>
      </c>
      <c r="L178" s="10">
        <v>0</v>
      </c>
      <c r="M178" t="b">
        <v>0</v>
      </c>
      <c r="N178" t="s">
        <v>8266</v>
      </c>
      <c r="O178" s="11">
        <f t="shared" si="12"/>
        <v>0</v>
      </c>
      <c r="P178" s="12" t="str">
        <f t="shared" si="13"/>
        <v>No Backers</v>
      </c>
      <c r="Q178" s="14" t="s">
        <v>8307</v>
      </c>
      <c r="R178" t="s">
        <v>8311</v>
      </c>
      <c r="S178" s="17">
        <f t="shared" si="14"/>
        <v>42191.824062500003</v>
      </c>
      <c r="T178" s="17">
        <f t="shared" si="15"/>
        <v>42221.824062500003</v>
      </c>
      <c r="U178">
        <f>MONTH(Table1[[#This Row],[Launched]])</f>
        <v>7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8220</v>
      </c>
      <c r="G179" t="s">
        <v>8223</v>
      </c>
      <c r="H179" t="s">
        <v>8245</v>
      </c>
      <c r="I179" s="8">
        <v>1427155726</v>
      </c>
      <c r="J179">
        <v>1425690526</v>
      </c>
      <c r="K179" t="b">
        <v>0</v>
      </c>
      <c r="L179" s="10">
        <v>7</v>
      </c>
      <c r="M179" t="b">
        <v>0</v>
      </c>
      <c r="N179" t="s">
        <v>8266</v>
      </c>
      <c r="O179" s="11">
        <f t="shared" si="12"/>
        <v>40</v>
      </c>
      <c r="P179" s="12">
        <f t="shared" si="13"/>
        <v>26</v>
      </c>
      <c r="Q179" s="14" t="s">
        <v>8307</v>
      </c>
      <c r="R179" t="s">
        <v>8311</v>
      </c>
      <c r="S179" s="17">
        <f t="shared" si="14"/>
        <v>42070.047754629632</v>
      </c>
      <c r="T179" s="17">
        <f t="shared" si="15"/>
        <v>42087.00608796296</v>
      </c>
      <c r="U179">
        <f>MONTH(Table1[[#This Row],[Launched]])</f>
        <v>3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8220</v>
      </c>
      <c r="G180" t="s">
        <v>8226</v>
      </c>
      <c r="H180" t="s">
        <v>8248</v>
      </c>
      <c r="I180" s="8">
        <v>1448582145</v>
      </c>
      <c r="J180">
        <v>1445986545</v>
      </c>
      <c r="K180" t="b">
        <v>0</v>
      </c>
      <c r="L180" s="10">
        <v>0</v>
      </c>
      <c r="M180" t="b">
        <v>0</v>
      </c>
      <c r="N180" t="s">
        <v>8266</v>
      </c>
      <c r="O180" s="11">
        <f t="shared" si="12"/>
        <v>0</v>
      </c>
      <c r="P180" s="12" t="str">
        <f t="shared" si="13"/>
        <v>No Backers</v>
      </c>
      <c r="Q180" s="14" t="s">
        <v>8307</v>
      </c>
      <c r="R180" t="s">
        <v>8311</v>
      </c>
      <c r="S180" s="17">
        <f t="shared" si="14"/>
        <v>42304.955381944441</v>
      </c>
      <c r="T180" s="17">
        <f t="shared" si="15"/>
        <v>42334.997048611112</v>
      </c>
      <c r="U180">
        <f>MONTH(Table1[[#This Row],[Launched]])</f>
        <v>10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8220</v>
      </c>
      <c r="G181" t="s">
        <v>8223</v>
      </c>
      <c r="H181" t="s">
        <v>8245</v>
      </c>
      <c r="I181" s="8">
        <v>1457056555</v>
      </c>
      <c r="J181">
        <v>1454464555</v>
      </c>
      <c r="K181" t="b">
        <v>0</v>
      </c>
      <c r="L181" s="10">
        <v>2</v>
      </c>
      <c r="M181" t="b">
        <v>0</v>
      </c>
      <c r="N181" t="s">
        <v>8266</v>
      </c>
      <c r="O181" s="11">
        <f t="shared" si="12"/>
        <v>20</v>
      </c>
      <c r="P181" s="12">
        <f t="shared" si="13"/>
        <v>100</v>
      </c>
      <c r="Q181" s="14" t="s">
        <v>8307</v>
      </c>
      <c r="R181" t="s">
        <v>8311</v>
      </c>
      <c r="S181" s="17">
        <f t="shared" si="14"/>
        <v>42403.080497685187</v>
      </c>
      <c r="T181" s="17">
        <f t="shared" si="15"/>
        <v>42433.080497685187</v>
      </c>
      <c r="U181">
        <f>MONTH(Table1[[#This Row],[Launched]])</f>
        <v>2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8220</v>
      </c>
      <c r="G182" t="s">
        <v>8224</v>
      </c>
      <c r="H182" t="s">
        <v>8246</v>
      </c>
      <c r="I182" s="8">
        <v>1428951600</v>
      </c>
      <c r="J182">
        <v>1425512843</v>
      </c>
      <c r="K182" t="b">
        <v>0</v>
      </c>
      <c r="L182" s="10">
        <v>13</v>
      </c>
      <c r="M182" t="b">
        <v>0</v>
      </c>
      <c r="N182" t="s">
        <v>8266</v>
      </c>
      <c r="O182" s="11">
        <f t="shared" si="12"/>
        <v>33</v>
      </c>
      <c r="P182" s="12">
        <f t="shared" si="13"/>
        <v>31</v>
      </c>
      <c r="Q182" s="14" t="s">
        <v>8307</v>
      </c>
      <c r="R182" t="s">
        <v>8311</v>
      </c>
      <c r="S182" s="17">
        <f t="shared" si="14"/>
        <v>42067.991238425922</v>
      </c>
      <c r="T182" s="17">
        <f t="shared" si="15"/>
        <v>42107.791666666672</v>
      </c>
      <c r="U182">
        <f>MONTH(Table1[[#This Row],[Launched]])</f>
        <v>3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8220</v>
      </c>
      <c r="G183" t="s">
        <v>8224</v>
      </c>
      <c r="H183" t="s">
        <v>8246</v>
      </c>
      <c r="I183" s="8">
        <v>1434995295</v>
      </c>
      <c r="J183">
        <v>1432403295</v>
      </c>
      <c r="K183" t="b">
        <v>0</v>
      </c>
      <c r="L183" s="10">
        <v>4</v>
      </c>
      <c r="M183" t="b">
        <v>0</v>
      </c>
      <c r="N183" t="s">
        <v>8266</v>
      </c>
      <c r="O183" s="11">
        <f t="shared" si="12"/>
        <v>21</v>
      </c>
      <c r="P183" s="12">
        <f t="shared" si="13"/>
        <v>181</v>
      </c>
      <c r="Q183" s="14" t="s">
        <v>8307</v>
      </c>
      <c r="R183" t="s">
        <v>8311</v>
      </c>
      <c r="S183" s="17">
        <f t="shared" si="14"/>
        <v>42147.741840277777</v>
      </c>
      <c r="T183" s="17">
        <f t="shared" si="15"/>
        <v>42177.741840277777</v>
      </c>
      <c r="U183">
        <f>MONTH(Table1[[#This Row],[Launched]])</f>
        <v>5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8220</v>
      </c>
      <c r="G184" t="s">
        <v>8223</v>
      </c>
      <c r="H184" t="s">
        <v>8245</v>
      </c>
      <c r="I184" s="8">
        <v>1483748232</v>
      </c>
      <c r="J184">
        <v>1481156232</v>
      </c>
      <c r="K184" t="b">
        <v>0</v>
      </c>
      <c r="L184" s="10">
        <v>0</v>
      </c>
      <c r="M184" t="b">
        <v>0</v>
      </c>
      <c r="N184" t="s">
        <v>8266</v>
      </c>
      <c r="O184" s="11">
        <f t="shared" si="12"/>
        <v>0</v>
      </c>
      <c r="P184" s="12" t="str">
        <f t="shared" si="13"/>
        <v>No Backers</v>
      </c>
      <c r="Q184" s="14" t="s">
        <v>8307</v>
      </c>
      <c r="R184" t="s">
        <v>8311</v>
      </c>
      <c r="S184" s="17">
        <f t="shared" si="14"/>
        <v>42712.011944444443</v>
      </c>
      <c r="T184" s="17">
        <f t="shared" si="15"/>
        <v>42742.011944444443</v>
      </c>
      <c r="U184">
        <f>MONTH(Table1[[#This Row],[Launched]])</f>
        <v>12</v>
      </c>
    </row>
    <row r="185" spans="1:21" ht="15.6" x14ac:dyDescent="0.3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8220</v>
      </c>
      <c r="G185" t="s">
        <v>8224</v>
      </c>
      <c r="H185" t="s">
        <v>8246</v>
      </c>
      <c r="I185" s="8">
        <v>1417033610</v>
      </c>
      <c r="J185">
        <v>1414438010</v>
      </c>
      <c r="K185" t="b">
        <v>0</v>
      </c>
      <c r="L185" s="10">
        <v>12</v>
      </c>
      <c r="M185" t="b">
        <v>0</v>
      </c>
      <c r="N185" t="s">
        <v>8266</v>
      </c>
      <c r="O185" s="11">
        <f t="shared" si="12"/>
        <v>36</v>
      </c>
      <c r="P185" s="12">
        <f t="shared" si="13"/>
        <v>374</v>
      </c>
      <c r="Q185" s="14" t="s">
        <v>8307</v>
      </c>
      <c r="R185" t="s">
        <v>8311</v>
      </c>
      <c r="S185" s="17">
        <f t="shared" si="14"/>
        <v>41939.810300925928</v>
      </c>
      <c r="T185" s="17">
        <f t="shared" si="15"/>
        <v>41969.851967592593</v>
      </c>
      <c r="U185">
        <f>MONTH(Table1[[#This Row],[Launched]])</f>
        <v>10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8220</v>
      </c>
      <c r="G186" t="s">
        <v>8228</v>
      </c>
      <c r="H186" t="s">
        <v>8250</v>
      </c>
      <c r="I186" s="8">
        <v>1409543940</v>
      </c>
      <c r="J186">
        <v>1404586762</v>
      </c>
      <c r="K186" t="b">
        <v>0</v>
      </c>
      <c r="L186" s="10">
        <v>2</v>
      </c>
      <c r="M186" t="b">
        <v>0</v>
      </c>
      <c r="N186" t="s">
        <v>8266</v>
      </c>
      <c r="O186" s="11">
        <f t="shared" si="12"/>
        <v>3</v>
      </c>
      <c r="P186" s="12">
        <f t="shared" si="13"/>
        <v>26</v>
      </c>
      <c r="Q186" s="14" t="s">
        <v>8307</v>
      </c>
      <c r="R186" t="s">
        <v>8311</v>
      </c>
      <c r="S186" s="17">
        <f t="shared" si="14"/>
        <v>41825.791226851856</v>
      </c>
      <c r="T186" s="17">
        <f t="shared" si="15"/>
        <v>41883.165972222225</v>
      </c>
      <c r="U186">
        <f>MONTH(Table1[[#This Row],[Launched]])</f>
        <v>7</v>
      </c>
    </row>
    <row r="187" spans="1:21" ht="15.6" x14ac:dyDescent="0.3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8220</v>
      </c>
      <c r="G187" t="s">
        <v>8233</v>
      </c>
      <c r="H187" t="s">
        <v>8253</v>
      </c>
      <c r="I187" s="8">
        <v>1471557139</v>
      </c>
      <c r="J187">
        <v>1468965139</v>
      </c>
      <c r="K187" t="b">
        <v>0</v>
      </c>
      <c r="L187" s="10">
        <v>10</v>
      </c>
      <c r="M187" t="b">
        <v>0</v>
      </c>
      <c r="N187" t="s">
        <v>8266</v>
      </c>
      <c r="O187" s="11">
        <f t="shared" si="12"/>
        <v>6</v>
      </c>
      <c r="P187" s="12">
        <f t="shared" si="13"/>
        <v>220</v>
      </c>
      <c r="Q187" s="14" t="s">
        <v>8307</v>
      </c>
      <c r="R187" t="s">
        <v>8311</v>
      </c>
      <c r="S187" s="17">
        <f t="shared" si="14"/>
        <v>42570.91133101852</v>
      </c>
      <c r="T187" s="17">
        <f t="shared" si="15"/>
        <v>42600.91133101852</v>
      </c>
      <c r="U187">
        <f>MONTH(Table1[[#This Row],[Launched]])</f>
        <v>7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8220</v>
      </c>
      <c r="G188" t="s">
        <v>8223</v>
      </c>
      <c r="H188" t="s">
        <v>8245</v>
      </c>
      <c r="I188" s="8">
        <v>1488571200</v>
      </c>
      <c r="J188">
        <v>1485977434</v>
      </c>
      <c r="K188" t="b">
        <v>0</v>
      </c>
      <c r="L188" s="10">
        <v>0</v>
      </c>
      <c r="M188" t="b">
        <v>0</v>
      </c>
      <c r="N188" t="s">
        <v>8266</v>
      </c>
      <c r="O188" s="11">
        <f t="shared" si="12"/>
        <v>0</v>
      </c>
      <c r="P188" s="12" t="str">
        <f t="shared" si="13"/>
        <v>No Backers</v>
      </c>
      <c r="Q188" s="14" t="s">
        <v>8307</v>
      </c>
      <c r="R188" t="s">
        <v>8311</v>
      </c>
      <c r="S188" s="17">
        <f t="shared" si="14"/>
        <v>42767.812893518523</v>
      </c>
      <c r="T188" s="17">
        <f t="shared" si="15"/>
        <v>42797.833333333328</v>
      </c>
      <c r="U188">
        <f>MONTH(Table1[[#This Row],[Launched]])</f>
        <v>2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8220</v>
      </c>
      <c r="G189" t="s">
        <v>8223</v>
      </c>
      <c r="H189" t="s">
        <v>8245</v>
      </c>
      <c r="I189" s="8">
        <v>1437461940</v>
      </c>
      <c r="J189">
        <v>1435383457</v>
      </c>
      <c r="K189" t="b">
        <v>0</v>
      </c>
      <c r="L189" s="10">
        <v>5</v>
      </c>
      <c r="M189" t="b">
        <v>0</v>
      </c>
      <c r="N189" t="s">
        <v>8266</v>
      </c>
      <c r="O189" s="11">
        <f t="shared" si="12"/>
        <v>16</v>
      </c>
      <c r="P189" s="12">
        <f t="shared" si="13"/>
        <v>160</v>
      </c>
      <c r="Q189" s="14" t="s">
        <v>8307</v>
      </c>
      <c r="R189" t="s">
        <v>8311</v>
      </c>
      <c r="S189" s="17">
        <f t="shared" si="14"/>
        <v>42182.234456018516</v>
      </c>
      <c r="T189" s="17">
        <f t="shared" si="15"/>
        <v>42206.290972222225</v>
      </c>
      <c r="U189">
        <f>MONTH(Table1[[#This Row],[Launched]])</f>
        <v>6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8220</v>
      </c>
      <c r="G190" t="s">
        <v>8223</v>
      </c>
      <c r="H190" t="s">
        <v>8245</v>
      </c>
      <c r="I190" s="8">
        <v>1409891015</v>
      </c>
      <c r="J190">
        <v>1407299015</v>
      </c>
      <c r="K190" t="b">
        <v>0</v>
      </c>
      <c r="L190" s="10">
        <v>0</v>
      </c>
      <c r="M190" t="b">
        <v>0</v>
      </c>
      <c r="N190" t="s">
        <v>8266</v>
      </c>
      <c r="O190" s="11">
        <f t="shared" si="12"/>
        <v>0</v>
      </c>
      <c r="P190" s="12" t="str">
        <f t="shared" si="13"/>
        <v>No Backers</v>
      </c>
      <c r="Q190" s="14" t="s">
        <v>8307</v>
      </c>
      <c r="R190" t="s">
        <v>8311</v>
      </c>
      <c r="S190" s="17">
        <f t="shared" si="14"/>
        <v>41857.18304398148</v>
      </c>
      <c r="T190" s="17">
        <f t="shared" si="15"/>
        <v>41887.18304398148</v>
      </c>
      <c r="U190">
        <f>MONTH(Table1[[#This Row],[Launched]])</f>
        <v>8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8220</v>
      </c>
      <c r="G191" t="s">
        <v>8223</v>
      </c>
      <c r="H191" t="s">
        <v>8245</v>
      </c>
      <c r="I191" s="8">
        <v>1472920477</v>
      </c>
      <c r="J191">
        <v>1467736477</v>
      </c>
      <c r="K191" t="b">
        <v>0</v>
      </c>
      <c r="L191" s="10">
        <v>5</v>
      </c>
      <c r="M191" t="b">
        <v>0</v>
      </c>
      <c r="N191" t="s">
        <v>8266</v>
      </c>
      <c r="O191" s="11">
        <f t="shared" si="12"/>
        <v>0</v>
      </c>
      <c r="P191" s="12">
        <f t="shared" si="13"/>
        <v>69</v>
      </c>
      <c r="Q191" s="14" t="s">
        <v>8307</v>
      </c>
      <c r="R191" t="s">
        <v>8311</v>
      </c>
      <c r="S191" s="17">
        <f t="shared" si="14"/>
        <v>42556.690706018519</v>
      </c>
      <c r="T191" s="17">
        <f t="shared" si="15"/>
        <v>42616.690706018519</v>
      </c>
      <c r="U191">
        <f>MONTH(Table1[[#This Row],[Launched]])</f>
        <v>7</v>
      </c>
    </row>
    <row r="192" spans="1:21" ht="15.6" x14ac:dyDescent="0.3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8220</v>
      </c>
      <c r="G192" t="s">
        <v>8223</v>
      </c>
      <c r="H192" t="s">
        <v>8245</v>
      </c>
      <c r="I192" s="8">
        <v>1466091446</v>
      </c>
      <c r="J192">
        <v>1465227446</v>
      </c>
      <c r="K192" t="b">
        <v>0</v>
      </c>
      <c r="L192" s="10">
        <v>1</v>
      </c>
      <c r="M192" t="b">
        <v>0</v>
      </c>
      <c r="N192" t="s">
        <v>8266</v>
      </c>
      <c r="O192" s="11">
        <f t="shared" si="12"/>
        <v>0</v>
      </c>
      <c r="P192" s="12">
        <f t="shared" si="13"/>
        <v>50</v>
      </c>
      <c r="Q192" s="14" t="s">
        <v>8307</v>
      </c>
      <c r="R192" t="s">
        <v>8311</v>
      </c>
      <c r="S192" s="17">
        <f t="shared" si="14"/>
        <v>42527.650995370372</v>
      </c>
      <c r="T192" s="17">
        <f t="shared" si="15"/>
        <v>42537.650995370372</v>
      </c>
      <c r="U192">
        <f>MONTH(Table1[[#This Row],[Launched]])</f>
        <v>6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8220</v>
      </c>
      <c r="G193" t="s">
        <v>8225</v>
      </c>
      <c r="H193" t="s">
        <v>8247</v>
      </c>
      <c r="I193" s="8">
        <v>1443782138</v>
      </c>
      <c r="J193">
        <v>1440326138</v>
      </c>
      <c r="K193" t="b">
        <v>0</v>
      </c>
      <c r="L193" s="10">
        <v>3</v>
      </c>
      <c r="M193" t="b">
        <v>0</v>
      </c>
      <c r="N193" t="s">
        <v>8266</v>
      </c>
      <c r="O193" s="11">
        <f t="shared" si="12"/>
        <v>5</v>
      </c>
      <c r="P193" s="12">
        <f t="shared" si="13"/>
        <v>83</v>
      </c>
      <c r="Q193" s="14" t="s">
        <v>8307</v>
      </c>
      <c r="R193" t="s">
        <v>8311</v>
      </c>
      <c r="S193" s="17">
        <f t="shared" si="14"/>
        <v>42239.441412037035</v>
      </c>
      <c r="T193" s="17">
        <f t="shared" si="15"/>
        <v>42279.441412037035</v>
      </c>
      <c r="U193">
        <f>MONTH(Table1[[#This Row],[Launched]])</f>
        <v>8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8220</v>
      </c>
      <c r="G194" t="s">
        <v>8223</v>
      </c>
      <c r="H194" t="s">
        <v>8245</v>
      </c>
      <c r="I194" s="8">
        <v>1413572432</v>
      </c>
      <c r="J194">
        <v>1410980432</v>
      </c>
      <c r="K194" t="b">
        <v>0</v>
      </c>
      <c r="L194" s="10">
        <v>3</v>
      </c>
      <c r="M194" t="b">
        <v>0</v>
      </c>
      <c r="N194" t="s">
        <v>8266</v>
      </c>
      <c r="O194" s="11">
        <f t="shared" ref="O194:O257" si="16">ROUND(E194/D194*100,0)</f>
        <v>0</v>
      </c>
      <c r="P194" s="12">
        <f t="shared" si="13"/>
        <v>6</v>
      </c>
      <c r="Q194" s="14" t="s">
        <v>8307</v>
      </c>
      <c r="R194" t="s">
        <v>8311</v>
      </c>
      <c r="S194" s="17">
        <f t="shared" si="14"/>
        <v>41899.792037037041</v>
      </c>
      <c r="T194" s="17">
        <f t="shared" si="15"/>
        <v>41929.792037037041</v>
      </c>
      <c r="U194">
        <f>MONTH(Table1[[#This Row],[Launched]])</f>
        <v>9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8220</v>
      </c>
      <c r="G195" t="s">
        <v>8224</v>
      </c>
      <c r="H195" t="s">
        <v>8246</v>
      </c>
      <c r="I195" s="8">
        <v>1417217166</v>
      </c>
      <c r="J195">
        <v>1412029566</v>
      </c>
      <c r="K195" t="b">
        <v>0</v>
      </c>
      <c r="L195" s="10">
        <v>0</v>
      </c>
      <c r="M195" t="b">
        <v>0</v>
      </c>
      <c r="N195" t="s">
        <v>8266</v>
      </c>
      <c r="O195" s="11">
        <f t="shared" si="16"/>
        <v>0</v>
      </c>
      <c r="P195" s="12" t="str">
        <f t="shared" ref="P195:P258" si="17">IFERROR(ROUND(E195/L195,),"No Backers")</f>
        <v>No Backers</v>
      </c>
      <c r="Q195" s="14" t="s">
        <v>8307</v>
      </c>
      <c r="R195" t="s">
        <v>8311</v>
      </c>
      <c r="S195" s="17">
        <f t="shared" ref="S195:S258" si="18">(((J195/60)/60)/24)+DATE(1970,1,1)</f>
        <v>41911.934791666667</v>
      </c>
      <c r="T195" s="17">
        <f t="shared" ref="T195:T258" si="19">(((I195/60)/60)/24)+DATE(1970,1,1)</f>
        <v>41971.976458333331</v>
      </c>
      <c r="U195">
        <f>MONTH(Table1[[#This Row],[Launched]])</f>
        <v>9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8220</v>
      </c>
      <c r="G196" t="s">
        <v>8224</v>
      </c>
      <c r="H196" t="s">
        <v>8246</v>
      </c>
      <c r="I196" s="8">
        <v>1457308531</v>
      </c>
      <c r="J196">
        <v>1452124531</v>
      </c>
      <c r="K196" t="b">
        <v>0</v>
      </c>
      <c r="L196" s="10">
        <v>3</v>
      </c>
      <c r="M196" t="b">
        <v>0</v>
      </c>
      <c r="N196" t="s">
        <v>8266</v>
      </c>
      <c r="O196" s="11">
        <f t="shared" si="16"/>
        <v>0</v>
      </c>
      <c r="P196" s="12">
        <f t="shared" si="17"/>
        <v>1</v>
      </c>
      <c r="Q196" s="14" t="s">
        <v>8307</v>
      </c>
      <c r="R196" t="s">
        <v>8311</v>
      </c>
      <c r="S196" s="17">
        <f t="shared" si="18"/>
        <v>42375.996886574074</v>
      </c>
      <c r="T196" s="17">
        <f t="shared" si="19"/>
        <v>42435.996886574074</v>
      </c>
      <c r="U196">
        <f>MONTH(Table1[[#This Row],[Launched]])</f>
        <v>1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8220</v>
      </c>
      <c r="G197" t="s">
        <v>8223</v>
      </c>
      <c r="H197" t="s">
        <v>8245</v>
      </c>
      <c r="I197" s="8">
        <v>1436544332</v>
      </c>
      <c r="J197">
        <v>1431360332</v>
      </c>
      <c r="K197" t="b">
        <v>0</v>
      </c>
      <c r="L197" s="10">
        <v>0</v>
      </c>
      <c r="M197" t="b">
        <v>0</v>
      </c>
      <c r="N197" t="s">
        <v>8266</v>
      </c>
      <c r="O197" s="11">
        <f t="shared" si="16"/>
        <v>0</v>
      </c>
      <c r="P197" s="12" t="str">
        <f t="shared" si="17"/>
        <v>No Backers</v>
      </c>
      <c r="Q197" s="14" t="s">
        <v>8307</v>
      </c>
      <c r="R197" t="s">
        <v>8311</v>
      </c>
      <c r="S197" s="17">
        <f t="shared" si="18"/>
        <v>42135.67050925926</v>
      </c>
      <c r="T197" s="17">
        <f t="shared" si="19"/>
        <v>42195.67050925926</v>
      </c>
      <c r="U197">
        <f>MONTH(Table1[[#This Row],[Launched]])</f>
        <v>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8220</v>
      </c>
      <c r="G198" t="s">
        <v>8224</v>
      </c>
      <c r="H198" t="s">
        <v>8246</v>
      </c>
      <c r="I198" s="8">
        <v>1444510800</v>
      </c>
      <c r="J198">
        <v>1442062898</v>
      </c>
      <c r="K198" t="b">
        <v>0</v>
      </c>
      <c r="L198" s="10">
        <v>19</v>
      </c>
      <c r="M198" t="b">
        <v>0</v>
      </c>
      <c r="N198" t="s">
        <v>8266</v>
      </c>
      <c r="O198" s="11">
        <f t="shared" si="16"/>
        <v>42</v>
      </c>
      <c r="P198" s="12">
        <f t="shared" si="17"/>
        <v>77</v>
      </c>
      <c r="Q198" s="14" t="s">
        <v>8307</v>
      </c>
      <c r="R198" t="s">
        <v>8311</v>
      </c>
      <c r="S198" s="17">
        <f t="shared" si="18"/>
        <v>42259.542800925927</v>
      </c>
      <c r="T198" s="17">
        <f t="shared" si="19"/>
        <v>42287.875</v>
      </c>
      <c r="U198">
        <f>MONTH(Table1[[#This Row],[Launched]])</f>
        <v>9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8220</v>
      </c>
      <c r="G199" t="s">
        <v>8224</v>
      </c>
      <c r="H199" t="s">
        <v>8246</v>
      </c>
      <c r="I199" s="8">
        <v>1487365200</v>
      </c>
      <c r="J199">
        <v>1483734100</v>
      </c>
      <c r="K199" t="b">
        <v>0</v>
      </c>
      <c r="L199" s="10">
        <v>8</v>
      </c>
      <c r="M199" t="b">
        <v>0</v>
      </c>
      <c r="N199" t="s">
        <v>8266</v>
      </c>
      <c r="O199" s="11">
        <f t="shared" si="16"/>
        <v>10</v>
      </c>
      <c r="P199" s="12">
        <f t="shared" si="17"/>
        <v>33</v>
      </c>
      <c r="Q199" s="14" t="s">
        <v>8307</v>
      </c>
      <c r="R199" t="s">
        <v>8311</v>
      </c>
      <c r="S199" s="17">
        <f t="shared" si="18"/>
        <v>42741.848379629635</v>
      </c>
      <c r="T199" s="17">
        <f t="shared" si="19"/>
        <v>42783.875</v>
      </c>
      <c r="U199">
        <f>MONTH(Table1[[#This Row],[Launched]])</f>
        <v>1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8220</v>
      </c>
      <c r="G200" t="s">
        <v>8223</v>
      </c>
      <c r="H200" t="s">
        <v>8245</v>
      </c>
      <c r="I200" s="8">
        <v>1412500322</v>
      </c>
      <c r="J200">
        <v>1409908322</v>
      </c>
      <c r="K200" t="b">
        <v>0</v>
      </c>
      <c r="L200" s="10">
        <v>6</v>
      </c>
      <c r="M200" t="b">
        <v>0</v>
      </c>
      <c r="N200" t="s">
        <v>8266</v>
      </c>
      <c r="O200" s="11">
        <f t="shared" si="16"/>
        <v>1</v>
      </c>
      <c r="P200" s="12">
        <f t="shared" si="17"/>
        <v>47</v>
      </c>
      <c r="Q200" s="14" t="s">
        <v>8307</v>
      </c>
      <c r="R200" t="s">
        <v>8311</v>
      </c>
      <c r="S200" s="17">
        <f t="shared" si="18"/>
        <v>41887.383356481485</v>
      </c>
      <c r="T200" s="17">
        <f t="shared" si="19"/>
        <v>41917.383356481485</v>
      </c>
      <c r="U200">
        <f>MONTH(Table1[[#This Row],[Launched]])</f>
        <v>9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8220</v>
      </c>
      <c r="G201" t="s">
        <v>8223</v>
      </c>
      <c r="H201" t="s">
        <v>8245</v>
      </c>
      <c r="I201" s="8">
        <v>1472698702</v>
      </c>
      <c r="J201">
        <v>1470106702</v>
      </c>
      <c r="K201" t="b">
        <v>0</v>
      </c>
      <c r="L201" s="10">
        <v>0</v>
      </c>
      <c r="M201" t="b">
        <v>0</v>
      </c>
      <c r="N201" t="s">
        <v>8266</v>
      </c>
      <c r="O201" s="11">
        <f t="shared" si="16"/>
        <v>0</v>
      </c>
      <c r="P201" s="12" t="str">
        <f t="shared" si="17"/>
        <v>No Backers</v>
      </c>
      <c r="Q201" s="14" t="s">
        <v>8307</v>
      </c>
      <c r="R201" t="s">
        <v>8311</v>
      </c>
      <c r="S201" s="17">
        <f t="shared" si="18"/>
        <v>42584.123865740738</v>
      </c>
      <c r="T201" s="17">
        <f t="shared" si="19"/>
        <v>42614.123865740738</v>
      </c>
      <c r="U201">
        <f>MONTH(Table1[[#This Row],[Launched]])</f>
        <v>8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8220</v>
      </c>
      <c r="G202" t="s">
        <v>8223</v>
      </c>
      <c r="H202" t="s">
        <v>8245</v>
      </c>
      <c r="I202" s="8">
        <v>1410746403</v>
      </c>
      <c r="J202">
        <v>1408154403</v>
      </c>
      <c r="K202" t="b">
        <v>0</v>
      </c>
      <c r="L202" s="10">
        <v>18</v>
      </c>
      <c r="M202" t="b">
        <v>0</v>
      </c>
      <c r="N202" t="s">
        <v>8266</v>
      </c>
      <c r="O202" s="11">
        <f t="shared" si="16"/>
        <v>26</v>
      </c>
      <c r="P202" s="12">
        <f t="shared" si="17"/>
        <v>87</v>
      </c>
      <c r="Q202" s="14" t="s">
        <v>8307</v>
      </c>
      <c r="R202" t="s">
        <v>8311</v>
      </c>
      <c r="S202" s="17">
        <f t="shared" si="18"/>
        <v>41867.083368055559</v>
      </c>
      <c r="T202" s="17">
        <f t="shared" si="19"/>
        <v>41897.083368055559</v>
      </c>
      <c r="U202">
        <f>MONTH(Table1[[#This Row],[Launched]])</f>
        <v>8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8220</v>
      </c>
      <c r="G203" t="s">
        <v>8223</v>
      </c>
      <c r="H203" t="s">
        <v>8245</v>
      </c>
      <c r="I203" s="8">
        <v>1423424329</v>
      </c>
      <c r="J203">
        <v>1421696329</v>
      </c>
      <c r="K203" t="b">
        <v>0</v>
      </c>
      <c r="L203" s="10">
        <v>7</v>
      </c>
      <c r="M203" t="b">
        <v>0</v>
      </c>
      <c r="N203" t="s">
        <v>8266</v>
      </c>
      <c r="O203" s="11">
        <f t="shared" si="16"/>
        <v>58</v>
      </c>
      <c r="P203" s="12">
        <f t="shared" si="17"/>
        <v>54</v>
      </c>
      <c r="Q203" s="14" t="s">
        <v>8307</v>
      </c>
      <c r="R203" t="s">
        <v>8311</v>
      </c>
      <c r="S203" s="17">
        <f t="shared" si="18"/>
        <v>42023.818622685183</v>
      </c>
      <c r="T203" s="17">
        <f t="shared" si="19"/>
        <v>42043.818622685183</v>
      </c>
      <c r="U203">
        <f>MONTH(Table1[[#This Row],[Launched]])</f>
        <v>1</v>
      </c>
    </row>
    <row r="204" spans="1:21" ht="15.6" x14ac:dyDescent="0.3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8220</v>
      </c>
      <c r="G204" t="s">
        <v>8223</v>
      </c>
      <c r="H204" t="s">
        <v>8245</v>
      </c>
      <c r="I204" s="8">
        <v>1444337940</v>
      </c>
      <c r="J204">
        <v>1441750564</v>
      </c>
      <c r="K204" t="b">
        <v>0</v>
      </c>
      <c r="L204" s="10">
        <v>0</v>
      </c>
      <c r="M204" t="b">
        <v>0</v>
      </c>
      <c r="N204" t="s">
        <v>8266</v>
      </c>
      <c r="O204" s="11">
        <f t="shared" si="16"/>
        <v>0</v>
      </c>
      <c r="P204" s="12" t="str">
        <f t="shared" si="17"/>
        <v>No Backers</v>
      </c>
      <c r="Q204" s="14" t="s">
        <v>8307</v>
      </c>
      <c r="R204" t="s">
        <v>8311</v>
      </c>
      <c r="S204" s="17">
        <f t="shared" si="18"/>
        <v>42255.927824074075</v>
      </c>
      <c r="T204" s="17">
        <f t="shared" si="19"/>
        <v>42285.874305555553</v>
      </c>
      <c r="U204">
        <f>MONTH(Table1[[#This Row],[Launched]])</f>
        <v>9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8220</v>
      </c>
      <c r="G205" t="s">
        <v>8224</v>
      </c>
      <c r="H205" t="s">
        <v>8246</v>
      </c>
      <c r="I205" s="8">
        <v>1422562864</v>
      </c>
      <c r="J205">
        <v>1417378864</v>
      </c>
      <c r="K205" t="b">
        <v>0</v>
      </c>
      <c r="L205" s="10">
        <v>8</v>
      </c>
      <c r="M205" t="b">
        <v>0</v>
      </c>
      <c r="N205" t="s">
        <v>8266</v>
      </c>
      <c r="O205" s="11">
        <f t="shared" si="16"/>
        <v>30</v>
      </c>
      <c r="P205" s="12">
        <f t="shared" si="17"/>
        <v>93</v>
      </c>
      <c r="Q205" s="14" t="s">
        <v>8307</v>
      </c>
      <c r="R205" t="s">
        <v>8311</v>
      </c>
      <c r="S205" s="17">
        <f t="shared" si="18"/>
        <v>41973.847962962958</v>
      </c>
      <c r="T205" s="17">
        <f t="shared" si="19"/>
        <v>42033.847962962958</v>
      </c>
      <c r="U205">
        <f>MONTH(Table1[[#This Row],[Launched]])</f>
        <v>11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8220</v>
      </c>
      <c r="G206" t="s">
        <v>8225</v>
      </c>
      <c r="H206" t="s">
        <v>8247</v>
      </c>
      <c r="I206" s="8">
        <v>1470319203</v>
      </c>
      <c r="J206">
        <v>1467727203</v>
      </c>
      <c r="K206" t="b">
        <v>0</v>
      </c>
      <c r="L206" s="10">
        <v>1293</v>
      </c>
      <c r="M206" t="b">
        <v>0</v>
      </c>
      <c r="N206" t="s">
        <v>8266</v>
      </c>
      <c r="O206" s="11">
        <f t="shared" si="16"/>
        <v>51</v>
      </c>
      <c r="P206" s="12">
        <f t="shared" si="17"/>
        <v>118</v>
      </c>
      <c r="Q206" s="14" t="s">
        <v>8307</v>
      </c>
      <c r="R206" t="s">
        <v>8311</v>
      </c>
      <c r="S206" s="17">
        <f t="shared" si="18"/>
        <v>42556.583368055552</v>
      </c>
      <c r="T206" s="17">
        <f t="shared" si="19"/>
        <v>42586.583368055552</v>
      </c>
      <c r="U206">
        <f>MONTH(Table1[[#This Row],[Launched]])</f>
        <v>7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8220</v>
      </c>
      <c r="G207" t="s">
        <v>8223</v>
      </c>
      <c r="H207" t="s">
        <v>8245</v>
      </c>
      <c r="I207" s="8">
        <v>1444144222</v>
      </c>
      <c r="J207">
        <v>1441120222</v>
      </c>
      <c r="K207" t="b">
        <v>0</v>
      </c>
      <c r="L207" s="10">
        <v>17</v>
      </c>
      <c r="M207" t="b">
        <v>0</v>
      </c>
      <c r="N207" t="s">
        <v>8266</v>
      </c>
      <c r="O207" s="11">
        <f t="shared" si="16"/>
        <v>16</v>
      </c>
      <c r="P207" s="12">
        <f t="shared" si="17"/>
        <v>76</v>
      </c>
      <c r="Q207" s="14" t="s">
        <v>8307</v>
      </c>
      <c r="R207" t="s">
        <v>8311</v>
      </c>
      <c r="S207" s="17">
        <f t="shared" si="18"/>
        <v>42248.632199074069</v>
      </c>
      <c r="T207" s="17">
        <f t="shared" si="19"/>
        <v>42283.632199074069</v>
      </c>
      <c r="U207">
        <f>MONTH(Table1[[#This Row],[Launched]])</f>
        <v>9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8220</v>
      </c>
      <c r="G208" t="s">
        <v>8223</v>
      </c>
      <c r="H208" t="s">
        <v>8245</v>
      </c>
      <c r="I208" s="8">
        <v>1470441983</v>
      </c>
      <c r="J208">
        <v>1468627583</v>
      </c>
      <c r="K208" t="b">
        <v>0</v>
      </c>
      <c r="L208" s="10">
        <v>0</v>
      </c>
      <c r="M208" t="b">
        <v>0</v>
      </c>
      <c r="N208" t="s">
        <v>8266</v>
      </c>
      <c r="O208" s="11">
        <f t="shared" si="16"/>
        <v>0</v>
      </c>
      <c r="P208" s="12" t="str">
        <f t="shared" si="17"/>
        <v>No Backers</v>
      </c>
      <c r="Q208" s="14" t="s">
        <v>8307</v>
      </c>
      <c r="R208" t="s">
        <v>8311</v>
      </c>
      <c r="S208" s="17">
        <f t="shared" si="18"/>
        <v>42567.004432870366</v>
      </c>
      <c r="T208" s="17">
        <f t="shared" si="19"/>
        <v>42588.004432870366</v>
      </c>
      <c r="U208">
        <f>MONTH(Table1[[#This Row],[Launched]])</f>
        <v>7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8220</v>
      </c>
      <c r="G209" t="s">
        <v>8228</v>
      </c>
      <c r="H209" t="s">
        <v>8250</v>
      </c>
      <c r="I209" s="8">
        <v>1420346638</v>
      </c>
      <c r="J209">
        <v>1417754638</v>
      </c>
      <c r="K209" t="b">
        <v>0</v>
      </c>
      <c r="L209" s="10">
        <v>13</v>
      </c>
      <c r="M209" t="b">
        <v>0</v>
      </c>
      <c r="N209" t="s">
        <v>8266</v>
      </c>
      <c r="O209" s="11">
        <f t="shared" si="16"/>
        <v>15</v>
      </c>
      <c r="P209" s="12">
        <f t="shared" si="17"/>
        <v>164</v>
      </c>
      <c r="Q209" s="14" t="s">
        <v>8307</v>
      </c>
      <c r="R209" t="s">
        <v>8311</v>
      </c>
      <c r="S209" s="17">
        <f t="shared" si="18"/>
        <v>41978.197199074071</v>
      </c>
      <c r="T209" s="17">
        <f t="shared" si="19"/>
        <v>42008.197199074071</v>
      </c>
      <c r="U209">
        <f>MONTH(Table1[[#This Row],[Launched]])</f>
        <v>12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8220</v>
      </c>
      <c r="G210" t="s">
        <v>8225</v>
      </c>
      <c r="H210" t="s">
        <v>8247</v>
      </c>
      <c r="I210" s="8">
        <v>1418719967</v>
      </c>
      <c r="J210">
        <v>1416127967</v>
      </c>
      <c r="K210" t="b">
        <v>0</v>
      </c>
      <c r="L210" s="10">
        <v>0</v>
      </c>
      <c r="M210" t="b">
        <v>0</v>
      </c>
      <c r="N210" t="s">
        <v>8266</v>
      </c>
      <c r="O210" s="11">
        <f t="shared" si="16"/>
        <v>0</v>
      </c>
      <c r="P210" s="12" t="str">
        <f t="shared" si="17"/>
        <v>No Backers</v>
      </c>
      <c r="Q210" s="14" t="s">
        <v>8307</v>
      </c>
      <c r="R210" t="s">
        <v>8311</v>
      </c>
      <c r="S210" s="17">
        <f t="shared" si="18"/>
        <v>41959.369988425926</v>
      </c>
      <c r="T210" s="17">
        <f t="shared" si="19"/>
        <v>41989.369988425926</v>
      </c>
      <c r="U210">
        <f>MONTH(Table1[[#This Row],[Launched]])</f>
        <v>11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8220</v>
      </c>
      <c r="G211" t="s">
        <v>8223</v>
      </c>
      <c r="H211" t="s">
        <v>8245</v>
      </c>
      <c r="I211" s="8">
        <v>1436566135</v>
      </c>
      <c r="J211">
        <v>1433974135</v>
      </c>
      <c r="K211" t="b">
        <v>0</v>
      </c>
      <c r="L211" s="10">
        <v>0</v>
      </c>
      <c r="M211" t="b">
        <v>0</v>
      </c>
      <c r="N211" t="s">
        <v>8266</v>
      </c>
      <c r="O211" s="11">
        <f t="shared" si="16"/>
        <v>0</v>
      </c>
      <c r="P211" s="12" t="str">
        <f t="shared" si="17"/>
        <v>No Backers</v>
      </c>
      <c r="Q211" s="14" t="s">
        <v>8307</v>
      </c>
      <c r="R211" t="s">
        <v>8311</v>
      </c>
      <c r="S211" s="17">
        <f t="shared" si="18"/>
        <v>42165.922858796301</v>
      </c>
      <c r="T211" s="17">
        <f t="shared" si="19"/>
        <v>42195.922858796301</v>
      </c>
      <c r="U211">
        <f>MONTH(Table1[[#This Row],[Launched]])</f>
        <v>6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8220</v>
      </c>
      <c r="G212" t="s">
        <v>8223</v>
      </c>
      <c r="H212" t="s">
        <v>8245</v>
      </c>
      <c r="I212" s="8">
        <v>1443675600</v>
      </c>
      <c r="J212">
        <v>1441157592</v>
      </c>
      <c r="K212" t="b">
        <v>0</v>
      </c>
      <c r="L212" s="10">
        <v>33</v>
      </c>
      <c r="M212" t="b">
        <v>0</v>
      </c>
      <c r="N212" t="s">
        <v>8266</v>
      </c>
      <c r="O212" s="11">
        <f t="shared" si="16"/>
        <v>25</v>
      </c>
      <c r="P212" s="12">
        <f t="shared" si="17"/>
        <v>92</v>
      </c>
      <c r="Q212" s="14" t="s">
        <v>8307</v>
      </c>
      <c r="R212" t="s">
        <v>8311</v>
      </c>
      <c r="S212" s="17">
        <f t="shared" si="18"/>
        <v>42249.064722222218</v>
      </c>
      <c r="T212" s="17">
        <f t="shared" si="19"/>
        <v>42278.208333333328</v>
      </c>
      <c r="U212">
        <f>MONTH(Table1[[#This Row],[Launched]])</f>
        <v>9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8220</v>
      </c>
      <c r="G213" t="s">
        <v>8223</v>
      </c>
      <c r="H213" t="s">
        <v>8245</v>
      </c>
      <c r="I213" s="8">
        <v>1442634617</v>
      </c>
      <c r="J213">
        <v>1440042617</v>
      </c>
      <c r="K213" t="b">
        <v>0</v>
      </c>
      <c r="L213" s="10">
        <v>12</v>
      </c>
      <c r="M213" t="b">
        <v>0</v>
      </c>
      <c r="N213" t="s">
        <v>8266</v>
      </c>
      <c r="O213" s="11">
        <f t="shared" si="16"/>
        <v>45</v>
      </c>
      <c r="P213" s="12">
        <f t="shared" si="17"/>
        <v>186</v>
      </c>
      <c r="Q213" s="14" t="s">
        <v>8307</v>
      </c>
      <c r="R213" t="s">
        <v>8311</v>
      </c>
      <c r="S213" s="17">
        <f t="shared" si="18"/>
        <v>42236.159918981488</v>
      </c>
      <c r="T213" s="17">
        <f t="shared" si="19"/>
        <v>42266.159918981488</v>
      </c>
      <c r="U213">
        <f>MONTH(Table1[[#This Row],[Launched]])</f>
        <v>8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8220</v>
      </c>
      <c r="G214" t="s">
        <v>8223</v>
      </c>
      <c r="H214" t="s">
        <v>8245</v>
      </c>
      <c r="I214" s="8">
        <v>1460837320</v>
      </c>
      <c r="J214">
        <v>1455656920</v>
      </c>
      <c r="K214" t="b">
        <v>0</v>
      </c>
      <c r="L214" s="10">
        <v>1</v>
      </c>
      <c r="M214" t="b">
        <v>0</v>
      </c>
      <c r="N214" t="s">
        <v>8266</v>
      </c>
      <c r="O214" s="11">
        <f t="shared" si="16"/>
        <v>0</v>
      </c>
      <c r="P214" s="12">
        <f t="shared" si="17"/>
        <v>1</v>
      </c>
      <c r="Q214" s="14" t="s">
        <v>8307</v>
      </c>
      <c r="R214" t="s">
        <v>8311</v>
      </c>
      <c r="S214" s="17">
        <f t="shared" si="18"/>
        <v>42416.881018518514</v>
      </c>
      <c r="T214" s="17">
        <f t="shared" si="19"/>
        <v>42476.839351851857</v>
      </c>
      <c r="U214">
        <f>MONTH(Table1[[#This Row],[Launched]])</f>
        <v>2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8220</v>
      </c>
      <c r="G215" t="s">
        <v>8223</v>
      </c>
      <c r="H215" t="s">
        <v>8245</v>
      </c>
      <c r="I215" s="8">
        <v>1439734001</v>
      </c>
      <c r="J215">
        <v>1437142547</v>
      </c>
      <c r="K215" t="b">
        <v>0</v>
      </c>
      <c r="L215" s="10">
        <v>1</v>
      </c>
      <c r="M215" t="b">
        <v>0</v>
      </c>
      <c r="N215" t="s">
        <v>8266</v>
      </c>
      <c r="O215" s="11">
        <f t="shared" si="16"/>
        <v>0</v>
      </c>
      <c r="P215" s="12">
        <f t="shared" si="17"/>
        <v>20</v>
      </c>
      <c r="Q215" s="14" t="s">
        <v>8307</v>
      </c>
      <c r="R215" t="s">
        <v>8311</v>
      </c>
      <c r="S215" s="17">
        <f t="shared" si="18"/>
        <v>42202.594293981485</v>
      </c>
      <c r="T215" s="17">
        <f t="shared" si="19"/>
        <v>42232.587974537033</v>
      </c>
      <c r="U215">
        <f>MONTH(Table1[[#This Row],[Launched]])</f>
        <v>7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8220</v>
      </c>
      <c r="G216" t="s">
        <v>8223</v>
      </c>
      <c r="H216" t="s">
        <v>8245</v>
      </c>
      <c r="I216" s="8">
        <v>1425655349</v>
      </c>
      <c r="J216">
        <v>1420471349</v>
      </c>
      <c r="K216" t="b">
        <v>0</v>
      </c>
      <c r="L216" s="10">
        <v>1</v>
      </c>
      <c r="M216" t="b">
        <v>0</v>
      </c>
      <c r="N216" t="s">
        <v>8266</v>
      </c>
      <c r="O216" s="11">
        <f t="shared" si="16"/>
        <v>0</v>
      </c>
      <c r="P216" s="12">
        <f t="shared" si="17"/>
        <v>1</v>
      </c>
      <c r="Q216" s="14" t="s">
        <v>8307</v>
      </c>
      <c r="R216" t="s">
        <v>8311</v>
      </c>
      <c r="S216" s="17">
        <f t="shared" si="18"/>
        <v>42009.64061342593</v>
      </c>
      <c r="T216" s="17">
        <f t="shared" si="19"/>
        <v>42069.64061342593</v>
      </c>
      <c r="U216">
        <f>MONTH(Table1[[#This Row],[Launched]])</f>
        <v>1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8220</v>
      </c>
      <c r="G217" t="s">
        <v>8224</v>
      </c>
      <c r="H217" t="s">
        <v>8246</v>
      </c>
      <c r="I217" s="8">
        <v>1455753540</v>
      </c>
      <c r="J217">
        <v>1452058282</v>
      </c>
      <c r="K217" t="b">
        <v>0</v>
      </c>
      <c r="L217" s="10">
        <v>1</v>
      </c>
      <c r="M217" t="b">
        <v>0</v>
      </c>
      <c r="N217" t="s">
        <v>8266</v>
      </c>
      <c r="O217" s="11">
        <f t="shared" si="16"/>
        <v>0</v>
      </c>
      <c r="P217" s="12">
        <f t="shared" si="17"/>
        <v>10</v>
      </c>
      <c r="Q217" s="14" t="s">
        <v>8307</v>
      </c>
      <c r="R217" t="s">
        <v>8311</v>
      </c>
      <c r="S217" s="17">
        <f t="shared" si="18"/>
        <v>42375.230115740742</v>
      </c>
      <c r="T217" s="17">
        <f t="shared" si="19"/>
        <v>42417.999305555553</v>
      </c>
      <c r="U217">
        <f>MONTH(Table1[[#This Row],[Launched]])</f>
        <v>1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 s="8">
        <v>1429740037</v>
      </c>
      <c r="J218">
        <v>1425423637</v>
      </c>
      <c r="K218" t="b">
        <v>0</v>
      </c>
      <c r="L218" s="10">
        <v>84</v>
      </c>
      <c r="M218" t="b">
        <v>0</v>
      </c>
      <c r="N218" t="s">
        <v>8266</v>
      </c>
      <c r="O218" s="11">
        <f t="shared" si="16"/>
        <v>56</v>
      </c>
      <c r="P218" s="12">
        <f t="shared" si="17"/>
        <v>332</v>
      </c>
      <c r="Q218" s="14" t="s">
        <v>8307</v>
      </c>
      <c r="R218" t="s">
        <v>8311</v>
      </c>
      <c r="S218" s="17">
        <f t="shared" si="18"/>
        <v>42066.958761574075</v>
      </c>
      <c r="T218" s="17">
        <f t="shared" si="19"/>
        <v>42116.917094907403</v>
      </c>
      <c r="U218">
        <f>MONTH(Table1[[#This Row],[Launched]])</f>
        <v>3</v>
      </c>
    </row>
    <row r="219" spans="1:21" ht="15.6" x14ac:dyDescent="0.3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8220</v>
      </c>
      <c r="G219" t="s">
        <v>8234</v>
      </c>
      <c r="H219" t="s">
        <v>8254</v>
      </c>
      <c r="I219" s="8">
        <v>1419780149</v>
      </c>
      <c r="J219">
        <v>1417101749</v>
      </c>
      <c r="K219" t="b">
        <v>0</v>
      </c>
      <c r="L219" s="10">
        <v>38</v>
      </c>
      <c r="M219" t="b">
        <v>0</v>
      </c>
      <c r="N219" t="s">
        <v>8266</v>
      </c>
      <c r="O219" s="11">
        <f t="shared" si="16"/>
        <v>12</v>
      </c>
      <c r="P219" s="12">
        <f t="shared" si="17"/>
        <v>314</v>
      </c>
      <c r="Q219" s="14" t="s">
        <v>8307</v>
      </c>
      <c r="R219" t="s">
        <v>8311</v>
      </c>
      <c r="S219" s="17">
        <f t="shared" si="18"/>
        <v>41970.64061342593</v>
      </c>
      <c r="T219" s="17">
        <f t="shared" si="19"/>
        <v>42001.64061342593</v>
      </c>
      <c r="U219">
        <f>MONTH(Table1[[#This Row],[Launched]])</f>
        <v>11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8220</v>
      </c>
      <c r="G220" t="s">
        <v>8223</v>
      </c>
      <c r="H220" t="s">
        <v>8245</v>
      </c>
      <c r="I220" s="8">
        <v>1431702289</v>
      </c>
      <c r="J220">
        <v>1426518289</v>
      </c>
      <c r="K220" t="b">
        <v>0</v>
      </c>
      <c r="L220" s="10">
        <v>1</v>
      </c>
      <c r="M220" t="b">
        <v>0</v>
      </c>
      <c r="N220" t="s">
        <v>8266</v>
      </c>
      <c r="O220" s="11">
        <f t="shared" si="16"/>
        <v>2</v>
      </c>
      <c r="P220" s="12">
        <f t="shared" si="17"/>
        <v>100</v>
      </c>
      <c r="Q220" s="14" t="s">
        <v>8307</v>
      </c>
      <c r="R220" t="s">
        <v>8311</v>
      </c>
      <c r="S220" s="17">
        <f t="shared" si="18"/>
        <v>42079.628344907411</v>
      </c>
      <c r="T220" s="17">
        <f t="shared" si="19"/>
        <v>42139.628344907411</v>
      </c>
      <c r="U220">
        <f>MONTH(Table1[[#This Row],[Launched]])</f>
        <v>3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8220</v>
      </c>
      <c r="G221" t="s">
        <v>8223</v>
      </c>
      <c r="H221" t="s">
        <v>8245</v>
      </c>
      <c r="I221" s="8">
        <v>1459493940</v>
      </c>
      <c r="J221">
        <v>1456732225</v>
      </c>
      <c r="K221" t="b">
        <v>0</v>
      </c>
      <c r="L221" s="10">
        <v>76</v>
      </c>
      <c r="M221" t="b">
        <v>0</v>
      </c>
      <c r="N221" t="s">
        <v>8266</v>
      </c>
      <c r="O221" s="11">
        <f t="shared" si="16"/>
        <v>18</v>
      </c>
      <c r="P221" s="12">
        <f t="shared" si="17"/>
        <v>116</v>
      </c>
      <c r="Q221" s="14" t="s">
        <v>8307</v>
      </c>
      <c r="R221" t="s">
        <v>8311</v>
      </c>
      <c r="S221" s="17">
        <f t="shared" si="18"/>
        <v>42429.326678240745</v>
      </c>
      <c r="T221" s="17">
        <f t="shared" si="19"/>
        <v>42461.290972222225</v>
      </c>
      <c r="U221">
        <f>MONTH(Table1[[#This Row],[Launched]])</f>
        <v>2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8220</v>
      </c>
      <c r="G222" t="s">
        <v>8223</v>
      </c>
      <c r="H222" t="s">
        <v>8245</v>
      </c>
      <c r="I222" s="8">
        <v>1440101160</v>
      </c>
      <c r="J222">
        <v>1436542030</v>
      </c>
      <c r="K222" t="b">
        <v>0</v>
      </c>
      <c r="L222" s="10">
        <v>3</v>
      </c>
      <c r="M222" t="b">
        <v>0</v>
      </c>
      <c r="N222" t="s">
        <v>8266</v>
      </c>
      <c r="O222" s="11">
        <f t="shared" si="16"/>
        <v>1</v>
      </c>
      <c r="P222" s="12">
        <f t="shared" si="17"/>
        <v>120</v>
      </c>
      <c r="Q222" s="14" t="s">
        <v>8307</v>
      </c>
      <c r="R222" t="s">
        <v>8311</v>
      </c>
      <c r="S222" s="17">
        <f t="shared" si="18"/>
        <v>42195.643865740742</v>
      </c>
      <c r="T222" s="17">
        <f t="shared" si="19"/>
        <v>42236.837499999994</v>
      </c>
      <c r="U222">
        <f>MONTH(Table1[[#This Row],[Launched]])</f>
        <v>7</v>
      </c>
    </row>
    <row r="223" spans="1:21" ht="15.6" x14ac:dyDescent="0.3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8220</v>
      </c>
      <c r="G223" t="s">
        <v>8223</v>
      </c>
      <c r="H223" t="s">
        <v>8245</v>
      </c>
      <c r="I223" s="8">
        <v>1427569564</v>
      </c>
      <c r="J223">
        <v>1422389164</v>
      </c>
      <c r="K223" t="b">
        <v>0</v>
      </c>
      <c r="L223" s="10">
        <v>0</v>
      </c>
      <c r="M223" t="b">
        <v>0</v>
      </c>
      <c r="N223" t="s">
        <v>8266</v>
      </c>
      <c r="O223" s="11">
        <f t="shared" si="16"/>
        <v>0</v>
      </c>
      <c r="P223" s="12" t="str">
        <f t="shared" si="17"/>
        <v>No Backers</v>
      </c>
      <c r="Q223" s="14" t="s">
        <v>8307</v>
      </c>
      <c r="R223" t="s">
        <v>8311</v>
      </c>
      <c r="S223" s="17">
        <f t="shared" si="18"/>
        <v>42031.837546296301</v>
      </c>
      <c r="T223" s="17">
        <f t="shared" si="19"/>
        <v>42091.79587962963</v>
      </c>
      <c r="U223">
        <f>MONTH(Table1[[#This Row],[Launched]])</f>
        <v>1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8220</v>
      </c>
      <c r="G224" t="s">
        <v>8223</v>
      </c>
      <c r="H224" t="s">
        <v>8245</v>
      </c>
      <c r="I224" s="8">
        <v>1427423940</v>
      </c>
      <c r="J224">
        <v>1422383318</v>
      </c>
      <c r="K224" t="b">
        <v>0</v>
      </c>
      <c r="L224" s="10">
        <v>2</v>
      </c>
      <c r="M224" t="b">
        <v>0</v>
      </c>
      <c r="N224" t="s">
        <v>8266</v>
      </c>
      <c r="O224" s="11">
        <f t="shared" si="16"/>
        <v>13</v>
      </c>
      <c r="P224" s="12">
        <f t="shared" si="17"/>
        <v>65</v>
      </c>
      <c r="Q224" s="14" t="s">
        <v>8307</v>
      </c>
      <c r="R224" t="s">
        <v>8311</v>
      </c>
      <c r="S224" s="17">
        <f t="shared" si="18"/>
        <v>42031.769884259258</v>
      </c>
      <c r="T224" s="17">
        <f t="shared" si="19"/>
        <v>42090.110416666663</v>
      </c>
      <c r="U224">
        <f>MONTH(Table1[[#This Row],[Launched]])</f>
        <v>1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8220</v>
      </c>
      <c r="G225" t="s">
        <v>8223</v>
      </c>
      <c r="H225" t="s">
        <v>8245</v>
      </c>
      <c r="I225" s="8">
        <v>1463879100</v>
      </c>
      <c r="J225">
        <v>1461287350</v>
      </c>
      <c r="K225" t="b">
        <v>0</v>
      </c>
      <c r="L225" s="10">
        <v>0</v>
      </c>
      <c r="M225" t="b">
        <v>0</v>
      </c>
      <c r="N225" t="s">
        <v>8266</v>
      </c>
      <c r="O225" s="11">
        <f t="shared" si="16"/>
        <v>0</v>
      </c>
      <c r="P225" s="12" t="str">
        <f t="shared" si="17"/>
        <v>No Backers</v>
      </c>
      <c r="Q225" s="14" t="s">
        <v>8307</v>
      </c>
      <c r="R225" t="s">
        <v>8311</v>
      </c>
      <c r="S225" s="17">
        <f t="shared" si="18"/>
        <v>42482.048032407409</v>
      </c>
      <c r="T225" s="17">
        <f t="shared" si="19"/>
        <v>42512.045138888891</v>
      </c>
      <c r="U225">
        <f>MONTH(Table1[[#This Row],[Launched]])</f>
        <v>4</v>
      </c>
    </row>
    <row r="226" spans="1:21" ht="57.6" x14ac:dyDescent="0.3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8220</v>
      </c>
      <c r="G226" t="s">
        <v>8225</v>
      </c>
      <c r="H226" t="s">
        <v>8247</v>
      </c>
      <c r="I226" s="8">
        <v>1436506726</v>
      </c>
      <c r="J226">
        <v>1431322726</v>
      </c>
      <c r="K226" t="b">
        <v>0</v>
      </c>
      <c r="L226" s="10">
        <v>0</v>
      </c>
      <c r="M226" t="b">
        <v>0</v>
      </c>
      <c r="N226" t="s">
        <v>8266</v>
      </c>
      <c r="O226" s="11">
        <f t="shared" si="16"/>
        <v>0</v>
      </c>
      <c r="P226" s="12" t="str">
        <f t="shared" si="17"/>
        <v>No Backers</v>
      </c>
      <c r="Q226" s="14" t="s">
        <v>8307</v>
      </c>
      <c r="R226" t="s">
        <v>8311</v>
      </c>
      <c r="S226" s="17">
        <f t="shared" si="18"/>
        <v>42135.235254629632</v>
      </c>
      <c r="T226" s="17">
        <f t="shared" si="19"/>
        <v>42195.235254629632</v>
      </c>
      <c r="U226">
        <f>MONTH(Table1[[#This Row],[Launched]])</f>
        <v>5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8220</v>
      </c>
      <c r="G227" t="s">
        <v>8223</v>
      </c>
      <c r="H227" t="s">
        <v>8245</v>
      </c>
      <c r="I227" s="8">
        <v>1460153054</v>
      </c>
      <c r="J227">
        <v>1457564654</v>
      </c>
      <c r="K227" t="b">
        <v>0</v>
      </c>
      <c r="L227" s="10">
        <v>0</v>
      </c>
      <c r="M227" t="b">
        <v>0</v>
      </c>
      <c r="N227" t="s">
        <v>8266</v>
      </c>
      <c r="O227" s="11">
        <f t="shared" si="16"/>
        <v>0</v>
      </c>
      <c r="P227" s="12" t="str">
        <f t="shared" si="17"/>
        <v>No Backers</v>
      </c>
      <c r="Q227" s="14" t="s">
        <v>8307</v>
      </c>
      <c r="R227" t="s">
        <v>8311</v>
      </c>
      <c r="S227" s="17">
        <f t="shared" si="18"/>
        <v>42438.961273148147</v>
      </c>
      <c r="T227" s="17">
        <f t="shared" si="19"/>
        <v>42468.919606481482</v>
      </c>
      <c r="U227">
        <f>MONTH(Table1[[#This Row],[Launched]])</f>
        <v>3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8220</v>
      </c>
      <c r="G228" t="s">
        <v>8224</v>
      </c>
      <c r="H228" t="s">
        <v>8246</v>
      </c>
      <c r="I228" s="8">
        <v>1433064540</v>
      </c>
      <c r="J228">
        <v>1428854344</v>
      </c>
      <c r="K228" t="b">
        <v>0</v>
      </c>
      <c r="L228" s="10">
        <v>2</v>
      </c>
      <c r="M228" t="b">
        <v>0</v>
      </c>
      <c r="N228" t="s">
        <v>8266</v>
      </c>
      <c r="O228" s="11">
        <f t="shared" si="16"/>
        <v>1</v>
      </c>
      <c r="P228" s="12">
        <f t="shared" si="17"/>
        <v>125</v>
      </c>
      <c r="Q228" s="14" t="s">
        <v>8307</v>
      </c>
      <c r="R228" t="s">
        <v>8311</v>
      </c>
      <c r="S228" s="17">
        <f t="shared" si="18"/>
        <v>42106.666018518517</v>
      </c>
      <c r="T228" s="17">
        <f t="shared" si="19"/>
        <v>42155.395138888889</v>
      </c>
      <c r="U228">
        <f>MONTH(Table1[[#This Row],[Launched]])</f>
        <v>4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8220</v>
      </c>
      <c r="G229" t="s">
        <v>8223</v>
      </c>
      <c r="H229" t="s">
        <v>8245</v>
      </c>
      <c r="I229" s="8">
        <v>1436477241</v>
      </c>
      <c r="J229">
        <v>1433885241</v>
      </c>
      <c r="K229" t="b">
        <v>0</v>
      </c>
      <c r="L229" s="10">
        <v>0</v>
      </c>
      <c r="M229" t="b">
        <v>0</v>
      </c>
      <c r="N229" t="s">
        <v>8266</v>
      </c>
      <c r="O229" s="11">
        <f t="shared" si="16"/>
        <v>0</v>
      </c>
      <c r="P229" s="12" t="str">
        <f t="shared" si="17"/>
        <v>No Backers</v>
      </c>
      <c r="Q229" s="14" t="s">
        <v>8307</v>
      </c>
      <c r="R229" t="s">
        <v>8311</v>
      </c>
      <c r="S229" s="17">
        <f t="shared" si="18"/>
        <v>42164.893993055557</v>
      </c>
      <c r="T229" s="17">
        <f t="shared" si="19"/>
        <v>42194.893993055557</v>
      </c>
      <c r="U229">
        <f>MONTH(Table1[[#This Row],[Launched]])</f>
        <v>6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8220</v>
      </c>
      <c r="G230" t="s">
        <v>8224</v>
      </c>
      <c r="H230" t="s">
        <v>8246</v>
      </c>
      <c r="I230" s="8">
        <v>1433176105</v>
      </c>
      <c r="J230">
        <v>1427992105</v>
      </c>
      <c r="K230" t="b">
        <v>0</v>
      </c>
      <c r="L230" s="10">
        <v>0</v>
      </c>
      <c r="M230" t="b">
        <v>0</v>
      </c>
      <c r="N230" t="s">
        <v>8266</v>
      </c>
      <c r="O230" s="11">
        <f t="shared" si="16"/>
        <v>0</v>
      </c>
      <c r="P230" s="12" t="str">
        <f t="shared" si="17"/>
        <v>No Backers</v>
      </c>
      <c r="Q230" s="14" t="s">
        <v>8307</v>
      </c>
      <c r="R230" t="s">
        <v>8311</v>
      </c>
      <c r="S230" s="17">
        <f t="shared" si="18"/>
        <v>42096.686400462961</v>
      </c>
      <c r="T230" s="17">
        <f t="shared" si="19"/>
        <v>42156.686400462961</v>
      </c>
      <c r="U230">
        <f>MONTH(Table1[[#This Row],[Launched]])</f>
        <v>4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8220</v>
      </c>
      <c r="G231" t="s">
        <v>8235</v>
      </c>
      <c r="H231" t="s">
        <v>8248</v>
      </c>
      <c r="I231" s="8">
        <v>1455402297</v>
      </c>
      <c r="J231">
        <v>1452810297</v>
      </c>
      <c r="K231" t="b">
        <v>0</v>
      </c>
      <c r="L231" s="10">
        <v>0</v>
      </c>
      <c r="M231" t="b">
        <v>0</v>
      </c>
      <c r="N231" t="s">
        <v>8266</v>
      </c>
      <c r="O231" s="11">
        <f t="shared" si="16"/>
        <v>0</v>
      </c>
      <c r="P231" s="12" t="str">
        <f t="shared" si="17"/>
        <v>No Backers</v>
      </c>
      <c r="Q231" s="14" t="s">
        <v>8307</v>
      </c>
      <c r="R231" t="s">
        <v>8311</v>
      </c>
      <c r="S231" s="17">
        <f t="shared" si="18"/>
        <v>42383.933993055558</v>
      </c>
      <c r="T231" s="17">
        <f t="shared" si="19"/>
        <v>42413.933993055558</v>
      </c>
      <c r="U231">
        <f>MONTH(Table1[[#This Row],[Launched]])</f>
        <v>1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8220</v>
      </c>
      <c r="G232" t="s">
        <v>8223</v>
      </c>
      <c r="H232" t="s">
        <v>8245</v>
      </c>
      <c r="I232" s="8">
        <v>1433443151</v>
      </c>
      <c r="J232">
        <v>1430851151</v>
      </c>
      <c r="K232" t="b">
        <v>0</v>
      </c>
      <c r="L232" s="10">
        <v>2</v>
      </c>
      <c r="M232" t="b">
        <v>0</v>
      </c>
      <c r="N232" t="s">
        <v>8266</v>
      </c>
      <c r="O232" s="11">
        <f t="shared" si="16"/>
        <v>0</v>
      </c>
      <c r="P232" s="12">
        <f t="shared" si="17"/>
        <v>30</v>
      </c>
      <c r="Q232" s="14" t="s">
        <v>8307</v>
      </c>
      <c r="R232" t="s">
        <v>8311</v>
      </c>
      <c r="S232" s="17">
        <f t="shared" si="18"/>
        <v>42129.777210648142</v>
      </c>
      <c r="T232" s="17">
        <f t="shared" si="19"/>
        <v>42159.777210648142</v>
      </c>
      <c r="U232">
        <f>MONTH(Table1[[#This Row],[Launched]])</f>
        <v>5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8220</v>
      </c>
      <c r="G233" t="s">
        <v>8223</v>
      </c>
      <c r="H233" t="s">
        <v>8245</v>
      </c>
      <c r="I233" s="8">
        <v>1451775651</v>
      </c>
      <c r="J233">
        <v>1449183651</v>
      </c>
      <c r="K233" t="b">
        <v>0</v>
      </c>
      <c r="L233" s="10">
        <v>0</v>
      </c>
      <c r="M233" t="b">
        <v>0</v>
      </c>
      <c r="N233" t="s">
        <v>8266</v>
      </c>
      <c r="O233" s="11">
        <f t="shared" si="16"/>
        <v>0</v>
      </c>
      <c r="P233" s="12" t="str">
        <f t="shared" si="17"/>
        <v>No Backers</v>
      </c>
      <c r="Q233" s="14" t="s">
        <v>8307</v>
      </c>
      <c r="R233" t="s">
        <v>8311</v>
      </c>
      <c r="S233" s="17">
        <f t="shared" si="18"/>
        <v>42341.958923611113</v>
      </c>
      <c r="T233" s="17">
        <f t="shared" si="19"/>
        <v>42371.958923611113</v>
      </c>
      <c r="U233">
        <f>MONTH(Table1[[#This Row],[Launched]])</f>
        <v>12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8220</v>
      </c>
      <c r="G234" t="s">
        <v>8224</v>
      </c>
      <c r="H234" t="s">
        <v>8246</v>
      </c>
      <c r="I234" s="8">
        <v>1425066546</v>
      </c>
      <c r="J234">
        <v>1422474546</v>
      </c>
      <c r="K234" t="b">
        <v>0</v>
      </c>
      <c r="L234" s="10">
        <v>7</v>
      </c>
      <c r="M234" t="b">
        <v>0</v>
      </c>
      <c r="N234" t="s">
        <v>8266</v>
      </c>
      <c r="O234" s="11">
        <f t="shared" si="16"/>
        <v>3</v>
      </c>
      <c r="P234" s="12">
        <f t="shared" si="17"/>
        <v>16</v>
      </c>
      <c r="Q234" s="14" t="s">
        <v>8307</v>
      </c>
      <c r="R234" t="s">
        <v>8311</v>
      </c>
      <c r="S234" s="17">
        <f t="shared" si="18"/>
        <v>42032.82576388889</v>
      </c>
      <c r="T234" s="17">
        <f t="shared" si="19"/>
        <v>42062.82576388889</v>
      </c>
      <c r="U234">
        <f>MONTH(Table1[[#This Row],[Launched]])</f>
        <v>1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8220</v>
      </c>
      <c r="G235" t="s">
        <v>8223</v>
      </c>
      <c r="H235" t="s">
        <v>8245</v>
      </c>
      <c r="I235" s="8">
        <v>1475185972</v>
      </c>
      <c r="J235">
        <v>1472593972</v>
      </c>
      <c r="K235" t="b">
        <v>0</v>
      </c>
      <c r="L235" s="10">
        <v>0</v>
      </c>
      <c r="M235" t="b">
        <v>0</v>
      </c>
      <c r="N235" t="s">
        <v>8266</v>
      </c>
      <c r="O235" s="11">
        <f t="shared" si="16"/>
        <v>0</v>
      </c>
      <c r="P235" s="12" t="str">
        <f t="shared" si="17"/>
        <v>No Backers</v>
      </c>
      <c r="Q235" s="14" t="s">
        <v>8307</v>
      </c>
      <c r="R235" t="s">
        <v>8311</v>
      </c>
      <c r="S235" s="17">
        <f t="shared" si="18"/>
        <v>42612.911712962959</v>
      </c>
      <c r="T235" s="17">
        <f t="shared" si="19"/>
        <v>42642.911712962959</v>
      </c>
      <c r="U235">
        <f>MONTH(Table1[[#This Row],[Launched]])</f>
        <v>8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8220</v>
      </c>
      <c r="G236" t="s">
        <v>8223</v>
      </c>
      <c r="H236" t="s">
        <v>8245</v>
      </c>
      <c r="I236" s="8">
        <v>1434847859</v>
      </c>
      <c r="J236">
        <v>1431391859</v>
      </c>
      <c r="K236" t="b">
        <v>0</v>
      </c>
      <c r="L236" s="10">
        <v>5</v>
      </c>
      <c r="M236" t="b">
        <v>0</v>
      </c>
      <c r="N236" t="s">
        <v>8266</v>
      </c>
      <c r="O236" s="11">
        <f t="shared" si="16"/>
        <v>40</v>
      </c>
      <c r="P236" s="12">
        <f t="shared" si="17"/>
        <v>80</v>
      </c>
      <c r="Q236" s="14" t="s">
        <v>8307</v>
      </c>
      <c r="R236" t="s">
        <v>8311</v>
      </c>
      <c r="S236" s="17">
        <f t="shared" si="18"/>
        <v>42136.035405092596</v>
      </c>
      <c r="T236" s="17">
        <f t="shared" si="19"/>
        <v>42176.035405092596</v>
      </c>
      <c r="U236">
        <f>MONTH(Table1[[#This Row],[Launched]])</f>
        <v>5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8220</v>
      </c>
      <c r="G237" t="s">
        <v>8223</v>
      </c>
      <c r="H237" t="s">
        <v>8245</v>
      </c>
      <c r="I237" s="8">
        <v>1436478497</v>
      </c>
      <c r="J237">
        <v>1433886497</v>
      </c>
      <c r="K237" t="b">
        <v>0</v>
      </c>
      <c r="L237" s="10">
        <v>0</v>
      </c>
      <c r="M237" t="b">
        <v>0</v>
      </c>
      <c r="N237" t="s">
        <v>8266</v>
      </c>
      <c r="O237" s="11">
        <f t="shared" si="16"/>
        <v>0</v>
      </c>
      <c r="P237" s="12" t="str">
        <f t="shared" si="17"/>
        <v>No Backers</v>
      </c>
      <c r="Q237" s="14" t="s">
        <v>8307</v>
      </c>
      <c r="R237" t="s">
        <v>8311</v>
      </c>
      <c r="S237" s="17">
        <f t="shared" si="18"/>
        <v>42164.908530092594</v>
      </c>
      <c r="T237" s="17">
        <f t="shared" si="19"/>
        <v>42194.908530092594</v>
      </c>
      <c r="U237">
        <f>MONTH(Table1[[#This Row],[Launched]])</f>
        <v>6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8220</v>
      </c>
      <c r="G238" t="s">
        <v>8223</v>
      </c>
      <c r="H238" t="s">
        <v>8245</v>
      </c>
      <c r="I238" s="8">
        <v>1451952000</v>
      </c>
      <c r="J238">
        <v>1447380099</v>
      </c>
      <c r="K238" t="b">
        <v>0</v>
      </c>
      <c r="L238" s="10">
        <v>0</v>
      </c>
      <c r="M238" t="b">
        <v>0</v>
      </c>
      <c r="N238" t="s">
        <v>8266</v>
      </c>
      <c r="O238" s="11">
        <f t="shared" si="16"/>
        <v>0</v>
      </c>
      <c r="P238" s="12" t="str">
        <f t="shared" si="17"/>
        <v>No Backers</v>
      </c>
      <c r="Q238" s="14" t="s">
        <v>8307</v>
      </c>
      <c r="R238" t="s">
        <v>8311</v>
      </c>
      <c r="S238" s="17">
        <f t="shared" si="18"/>
        <v>42321.08447916666</v>
      </c>
      <c r="T238" s="17">
        <f t="shared" si="19"/>
        <v>42374</v>
      </c>
      <c r="U238">
        <f>MONTH(Table1[[#This Row],[Launched]])</f>
        <v>11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8220</v>
      </c>
      <c r="G239" t="s">
        <v>8223</v>
      </c>
      <c r="H239" t="s">
        <v>8245</v>
      </c>
      <c r="I239" s="8">
        <v>1457445069</v>
      </c>
      <c r="J239">
        <v>1452261069</v>
      </c>
      <c r="K239" t="b">
        <v>0</v>
      </c>
      <c r="L239" s="10">
        <v>1</v>
      </c>
      <c r="M239" t="b">
        <v>0</v>
      </c>
      <c r="N239" t="s">
        <v>8266</v>
      </c>
      <c r="O239" s="11">
        <f t="shared" si="16"/>
        <v>0</v>
      </c>
      <c r="P239" s="12">
        <f t="shared" si="17"/>
        <v>50</v>
      </c>
      <c r="Q239" s="14" t="s">
        <v>8307</v>
      </c>
      <c r="R239" t="s">
        <v>8311</v>
      </c>
      <c r="S239" s="17">
        <f t="shared" si="18"/>
        <v>42377.577187499999</v>
      </c>
      <c r="T239" s="17">
        <f t="shared" si="19"/>
        <v>42437.577187499999</v>
      </c>
      <c r="U239">
        <f>MONTH(Table1[[#This Row],[Launched]])</f>
        <v>1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8220</v>
      </c>
      <c r="G240" t="s">
        <v>8223</v>
      </c>
      <c r="H240" t="s">
        <v>8245</v>
      </c>
      <c r="I240" s="8">
        <v>1483088400</v>
      </c>
      <c r="J240">
        <v>1481324760</v>
      </c>
      <c r="K240" t="b">
        <v>0</v>
      </c>
      <c r="L240" s="10">
        <v>0</v>
      </c>
      <c r="M240" t="b">
        <v>0</v>
      </c>
      <c r="N240" t="s">
        <v>8266</v>
      </c>
      <c r="O240" s="11">
        <f t="shared" si="16"/>
        <v>0</v>
      </c>
      <c r="P240" s="12" t="str">
        <f t="shared" si="17"/>
        <v>No Backers</v>
      </c>
      <c r="Q240" s="14" t="s">
        <v>8307</v>
      </c>
      <c r="R240" t="s">
        <v>8311</v>
      </c>
      <c r="S240" s="17">
        <f t="shared" si="18"/>
        <v>42713.962499999994</v>
      </c>
      <c r="T240" s="17">
        <f t="shared" si="19"/>
        <v>42734.375</v>
      </c>
      <c r="U240">
        <f>MONTH(Table1[[#This Row],[Launched]])</f>
        <v>12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8220</v>
      </c>
      <c r="G241" t="s">
        <v>8225</v>
      </c>
      <c r="H241" t="s">
        <v>8247</v>
      </c>
      <c r="I241" s="8">
        <v>1446984000</v>
      </c>
      <c r="J241">
        <v>1445308730</v>
      </c>
      <c r="K241" t="b">
        <v>0</v>
      </c>
      <c r="L241" s="10">
        <v>5</v>
      </c>
      <c r="M241" t="b">
        <v>0</v>
      </c>
      <c r="N241" t="s">
        <v>8266</v>
      </c>
      <c r="O241" s="11">
        <f t="shared" si="16"/>
        <v>25</v>
      </c>
      <c r="P241" s="12">
        <f t="shared" si="17"/>
        <v>50</v>
      </c>
      <c r="Q241" s="14" t="s">
        <v>8307</v>
      </c>
      <c r="R241" t="s">
        <v>8311</v>
      </c>
      <c r="S241" s="17">
        <f t="shared" si="18"/>
        <v>42297.110300925924</v>
      </c>
      <c r="T241" s="17">
        <f t="shared" si="19"/>
        <v>42316.5</v>
      </c>
      <c r="U241">
        <f>MONTH(Table1[[#This Row],[Launched]])</f>
        <v>10</v>
      </c>
    </row>
    <row r="242" spans="1:21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 s="8">
        <v>1367773211</v>
      </c>
      <c r="J242">
        <v>1363885211</v>
      </c>
      <c r="K242" t="b">
        <v>1</v>
      </c>
      <c r="L242" s="10">
        <v>137</v>
      </c>
      <c r="M242" t="b">
        <v>1</v>
      </c>
      <c r="N242" t="s">
        <v>8267</v>
      </c>
      <c r="O242" s="11">
        <f t="shared" si="16"/>
        <v>108</v>
      </c>
      <c r="P242" s="12">
        <f t="shared" si="17"/>
        <v>118</v>
      </c>
      <c r="Q242" s="14" t="s">
        <v>8307</v>
      </c>
      <c r="R242" t="s">
        <v>8312</v>
      </c>
      <c r="S242" s="17">
        <f t="shared" si="18"/>
        <v>41354.708460648151</v>
      </c>
      <c r="T242" s="17">
        <f t="shared" si="19"/>
        <v>41399.708460648151</v>
      </c>
      <c r="U242">
        <f>MONTH(Table1[[#This Row],[Launched]])</f>
        <v>3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8218</v>
      </c>
      <c r="G243" t="s">
        <v>8223</v>
      </c>
      <c r="H243" t="s">
        <v>8245</v>
      </c>
      <c r="I243" s="8">
        <v>1419180304</v>
      </c>
      <c r="J243">
        <v>1415292304</v>
      </c>
      <c r="K243" t="b">
        <v>1</v>
      </c>
      <c r="L243" s="10">
        <v>376</v>
      </c>
      <c r="M243" t="b">
        <v>1</v>
      </c>
      <c r="N243" t="s">
        <v>8267</v>
      </c>
      <c r="O243" s="11">
        <f t="shared" si="16"/>
        <v>113</v>
      </c>
      <c r="P243" s="12">
        <f t="shared" si="17"/>
        <v>109</v>
      </c>
      <c r="Q243" s="14" t="s">
        <v>8307</v>
      </c>
      <c r="R243" t="s">
        <v>8312</v>
      </c>
      <c r="S243" s="17">
        <f t="shared" si="18"/>
        <v>41949.697962962964</v>
      </c>
      <c r="T243" s="17">
        <f t="shared" si="19"/>
        <v>41994.697962962964</v>
      </c>
      <c r="U243">
        <f>MONTH(Table1[[#This Row],[Launched]])</f>
        <v>11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8218</v>
      </c>
      <c r="G244" t="s">
        <v>8223</v>
      </c>
      <c r="H244" t="s">
        <v>8245</v>
      </c>
      <c r="I244" s="8">
        <v>1324381790</v>
      </c>
      <c r="J244">
        <v>1321357790</v>
      </c>
      <c r="K244" t="b">
        <v>1</v>
      </c>
      <c r="L244" s="10">
        <v>202</v>
      </c>
      <c r="M244" t="b">
        <v>1</v>
      </c>
      <c r="N244" t="s">
        <v>8267</v>
      </c>
      <c r="O244" s="11">
        <f t="shared" si="16"/>
        <v>113</v>
      </c>
      <c r="P244" s="12">
        <f t="shared" si="17"/>
        <v>73</v>
      </c>
      <c r="Q244" s="14" t="s">
        <v>8307</v>
      </c>
      <c r="R244" t="s">
        <v>8312</v>
      </c>
      <c r="S244" s="17">
        <f t="shared" si="18"/>
        <v>40862.492939814816</v>
      </c>
      <c r="T244" s="17">
        <f t="shared" si="19"/>
        <v>40897.492939814816</v>
      </c>
      <c r="U244">
        <f>MONTH(Table1[[#This Row],[Launched]])</f>
        <v>11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8218</v>
      </c>
      <c r="G245" t="s">
        <v>8223</v>
      </c>
      <c r="H245" t="s">
        <v>8245</v>
      </c>
      <c r="I245" s="8">
        <v>1393031304</v>
      </c>
      <c r="J245">
        <v>1390439304</v>
      </c>
      <c r="K245" t="b">
        <v>1</v>
      </c>
      <c r="L245" s="10">
        <v>328</v>
      </c>
      <c r="M245" t="b">
        <v>1</v>
      </c>
      <c r="N245" t="s">
        <v>8267</v>
      </c>
      <c r="O245" s="11">
        <f t="shared" si="16"/>
        <v>103</v>
      </c>
      <c r="P245" s="12">
        <f t="shared" si="17"/>
        <v>78</v>
      </c>
      <c r="Q245" s="14" t="s">
        <v>8307</v>
      </c>
      <c r="R245" t="s">
        <v>8312</v>
      </c>
      <c r="S245" s="17">
        <f t="shared" si="18"/>
        <v>41662.047500000001</v>
      </c>
      <c r="T245" s="17">
        <f t="shared" si="19"/>
        <v>41692.047500000001</v>
      </c>
      <c r="U245">
        <f>MONTH(Table1[[#This Row],[Launched]])</f>
        <v>1</v>
      </c>
    </row>
    <row r="246" spans="1:21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8218</v>
      </c>
      <c r="G246" t="s">
        <v>8223</v>
      </c>
      <c r="H246" t="s">
        <v>8245</v>
      </c>
      <c r="I246" s="8">
        <v>1268723160</v>
      </c>
      <c r="J246">
        <v>1265269559</v>
      </c>
      <c r="K246" t="b">
        <v>1</v>
      </c>
      <c r="L246" s="10">
        <v>84</v>
      </c>
      <c r="M246" t="b">
        <v>1</v>
      </c>
      <c r="N246" t="s">
        <v>8267</v>
      </c>
      <c r="O246" s="11">
        <f t="shared" si="16"/>
        <v>114</v>
      </c>
      <c r="P246" s="12">
        <f t="shared" si="17"/>
        <v>47</v>
      </c>
      <c r="Q246" s="14" t="s">
        <v>8307</v>
      </c>
      <c r="R246" t="s">
        <v>8312</v>
      </c>
      <c r="S246" s="17">
        <f t="shared" si="18"/>
        <v>40213.323599537034</v>
      </c>
      <c r="T246" s="17">
        <f t="shared" si="19"/>
        <v>40253.29583333333</v>
      </c>
      <c r="U246">
        <f>MONTH(Table1[[#This Row],[Launched]])</f>
        <v>2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8218</v>
      </c>
      <c r="G247" t="s">
        <v>8223</v>
      </c>
      <c r="H247" t="s">
        <v>8245</v>
      </c>
      <c r="I247" s="8">
        <v>1345079785</v>
      </c>
      <c r="J247">
        <v>1342487785</v>
      </c>
      <c r="K247" t="b">
        <v>1</v>
      </c>
      <c r="L247" s="10">
        <v>96</v>
      </c>
      <c r="M247" t="b">
        <v>1</v>
      </c>
      <c r="N247" t="s">
        <v>8267</v>
      </c>
      <c r="O247" s="11">
        <f t="shared" si="16"/>
        <v>104</v>
      </c>
      <c r="P247" s="12">
        <f t="shared" si="17"/>
        <v>54</v>
      </c>
      <c r="Q247" s="14" t="s">
        <v>8307</v>
      </c>
      <c r="R247" t="s">
        <v>8312</v>
      </c>
      <c r="S247" s="17">
        <f t="shared" si="18"/>
        <v>41107.053067129629</v>
      </c>
      <c r="T247" s="17">
        <f t="shared" si="19"/>
        <v>41137.053067129629</v>
      </c>
      <c r="U247">
        <f>MONTH(Table1[[#This Row],[Launched]])</f>
        <v>7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8218</v>
      </c>
      <c r="G248" t="s">
        <v>8223</v>
      </c>
      <c r="H248" t="s">
        <v>8245</v>
      </c>
      <c r="I248" s="8">
        <v>1292665405</v>
      </c>
      <c r="J248">
        <v>1288341805</v>
      </c>
      <c r="K248" t="b">
        <v>1</v>
      </c>
      <c r="L248" s="10">
        <v>223</v>
      </c>
      <c r="M248" t="b">
        <v>1</v>
      </c>
      <c r="N248" t="s">
        <v>8267</v>
      </c>
      <c r="O248" s="11">
        <f t="shared" si="16"/>
        <v>305</v>
      </c>
      <c r="P248" s="12">
        <f t="shared" si="17"/>
        <v>68</v>
      </c>
      <c r="Q248" s="14" t="s">
        <v>8307</v>
      </c>
      <c r="R248" t="s">
        <v>8312</v>
      </c>
      <c r="S248" s="17">
        <f t="shared" si="18"/>
        <v>40480.363483796296</v>
      </c>
      <c r="T248" s="17">
        <f t="shared" si="19"/>
        <v>40530.405150462961</v>
      </c>
      <c r="U248">
        <f>MONTH(Table1[[#This Row],[Launched]])</f>
        <v>10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8218</v>
      </c>
      <c r="G249" t="s">
        <v>8223</v>
      </c>
      <c r="H249" t="s">
        <v>8245</v>
      </c>
      <c r="I249" s="8">
        <v>1287200340</v>
      </c>
      <c r="J249">
        <v>1284042614</v>
      </c>
      <c r="K249" t="b">
        <v>1</v>
      </c>
      <c r="L249" s="10">
        <v>62</v>
      </c>
      <c r="M249" t="b">
        <v>1</v>
      </c>
      <c r="N249" t="s">
        <v>8267</v>
      </c>
      <c r="O249" s="11">
        <f t="shared" si="16"/>
        <v>134</v>
      </c>
      <c r="P249" s="12">
        <f t="shared" si="17"/>
        <v>108</v>
      </c>
      <c r="Q249" s="14" t="s">
        <v>8307</v>
      </c>
      <c r="R249" t="s">
        <v>8312</v>
      </c>
      <c r="S249" s="17">
        <f t="shared" si="18"/>
        <v>40430.604328703703</v>
      </c>
      <c r="T249" s="17">
        <f t="shared" si="19"/>
        <v>40467.152083333334</v>
      </c>
      <c r="U249">
        <f>MONTH(Table1[[#This Row],[Launched]])</f>
        <v>9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8218</v>
      </c>
      <c r="G250" t="s">
        <v>8223</v>
      </c>
      <c r="H250" t="s">
        <v>8245</v>
      </c>
      <c r="I250" s="8">
        <v>1325961309</v>
      </c>
      <c r="J250">
        <v>1322073309</v>
      </c>
      <c r="K250" t="b">
        <v>1</v>
      </c>
      <c r="L250" s="10">
        <v>146</v>
      </c>
      <c r="M250" t="b">
        <v>1</v>
      </c>
      <c r="N250" t="s">
        <v>8267</v>
      </c>
      <c r="O250" s="11">
        <f t="shared" si="16"/>
        <v>101</v>
      </c>
      <c r="P250" s="12">
        <f t="shared" si="17"/>
        <v>590</v>
      </c>
      <c r="Q250" s="14" t="s">
        <v>8307</v>
      </c>
      <c r="R250" t="s">
        <v>8312</v>
      </c>
      <c r="S250" s="17">
        <f t="shared" si="18"/>
        <v>40870.774409722224</v>
      </c>
      <c r="T250" s="17">
        <f t="shared" si="19"/>
        <v>40915.774409722224</v>
      </c>
      <c r="U250">
        <f>MONTH(Table1[[#This Row],[Launched]])</f>
        <v>11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8218</v>
      </c>
      <c r="G251" t="s">
        <v>8223</v>
      </c>
      <c r="H251" t="s">
        <v>8245</v>
      </c>
      <c r="I251" s="8">
        <v>1282498800</v>
      </c>
      <c r="J251">
        <v>1275603020</v>
      </c>
      <c r="K251" t="b">
        <v>1</v>
      </c>
      <c r="L251" s="10">
        <v>235</v>
      </c>
      <c r="M251" t="b">
        <v>1</v>
      </c>
      <c r="N251" t="s">
        <v>8267</v>
      </c>
      <c r="O251" s="11">
        <f t="shared" si="16"/>
        <v>113</v>
      </c>
      <c r="P251" s="12">
        <f t="shared" si="17"/>
        <v>48</v>
      </c>
      <c r="Q251" s="14" t="s">
        <v>8307</v>
      </c>
      <c r="R251" t="s">
        <v>8312</v>
      </c>
      <c r="S251" s="17">
        <f t="shared" si="18"/>
        <v>40332.923842592594</v>
      </c>
      <c r="T251" s="17">
        <f t="shared" si="19"/>
        <v>40412.736111111109</v>
      </c>
      <c r="U251">
        <f>MONTH(Table1[[#This Row],[Launched]])</f>
        <v>6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8218</v>
      </c>
      <c r="G252" t="s">
        <v>8223</v>
      </c>
      <c r="H252" t="s">
        <v>8245</v>
      </c>
      <c r="I252" s="8">
        <v>1370525691</v>
      </c>
      <c r="J252">
        <v>1367933691</v>
      </c>
      <c r="K252" t="b">
        <v>1</v>
      </c>
      <c r="L252" s="10">
        <v>437</v>
      </c>
      <c r="M252" t="b">
        <v>1</v>
      </c>
      <c r="N252" t="s">
        <v>8267</v>
      </c>
      <c r="O252" s="11">
        <f t="shared" si="16"/>
        <v>106</v>
      </c>
      <c r="P252" s="12">
        <f t="shared" si="17"/>
        <v>72</v>
      </c>
      <c r="Q252" s="14" t="s">
        <v>8307</v>
      </c>
      <c r="R252" t="s">
        <v>8312</v>
      </c>
      <c r="S252" s="17">
        <f t="shared" si="18"/>
        <v>41401.565868055557</v>
      </c>
      <c r="T252" s="17">
        <f t="shared" si="19"/>
        <v>41431.565868055557</v>
      </c>
      <c r="U252">
        <f>MONTH(Table1[[#This Row],[Launched]])</f>
        <v>5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8218</v>
      </c>
      <c r="G253" t="s">
        <v>8223</v>
      </c>
      <c r="H253" t="s">
        <v>8245</v>
      </c>
      <c r="I253" s="8">
        <v>1337194800</v>
      </c>
      <c r="J253">
        <v>1334429646</v>
      </c>
      <c r="K253" t="b">
        <v>1</v>
      </c>
      <c r="L253" s="10">
        <v>77</v>
      </c>
      <c r="M253" t="b">
        <v>1</v>
      </c>
      <c r="N253" t="s">
        <v>8267</v>
      </c>
      <c r="O253" s="11">
        <f t="shared" si="16"/>
        <v>126</v>
      </c>
      <c r="P253" s="12">
        <f t="shared" si="17"/>
        <v>57</v>
      </c>
      <c r="Q253" s="14" t="s">
        <v>8307</v>
      </c>
      <c r="R253" t="s">
        <v>8312</v>
      </c>
      <c r="S253" s="17">
        <f t="shared" si="18"/>
        <v>41013.787569444445</v>
      </c>
      <c r="T253" s="17">
        <f t="shared" si="19"/>
        <v>41045.791666666664</v>
      </c>
      <c r="U253">
        <f>MONTH(Table1[[#This Row],[Launched]])</f>
        <v>4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8218</v>
      </c>
      <c r="G254" t="s">
        <v>8223</v>
      </c>
      <c r="H254" t="s">
        <v>8245</v>
      </c>
      <c r="I254" s="8">
        <v>1275364740</v>
      </c>
      <c r="J254">
        <v>1269878058</v>
      </c>
      <c r="K254" t="b">
        <v>1</v>
      </c>
      <c r="L254" s="10">
        <v>108</v>
      </c>
      <c r="M254" t="b">
        <v>1</v>
      </c>
      <c r="N254" t="s">
        <v>8267</v>
      </c>
      <c r="O254" s="11">
        <f t="shared" si="16"/>
        <v>185</v>
      </c>
      <c r="P254" s="12">
        <f t="shared" si="17"/>
        <v>85</v>
      </c>
      <c r="Q254" s="14" t="s">
        <v>8307</v>
      </c>
      <c r="R254" t="s">
        <v>8312</v>
      </c>
      <c r="S254" s="17">
        <f t="shared" si="18"/>
        <v>40266.662708333337</v>
      </c>
      <c r="T254" s="17">
        <f t="shared" si="19"/>
        <v>40330.165972222225</v>
      </c>
      <c r="U254">
        <f>MONTH(Table1[[#This Row],[Launched]])</f>
        <v>3</v>
      </c>
    </row>
    <row r="255" spans="1:21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8218</v>
      </c>
      <c r="G255" t="s">
        <v>8223</v>
      </c>
      <c r="H255" t="s">
        <v>8245</v>
      </c>
      <c r="I255" s="8">
        <v>1329320235</v>
      </c>
      <c r="J255">
        <v>1326728235</v>
      </c>
      <c r="K255" t="b">
        <v>1</v>
      </c>
      <c r="L255" s="10">
        <v>7</v>
      </c>
      <c r="M255" t="b">
        <v>1</v>
      </c>
      <c r="N255" t="s">
        <v>8267</v>
      </c>
      <c r="O255" s="11">
        <f t="shared" si="16"/>
        <v>101</v>
      </c>
      <c r="P255" s="12">
        <f t="shared" si="17"/>
        <v>216</v>
      </c>
      <c r="Q255" s="14" t="s">
        <v>8307</v>
      </c>
      <c r="R255" t="s">
        <v>8312</v>
      </c>
      <c r="S255" s="17">
        <f t="shared" si="18"/>
        <v>40924.650868055556</v>
      </c>
      <c r="T255" s="17">
        <f t="shared" si="19"/>
        <v>40954.650868055556</v>
      </c>
      <c r="U255">
        <f>MONTH(Table1[[#This Row],[Launched]])</f>
        <v>1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 s="8">
        <v>1445047200</v>
      </c>
      <c r="J256">
        <v>1442443910</v>
      </c>
      <c r="K256" t="b">
        <v>1</v>
      </c>
      <c r="L256" s="10">
        <v>314</v>
      </c>
      <c r="M256" t="b">
        <v>1</v>
      </c>
      <c r="N256" t="s">
        <v>8267</v>
      </c>
      <c r="O256" s="11">
        <f t="shared" si="16"/>
        <v>117</v>
      </c>
      <c r="P256" s="12">
        <f t="shared" si="17"/>
        <v>89</v>
      </c>
      <c r="Q256" s="14" t="s">
        <v>8307</v>
      </c>
      <c r="R256" t="s">
        <v>8312</v>
      </c>
      <c r="S256" s="17">
        <f t="shared" si="18"/>
        <v>42263.952662037031</v>
      </c>
      <c r="T256" s="17">
        <f t="shared" si="19"/>
        <v>42294.083333333328</v>
      </c>
      <c r="U256">
        <f>MONTH(Table1[[#This Row],[Launched]])</f>
        <v>9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8218</v>
      </c>
      <c r="G257" t="s">
        <v>8223</v>
      </c>
      <c r="H257" t="s">
        <v>8245</v>
      </c>
      <c r="I257" s="8">
        <v>1300275482</v>
      </c>
      <c r="J257">
        <v>1297687082</v>
      </c>
      <c r="K257" t="b">
        <v>1</v>
      </c>
      <c r="L257" s="10">
        <v>188</v>
      </c>
      <c r="M257" t="b">
        <v>1</v>
      </c>
      <c r="N257" t="s">
        <v>8267</v>
      </c>
      <c r="O257" s="11">
        <f t="shared" si="16"/>
        <v>107</v>
      </c>
      <c r="P257" s="12">
        <f t="shared" si="17"/>
        <v>45</v>
      </c>
      <c r="Q257" s="14" t="s">
        <v>8307</v>
      </c>
      <c r="R257" t="s">
        <v>8312</v>
      </c>
      <c r="S257" s="17">
        <f t="shared" si="18"/>
        <v>40588.526412037041</v>
      </c>
      <c r="T257" s="17">
        <f t="shared" si="19"/>
        <v>40618.48474537037</v>
      </c>
      <c r="U257">
        <f>MONTH(Table1[[#This Row],[Launched]])</f>
        <v>2</v>
      </c>
    </row>
    <row r="258" spans="1:21" ht="57.6" x14ac:dyDescent="0.3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8218</v>
      </c>
      <c r="G258" t="s">
        <v>8223</v>
      </c>
      <c r="H258" t="s">
        <v>8245</v>
      </c>
      <c r="I258" s="8">
        <v>1363458467</v>
      </c>
      <c r="J258">
        <v>1360866467</v>
      </c>
      <c r="K258" t="b">
        <v>1</v>
      </c>
      <c r="L258" s="10">
        <v>275</v>
      </c>
      <c r="M258" t="b">
        <v>1</v>
      </c>
      <c r="N258" t="s">
        <v>8267</v>
      </c>
      <c r="O258" s="11">
        <f t="shared" ref="O258:O321" si="20">ROUND(E258/D258*100,0)</f>
        <v>139</v>
      </c>
      <c r="P258" s="12">
        <f t="shared" si="17"/>
        <v>66</v>
      </c>
      <c r="Q258" s="14" t="s">
        <v>8307</v>
      </c>
      <c r="R258" t="s">
        <v>8312</v>
      </c>
      <c r="S258" s="17">
        <f t="shared" si="18"/>
        <v>41319.769293981481</v>
      </c>
      <c r="T258" s="17">
        <f t="shared" si="19"/>
        <v>41349.769293981481</v>
      </c>
      <c r="U258">
        <f>MONTH(Table1[[#This Row],[Launched]])</f>
        <v>2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 s="8">
        <v>1463670162</v>
      </c>
      <c r="J259">
        <v>1461078162</v>
      </c>
      <c r="K259" t="b">
        <v>1</v>
      </c>
      <c r="L259" s="10">
        <v>560</v>
      </c>
      <c r="M259" t="b">
        <v>1</v>
      </c>
      <c r="N259" t="s">
        <v>8267</v>
      </c>
      <c r="O259" s="11">
        <f t="shared" si="20"/>
        <v>107</v>
      </c>
      <c r="P259" s="12">
        <f t="shared" ref="P259:P322" si="21">IFERROR(ROUND(E259/L259,),"No Backers")</f>
        <v>67</v>
      </c>
      <c r="Q259" s="14" t="s">
        <v>8307</v>
      </c>
      <c r="R259" t="s">
        <v>8312</v>
      </c>
      <c r="S259" s="17">
        <f t="shared" ref="S259:S322" si="22">(((J259/60)/60)/24)+DATE(1970,1,1)</f>
        <v>42479.626875000002</v>
      </c>
      <c r="T259" s="17">
        <f t="shared" ref="T259:T322" si="23">(((I259/60)/60)/24)+DATE(1970,1,1)</f>
        <v>42509.626875000002</v>
      </c>
      <c r="U259">
        <f>MONTH(Table1[[#This Row],[Launched]])</f>
        <v>4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8218</v>
      </c>
      <c r="G260" t="s">
        <v>8223</v>
      </c>
      <c r="H260" t="s">
        <v>8245</v>
      </c>
      <c r="I260" s="8">
        <v>1308359666</v>
      </c>
      <c r="J260">
        <v>1305767666</v>
      </c>
      <c r="K260" t="b">
        <v>1</v>
      </c>
      <c r="L260" s="10">
        <v>688</v>
      </c>
      <c r="M260" t="b">
        <v>1</v>
      </c>
      <c r="N260" t="s">
        <v>8267</v>
      </c>
      <c r="O260" s="11">
        <f t="shared" si="20"/>
        <v>191</v>
      </c>
      <c r="P260" s="12">
        <f t="shared" si="21"/>
        <v>83</v>
      </c>
      <c r="Q260" s="14" t="s">
        <v>8307</v>
      </c>
      <c r="R260" t="s">
        <v>8312</v>
      </c>
      <c r="S260" s="17">
        <f t="shared" si="22"/>
        <v>40682.051689814813</v>
      </c>
      <c r="T260" s="17">
        <f t="shared" si="23"/>
        <v>40712.051689814813</v>
      </c>
      <c r="U260">
        <f>MONTH(Table1[[#This Row],[Launched]])</f>
        <v>5</v>
      </c>
    </row>
    <row r="261" spans="1:21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 s="8">
        <v>1428514969</v>
      </c>
      <c r="J261">
        <v>1425922969</v>
      </c>
      <c r="K261" t="b">
        <v>1</v>
      </c>
      <c r="L261" s="10">
        <v>942</v>
      </c>
      <c r="M261" t="b">
        <v>1</v>
      </c>
      <c r="N261" t="s">
        <v>8267</v>
      </c>
      <c r="O261" s="11">
        <f t="shared" si="20"/>
        <v>132</v>
      </c>
      <c r="P261" s="12">
        <f t="shared" si="21"/>
        <v>105</v>
      </c>
      <c r="Q261" s="14" t="s">
        <v>8307</v>
      </c>
      <c r="R261" t="s">
        <v>8312</v>
      </c>
      <c r="S261" s="17">
        <f t="shared" si="22"/>
        <v>42072.738067129627</v>
      </c>
      <c r="T261" s="17">
        <f t="shared" si="23"/>
        <v>42102.738067129627</v>
      </c>
      <c r="U261">
        <f>MONTH(Table1[[#This Row],[Launched]])</f>
        <v>3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8218</v>
      </c>
      <c r="G262" t="s">
        <v>8223</v>
      </c>
      <c r="H262" t="s">
        <v>8245</v>
      </c>
      <c r="I262" s="8">
        <v>1279360740</v>
      </c>
      <c r="J262">
        <v>1275415679</v>
      </c>
      <c r="K262" t="b">
        <v>1</v>
      </c>
      <c r="L262" s="10">
        <v>88</v>
      </c>
      <c r="M262" t="b">
        <v>1</v>
      </c>
      <c r="N262" t="s">
        <v>8267</v>
      </c>
      <c r="O262" s="11">
        <f t="shared" si="20"/>
        <v>106</v>
      </c>
      <c r="P262" s="12">
        <f t="shared" si="21"/>
        <v>121</v>
      </c>
      <c r="Q262" s="14" t="s">
        <v>8307</v>
      </c>
      <c r="R262" t="s">
        <v>8312</v>
      </c>
      <c r="S262" s="17">
        <f t="shared" si="22"/>
        <v>40330.755543981482</v>
      </c>
      <c r="T262" s="17">
        <f t="shared" si="23"/>
        <v>40376.415972222225</v>
      </c>
      <c r="U262">
        <f>MONTH(Table1[[#This Row],[Launched]])</f>
        <v>6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8218</v>
      </c>
      <c r="G263" t="s">
        <v>8223</v>
      </c>
      <c r="H263" t="s">
        <v>8245</v>
      </c>
      <c r="I263" s="8">
        <v>1339080900</v>
      </c>
      <c r="J263">
        <v>1334783704</v>
      </c>
      <c r="K263" t="b">
        <v>1</v>
      </c>
      <c r="L263" s="10">
        <v>220</v>
      </c>
      <c r="M263" t="b">
        <v>1</v>
      </c>
      <c r="N263" t="s">
        <v>8267</v>
      </c>
      <c r="O263" s="11">
        <f t="shared" si="20"/>
        <v>107</v>
      </c>
      <c r="P263" s="12">
        <f t="shared" si="21"/>
        <v>98</v>
      </c>
      <c r="Q263" s="14" t="s">
        <v>8307</v>
      </c>
      <c r="R263" t="s">
        <v>8312</v>
      </c>
      <c r="S263" s="17">
        <f t="shared" si="22"/>
        <v>41017.885462962964</v>
      </c>
      <c r="T263" s="17">
        <f t="shared" si="23"/>
        <v>41067.621527777781</v>
      </c>
      <c r="U263">
        <f>MONTH(Table1[[#This Row],[Launched]])</f>
        <v>4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8218</v>
      </c>
      <c r="G264" t="s">
        <v>8223</v>
      </c>
      <c r="H264" t="s">
        <v>8245</v>
      </c>
      <c r="I264" s="8">
        <v>1298699828</v>
      </c>
      <c r="J264">
        <v>1294811828</v>
      </c>
      <c r="K264" t="b">
        <v>1</v>
      </c>
      <c r="L264" s="10">
        <v>145</v>
      </c>
      <c r="M264" t="b">
        <v>1</v>
      </c>
      <c r="N264" t="s">
        <v>8267</v>
      </c>
      <c r="O264" s="11">
        <f t="shared" si="20"/>
        <v>240</v>
      </c>
      <c r="P264" s="12">
        <f t="shared" si="21"/>
        <v>41</v>
      </c>
      <c r="Q264" s="14" t="s">
        <v>8307</v>
      </c>
      <c r="R264" t="s">
        <v>8312</v>
      </c>
      <c r="S264" s="17">
        <f t="shared" si="22"/>
        <v>40555.24800925926</v>
      </c>
      <c r="T264" s="17">
        <f t="shared" si="23"/>
        <v>40600.24800925926</v>
      </c>
      <c r="U264">
        <f>MONTH(Table1[[#This Row],[Launched]])</f>
        <v>1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 s="8">
        <v>1348786494</v>
      </c>
      <c r="J265">
        <v>1346194494</v>
      </c>
      <c r="K265" t="b">
        <v>1</v>
      </c>
      <c r="L265" s="10">
        <v>963</v>
      </c>
      <c r="M265" t="b">
        <v>1</v>
      </c>
      <c r="N265" t="s">
        <v>8267</v>
      </c>
      <c r="O265" s="11">
        <f t="shared" si="20"/>
        <v>118</v>
      </c>
      <c r="P265" s="12">
        <f t="shared" si="21"/>
        <v>31</v>
      </c>
      <c r="Q265" s="14" t="s">
        <v>8307</v>
      </c>
      <c r="R265" t="s">
        <v>8312</v>
      </c>
      <c r="S265" s="17">
        <f t="shared" si="22"/>
        <v>41149.954791666663</v>
      </c>
      <c r="T265" s="17">
        <f t="shared" si="23"/>
        <v>41179.954791666663</v>
      </c>
      <c r="U265">
        <f>MONTH(Table1[[#This Row],[Launched]])</f>
        <v>8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8218</v>
      </c>
      <c r="G266" t="s">
        <v>8223</v>
      </c>
      <c r="H266" t="s">
        <v>8245</v>
      </c>
      <c r="I266" s="8">
        <v>1336747995</v>
      </c>
      <c r="J266">
        <v>1334155995</v>
      </c>
      <c r="K266" t="b">
        <v>1</v>
      </c>
      <c r="L266" s="10">
        <v>91</v>
      </c>
      <c r="M266" t="b">
        <v>1</v>
      </c>
      <c r="N266" t="s">
        <v>8267</v>
      </c>
      <c r="O266" s="11">
        <f t="shared" si="20"/>
        <v>118</v>
      </c>
      <c r="P266" s="12">
        <f t="shared" si="21"/>
        <v>65</v>
      </c>
      <c r="Q266" s="14" t="s">
        <v>8307</v>
      </c>
      <c r="R266" t="s">
        <v>8312</v>
      </c>
      <c r="S266" s="17">
        <f t="shared" si="22"/>
        <v>41010.620312500003</v>
      </c>
      <c r="T266" s="17">
        <f t="shared" si="23"/>
        <v>41040.620312500003</v>
      </c>
      <c r="U266">
        <f>MONTH(Table1[[#This Row],[Launched]])</f>
        <v>4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8218</v>
      </c>
      <c r="G267" t="s">
        <v>8223</v>
      </c>
      <c r="H267" t="s">
        <v>8245</v>
      </c>
      <c r="I267" s="8">
        <v>1273522560</v>
      </c>
      <c r="J267">
        <v>1269928430</v>
      </c>
      <c r="K267" t="b">
        <v>1</v>
      </c>
      <c r="L267" s="10">
        <v>58</v>
      </c>
      <c r="M267" t="b">
        <v>1</v>
      </c>
      <c r="N267" t="s">
        <v>8267</v>
      </c>
      <c r="O267" s="11">
        <f t="shared" si="20"/>
        <v>111</v>
      </c>
      <c r="P267" s="12">
        <f t="shared" si="21"/>
        <v>96</v>
      </c>
      <c r="Q267" s="14" t="s">
        <v>8307</v>
      </c>
      <c r="R267" t="s">
        <v>8312</v>
      </c>
      <c r="S267" s="17">
        <f t="shared" si="22"/>
        <v>40267.245717592588</v>
      </c>
      <c r="T267" s="17">
        <f t="shared" si="23"/>
        <v>40308.844444444447</v>
      </c>
      <c r="U267">
        <f>MONTH(Table1[[#This Row],[Launched]])</f>
        <v>3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8218</v>
      </c>
      <c r="G268" t="s">
        <v>8223</v>
      </c>
      <c r="H268" t="s">
        <v>8245</v>
      </c>
      <c r="I268" s="8">
        <v>1271994660</v>
      </c>
      <c r="J268">
        <v>1264565507</v>
      </c>
      <c r="K268" t="b">
        <v>1</v>
      </c>
      <c r="L268" s="10">
        <v>36</v>
      </c>
      <c r="M268" t="b">
        <v>1</v>
      </c>
      <c r="N268" t="s">
        <v>8267</v>
      </c>
      <c r="O268" s="11">
        <f t="shared" si="20"/>
        <v>146</v>
      </c>
      <c r="P268" s="12">
        <f t="shared" si="21"/>
        <v>40</v>
      </c>
      <c r="Q268" s="14" t="s">
        <v>8307</v>
      </c>
      <c r="R268" t="s">
        <v>8312</v>
      </c>
      <c r="S268" s="17">
        <f t="shared" si="22"/>
        <v>40205.174849537041</v>
      </c>
      <c r="T268" s="17">
        <f t="shared" si="23"/>
        <v>40291.160416666666</v>
      </c>
      <c r="U268">
        <f>MONTH(Table1[[#This Row],[Launched]])</f>
        <v>1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8218</v>
      </c>
      <c r="G269" t="s">
        <v>8224</v>
      </c>
      <c r="H269" t="s">
        <v>8246</v>
      </c>
      <c r="I269" s="8">
        <v>1403693499</v>
      </c>
      <c r="J269">
        <v>1401101499</v>
      </c>
      <c r="K269" t="b">
        <v>1</v>
      </c>
      <c r="L269" s="10">
        <v>165</v>
      </c>
      <c r="M269" t="b">
        <v>1</v>
      </c>
      <c r="N269" t="s">
        <v>8267</v>
      </c>
      <c r="O269" s="11">
        <f t="shared" si="20"/>
        <v>132</v>
      </c>
      <c r="P269" s="12">
        <f t="shared" si="21"/>
        <v>79</v>
      </c>
      <c r="Q269" s="14" t="s">
        <v>8307</v>
      </c>
      <c r="R269" t="s">
        <v>8312</v>
      </c>
      <c r="S269" s="17">
        <f t="shared" si="22"/>
        <v>41785.452534722222</v>
      </c>
      <c r="T269" s="17">
        <f t="shared" si="23"/>
        <v>41815.452534722222</v>
      </c>
      <c r="U269">
        <f>MONTH(Table1[[#This Row],[Launched]])</f>
        <v>5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8218</v>
      </c>
      <c r="G270" t="s">
        <v>8223</v>
      </c>
      <c r="H270" t="s">
        <v>8245</v>
      </c>
      <c r="I270" s="8">
        <v>1320640778</v>
      </c>
      <c r="J270">
        <v>1316749178</v>
      </c>
      <c r="K270" t="b">
        <v>1</v>
      </c>
      <c r="L270" s="10">
        <v>111</v>
      </c>
      <c r="M270" t="b">
        <v>1</v>
      </c>
      <c r="N270" t="s">
        <v>8267</v>
      </c>
      <c r="O270" s="11">
        <f t="shared" si="20"/>
        <v>111</v>
      </c>
      <c r="P270" s="12">
        <f t="shared" si="21"/>
        <v>50</v>
      </c>
      <c r="Q270" s="14" t="s">
        <v>8307</v>
      </c>
      <c r="R270" t="s">
        <v>8312</v>
      </c>
      <c r="S270" s="17">
        <f t="shared" si="22"/>
        <v>40809.15252314815</v>
      </c>
      <c r="T270" s="17">
        <f t="shared" si="23"/>
        <v>40854.194189814814</v>
      </c>
      <c r="U270">
        <f>MONTH(Table1[[#This Row],[Launched]])</f>
        <v>9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 s="8">
        <v>1487738622</v>
      </c>
      <c r="J271">
        <v>1485146622</v>
      </c>
      <c r="K271" t="b">
        <v>1</v>
      </c>
      <c r="L271" s="10">
        <v>1596</v>
      </c>
      <c r="M271" t="b">
        <v>1</v>
      </c>
      <c r="N271" t="s">
        <v>8267</v>
      </c>
      <c r="O271" s="11">
        <f t="shared" si="20"/>
        <v>147</v>
      </c>
      <c r="P271" s="12">
        <f t="shared" si="21"/>
        <v>92</v>
      </c>
      <c r="Q271" s="14" t="s">
        <v>8307</v>
      </c>
      <c r="R271" t="s">
        <v>8312</v>
      </c>
      <c r="S271" s="17">
        <f t="shared" si="22"/>
        <v>42758.197013888886</v>
      </c>
      <c r="T271" s="17">
        <f t="shared" si="23"/>
        <v>42788.197013888886</v>
      </c>
      <c r="U271">
        <f>MONTH(Table1[[#This Row],[Launched]])</f>
        <v>1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8218</v>
      </c>
      <c r="G272" t="s">
        <v>8223</v>
      </c>
      <c r="H272" t="s">
        <v>8245</v>
      </c>
      <c r="I272" s="8">
        <v>1306296000</v>
      </c>
      <c r="J272">
        <v>1301950070</v>
      </c>
      <c r="K272" t="b">
        <v>1</v>
      </c>
      <c r="L272" s="10">
        <v>61</v>
      </c>
      <c r="M272" t="b">
        <v>1</v>
      </c>
      <c r="N272" t="s">
        <v>8267</v>
      </c>
      <c r="O272" s="11">
        <f t="shared" si="20"/>
        <v>153</v>
      </c>
      <c r="P272" s="12">
        <f t="shared" si="21"/>
        <v>58</v>
      </c>
      <c r="Q272" s="14" t="s">
        <v>8307</v>
      </c>
      <c r="R272" t="s">
        <v>8312</v>
      </c>
      <c r="S272" s="17">
        <f t="shared" si="22"/>
        <v>40637.866550925923</v>
      </c>
      <c r="T272" s="17">
        <f t="shared" si="23"/>
        <v>40688.166666666664</v>
      </c>
      <c r="U272">
        <f>MONTH(Table1[[#This Row],[Launched]])</f>
        <v>4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8218</v>
      </c>
      <c r="G273" t="s">
        <v>8223</v>
      </c>
      <c r="H273" t="s">
        <v>8245</v>
      </c>
      <c r="I273" s="8">
        <v>1388649600</v>
      </c>
      <c r="J273">
        <v>1386123861</v>
      </c>
      <c r="K273" t="b">
        <v>1</v>
      </c>
      <c r="L273" s="10">
        <v>287</v>
      </c>
      <c r="M273" t="b">
        <v>1</v>
      </c>
      <c r="N273" t="s">
        <v>8267</v>
      </c>
      <c r="O273" s="11">
        <f t="shared" si="20"/>
        <v>105</v>
      </c>
      <c r="P273" s="12">
        <f t="shared" si="21"/>
        <v>109</v>
      </c>
      <c r="Q273" s="14" t="s">
        <v>8307</v>
      </c>
      <c r="R273" t="s">
        <v>8312</v>
      </c>
      <c r="S273" s="17">
        <f t="shared" si="22"/>
        <v>41612.10024305556</v>
      </c>
      <c r="T273" s="17">
        <f t="shared" si="23"/>
        <v>41641.333333333336</v>
      </c>
      <c r="U273">
        <f>MONTH(Table1[[#This Row],[Launched]])</f>
        <v>12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8218</v>
      </c>
      <c r="G274" t="s">
        <v>8223</v>
      </c>
      <c r="H274" t="s">
        <v>8245</v>
      </c>
      <c r="I274" s="8">
        <v>1272480540</v>
      </c>
      <c r="J274">
        <v>1267220191</v>
      </c>
      <c r="K274" t="b">
        <v>1</v>
      </c>
      <c r="L274" s="10">
        <v>65</v>
      </c>
      <c r="M274" t="b">
        <v>1</v>
      </c>
      <c r="N274" t="s">
        <v>8267</v>
      </c>
      <c r="O274" s="11">
        <f t="shared" si="20"/>
        <v>177</v>
      </c>
      <c r="P274" s="12">
        <f t="shared" si="21"/>
        <v>82</v>
      </c>
      <c r="Q274" s="14" t="s">
        <v>8307</v>
      </c>
      <c r="R274" t="s">
        <v>8312</v>
      </c>
      <c r="S274" s="17">
        <f t="shared" si="22"/>
        <v>40235.900358796294</v>
      </c>
      <c r="T274" s="17">
        <f t="shared" si="23"/>
        <v>40296.78402777778</v>
      </c>
      <c r="U274">
        <f>MONTH(Table1[[#This Row],[Launched]])</f>
        <v>2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8218</v>
      </c>
      <c r="G275" t="s">
        <v>8223</v>
      </c>
      <c r="H275" t="s">
        <v>8245</v>
      </c>
      <c r="I275" s="8">
        <v>1309694266</v>
      </c>
      <c r="J275">
        <v>1307102266</v>
      </c>
      <c r="K275" t="b">
        <v>1</v>
      </c>
      <c r="L275" s="10">
        <v>118</v>
      </c>
      <c r="M275" t="b">
        <v>1</v>
      </c>
      <c r="N275" t="s">
        <v>8267</v>
      </c>
      <c r="O275" s="11">
        <f t="shared" si="20"/>
        <v>108</v>
      </c>
      <c r="P275" s="12">
        <f t="shared" si="21"/>
        <v>46</v>
      </c>
      <c r="Q275" s="14" t="s">
        <v>8307</v>
      </c>
      <c r="R275" t="s">
        <v>8312</v>
      </c>
      <c r="S275" s="17">
        <f t="shared" si="22"/>
        <v>40697.498449074075</v>
      </c>
      <c r="T275" s="17">
        <f t="shared" si="23"/>
        <v>40727.498449074075</v>
      </c>
      <c r="U275">
        <f>MONTH(Table1[[#This Row],[Launched]])</f>
        <v>6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8218</v>
      </c>
      <c r="G276" t="s">
        <v>8223</v>
      </c>
      <c r="H276" t="s">
        <v>8245</v>
      </c>
      <c r="I276" s="8">
        <v>1333609140</v>
      </c>
      <c r="J276">
        <v>1330638829</v>
      </c>
      <c r="K276" t="b">
        <v>1</v>
      </c>
      <c r="L276" s="10">
        <v>113</v>
      </c>
      <c r="M276" t="b">
        <v>1</v>
      </c>
      <c r="N276" t="s">
        <v>8267</v>
      </c>
      <c r="O276" s="11">
        <f t="shared" si="20"/>
        <v>156</v>
      </c>
      <c r="P276" s="12">
        <f t="shared" si="21"/>
        <v>55</v>
      </c>
      <c r="Q276" s="14" t="s">
        <v>8307</v>
      </c>
      <c r="R276" t="s">
        <v>8312</v>
      </c>
      <c r="S276" s="17">
        <f t="shared" si="22"/>
        <v>40969.912372685183</v>
      </c>
      <c r="T276" s="17">
        <f t="shared" si="23"/>
        <v>41004.290972222225</v>
      </c>
      <c r="U276">
        <f>MONTH(Table1[[#This Row],[Launched]])</f>
        <v>3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8218</v>
      </c>
      <c r="G277" t="s">
        <v>8223</v>
      </c>
      <c r="H277" t="s">
        <v>8245</v>
      </c>
      <c r="I277" s="8">
        <v>1352511966</v>
      </c>
      <c r="J277">
        <v>1349916366</v>
      </c>
      <c r="K277" t="b">
        <v>1</v>
      </c>
      <c r="L277" s="10">
        <v>332</v>
      </c>
      <c r="M277" t="b">
        <v>1</v>
      </c>
      <c r="N277" t="s">
        <v>8267</v>
      </c>
      <c r="O277" s="11">
        <f t="shared" si="20"/>
        <v>108</v>
      </c>
      <c r="P277" s="12">
        <f t="shared" si="21"/>
        <v>65</v>
      </c>
      <c r="Q277" s="14" t="s">
        <v>8307</v>
      </c>
      <c r="R277" t="s">
        <v>8312</v>
      </c>
      <c r="S277" s="17">
        <f t="shared" si="22"/>
        <v>41193.032013888893</v>
      </c>
      <c r="T277" s="17">
        <f t="shared" si="23"/>
        <v>41223.073680555557</v>
      </c>
      <c r="U277">
        <f>MONTH(Table1[[#This Row],[Launched]])</f>
        <v>10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8218</v>
      </c>
      <c r="G278" t="s">
        <v>8223</v>
      </c>
      <c r="H278" t="s">
        <v>8245</v>
      </c>
      <c r="I278" s="8">
        <v>1335574674</v>
      </c>
      <c r="J278">
        <v>1330394274</v>
      </c>
      <c r="K278" t="b">
        <v>1</v>
      </c>
      <c r="L278" s="10">
        <v>62</v>
      </c>
      <c r="M278" t="b">
        <v>1</v>
      </c>
      <c r="N278" t="s">
        <v>8267</v>
      </c>
      <c r="O278" s="11">
        <f t="shared" si="20"/>
        <v>148</v>
      </c>
      <c r="P278" s="12">
        <f t="shared" si="21"/>
        <v>95</v>
      </c>
      <c r="Q278" s="14" t="s">
        <v>8307</v>
      </c>
      <c r="R278" t="s">
        <v>8312</v>
      </c>
      <c r="S278" s="17">
        <f t="shared" si="22"/>
        <v>40967.081874999996</v>
      </c>
      <c r="T278" s="17">
        <f t="shared" si="23"/>
        <v>41027.040208333332</v>
      </c>
      <c r="U278">
        <f>MONTH(Table1[[#This Row],[Launched]])</f>
        <v>2</v>
      </c>
    </row>
    <row r="279" spans="1:21" ht="57.6" x14ac:dyDescent="0.3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8218</v>
      </c>
      <c r="G279" t="s">
        <v>8223</v>
      </c>
      <c r="H279" t="s">
        <v>8245</v>
      </c>
      <c r="I279" s="8">
        <v>1432416219</v>
      </c>
      <c r="J279">
        <v>1429824219</v>
      </c>
      <c r="K279" t="b">
        <v>1</v>
      </c>
      <c r="L279" s="10">
        <v>951</v>
      </c>
      <c r="M279" t="b">
        <v>1</v>
      </c>
      <c r="N279" t="s">
        <v>8267</v>
      </c>
      <c r="O279" s="11">
        <f t="shared" si="20"/>
        <v>110</v>
      </c>
      <c r="P279" s="12">
        <f t="shared" si="21"/>
        <v>75</v>
      </c>
      <c r="Q279" s="14" t="s">
        <v>8307</v>
      </c>
      <c r="R279" t="s">
        <v>8312</v>
      </c>
      <c r="S279" s="17">
        <f t="shared" si="22"/>
        <v>42117.891423611116</v>
      </c>
      <c r="T279" s="17">
        <f t="shared" si="23"/>
        <v>42147.891423611116</v>
      </c>
      <c r="U279">
        <f>MONTH(Table1[[#This Row],[Launched]])</f>
        <v>4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8218</v>
      </c>
      <c r="G280" t="s">
        <v>8223</v>
      </c>
      <c r="H280" t="s">
        <v>8245</v>
      </c>
      <c r="I280" s="8">
        <v>1350003539</v>
      </c>
      <c r="J280">
        <v>1347411539</v>
      </c>
      <c r="K280" t="b">
        <v>1</v>
      </c>
      <c r="L280" s="10">
        <v>415</v>
      </c>
      <c r="M280" t="b">
        <v>1</v>
      </c>
      <c r="N280" t="s">
        <v>8267</v>
      </c>
      <c r="O280" s="11">
        <f t="shared" si="20"/>
        <v>150</v>
      </c>
      <c r="P280" s="12">
        <f t="shared" si="21"/>
        <v>98</v>
      </c>
      <c r="Q280" s="14" t="s">
        <v>8307</v>
      </c>
      <c r="R280" t="s">
        <v>8312</v>
      </c>
      <c r="S280" s="17">
        <f t="shared" si="22"/>
        <v>41164.040960648148</v>
      </c>
      <c r="T280" s="17">
        <f t="shared" si="23"/>
        <v>41194.040960648148</v>
      </c>
      <c r="U280">
        <f>MONTH(Table1[[#This Row],[Launched]])</f>
        <v>9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 s="8">
        <v>1488160860</v>
      </c>
      <c r="J281">
        <v>1485237096</v>
      </c>
      <c r="K281" t="b">
        <v>1</v>
      </c>
      <c r="L281" s="10">
        <v>305</v>
      </c>
      <c r="M281" t="b">
        <v>1</v>
      </c>
      <c r="N281" t="s">
        <v>8267</v>
      </c>
      <c r="O281" s="11">
        <f t="shared" si="20"/>
        <v>157</v>
      </c>
      <c r="P281" s="12">
        <f t="shared" si="21"/>
        <v>88</v>
      </c>
      <c r="Q281" s="14" t="s">
        <v>8307</v>
      </c>
      <c r="R281" t="s">
        <v>8312</v>
      </c>
      <c r="S281" s="17">
        <f t="shared" si="22"/>
        <v>42759.244166666671</v>
      </c>
      <c r="T281" s="17">
        <f t="shared" si="23"/>
        <v>42793.084027777775</v>
      </c>
      <c r="U281">
        <f>MONTH(Table1[[#This Row],[Launched]])</f>
        <v>1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8218</v>
      </c>
      <c r="G282" t="s">
        <v>8223</v>
      </c>
      <c r="H282" t="s">
        <v>8245</v>
      </c>
      <c r="I282" s="8">
        <v>1401459035</v>
      </c>
      <c r="J282">
        <v>1397571035</v>
      </c>
      <c r="K282" t="b">
        <v>1</v>
      </c>
      <c r="L282" s="10">
        <v>2139</v>
      </c>
      <c r="M282" t="b">
        <v>1</v>
      </c>
      <c r="N282" t="s">
        <v>8267</v>
      </c>
      <c r="O282" s="11">
        <f t="shared" si="20"/>
        <v>156</v>
      </c>
      <c r="P282" s="12">
        <f t="shared" si="21"/>
        <v>55</v>
      </c>
      <c r="Q282" s="14" t="s">
        <v>8307</v>
      </c>
      <c r="R282" t="s">
        <v>8312</v>
      </c>
      <c r="S282" s="17">
        <f t="shared" si="22"/>
        <v>41744.590682870366</v>
      </c>
      <c r="T282" s="17">
        <f t="shared" si="23"/>
        <v>41789.590682870366</v>
      </c>
      <c r="U282">
        <f>MONTH(Table1[[#This Row],[Launched]])</f>
        <v>4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8218</v>
      </c>
      <c r="G283" t="s">
        <v>8223</v>
      </c>
      <c r="H283" t="s">
        <v>8245</v>
      </c>
      <c r="I283" s="8">
        <v>1249932360</v>
      </c>
      <c r="J283">
        <v>1242532513</v>
      </c>
      <c r="K283" t="b">
        <v>1</v>
      </c>
      <c r="L283" s="10">
        <v>79</v>
      </c>
      <c r="M283" t="b">
        <v>1</v>
      </c>
      <c r="N283" t="s">
        <v>8267</v>
      </c>
      <c r="O283" s="11">
        <f t="shared" si="20"/>
        <v>121</v>
      </c>
      <c r="P283" s="12">
        <f t="shared" si="21"/>
        <v>84</v>
      </c>
      <c r="Q283" s="14" t="s">
        <v>8307</v>
      </c>
      <c r="R283" t="s">
        <v>8312</v>
      </c>
      <c r="S283" s="17">
        <f t="shared" si="22"/>
        <v>39950.163344907407</v>
      </c>
      <c r="T283" s="17">
        <f t="shared" si="23"/>
        <v>40035.80972222222</v>
      </c>
      <c r="U283">
        <f>MONTH(Table1[[#This Row],[Launched]])</f>
        <v>5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8218</v>
      </c>
      <c r="G284" t="s">
        <v>8223</v>
      </c>
      <c r="H284" t="s">
        <v>8245</v>
      </c>
      <c r="I284" s="8">
        <v>1266876000</v>
      </c>
      <c r="J284">
        <v>1263679492</v>
      </c>
      <c r="K284" t="b">
        <v>1</v>
      </c>
      <c r="L284" s="10">
        <v>179</v>
      </c>
      <c r="M284" t="b">
        <v>1</v>
      </c>
      <c r="N284" t="s">
        <v>8267</v>
      </c>
      <c r="O284" s="11">
        <f t="shared" si="20"/>
        <v>101</v>
      </c>
      <c r="P284" s="12">
        <f t="shared" si="21"/>
        <v>254</v>
      </c>
      <c r="Q284" s="14" t="s">
        <v>8307</v>
      </c>
      <c r="R284" t="s">
        <v>8312</v>
      </c>
      <c r="S284" s="17">
        <f t="shared" si="22"/>
        <v>40194.920046296298</v>
      </c>
      <c r="T284" s="17">
        <f t="shared" si="23"/>
        <v>40231.916666666664</v>
      </c>
      <c r="U284">
        <f>MONTH(Table1[[#This Row],[Launched]])</f>
        <v>1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 s="8">
        <v>1306904340</v>
      </c>
      <c r="J285">
        <v>1305219744</v>
      </c>
      <c r="K285" t="b">
        <v>1</v>
      </c>
      <c r="L285" s="10">
        <v>202</v>
      </c>
      <c r="M285" t="b">
        <v>1</v>
      </c>
      <c r="N285" t="s">
        <v>8267</v>
      </c>
      <c r="O285" s="11">
        <f t="shared" si="20"/>
        <v>114</v>
      </c>
      <c r="P285" s="12">
        <f t="shared" si="21"/>
        <v>102</v>
      </c>
      <c r="Q285" s="14" t="s">
        <v>8307</v>
      </c>
      <c r="R285" t="s">
        <v>8312</v>
      </c>
      <c r="S285" s="17">
        <f t="shared" si="22"/>
        <v>40675.71</v>
      </c>
      <c r="T285" s="17">
        <f t="shared" si="23"/>
        <v>40695.207638888889</v>
      </c>
      <c r="U285">
        <f>MONTH(Table1[[#This Row],[Launched]])</f>
        <v>5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 s="8">
        <v>1327167780</v>
      </c>
      <c r="J286">
        <v>1325007780</v>
      </c>
      <c r="K286" t="b">
        <v>1</v>
      </c>
      <c r="L286" s="10">
        <v>760</v>
      </c>
      <c r="M286" t="b">
        <v>1</v>
      </c>
      <c r="N286" t="s">
        <v>8267</v>
      </c>
      <c r="O286" s="11">
        <f t="shared" si="20"/>
        <v>105</v>
      </c>
      <c r="P286" s="12">
        <f t="shared" si="21"/>
        <v>55</v>
      </c>
      <c r="Q286" s="14" t="s">
        <v>8307</v>
      </c>
      <c r="R286" t="s">
        <v>8312</v>
      </c>
      <c r="S286" s="17">
        <f t="shared" si="22"/>
        <v>40904.738194444442</v>
      </c>
      <c r="T286" s="17">
        <f t="shared" si="23"/>
        <v>40929.738194444442</v>
      </c>
      <c r="U286">
        <f>MONTH(Table1[[#This Row],[Launched]])</f>
        <v>12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 s="8">
        <v>1379614128</v>
      </c>
      <c r="J287">
        <v>1377022128</v>
      </c>
      <c r="K287" t="b">
        <v>1</v>
      </c>
      <c r="L287" s="10">
        <v>563</v>
      </c>
      <c r="M287" t="b">
        <v>1</v>
      </c>
      <c r="N287" t="s">
        <v>8267</v>
      </c>
      <c r="O287" s="11">
        <f t="shared" si="20"/>
        <v>229</v>
      </c>
      <c r="P287" s="12">
        <f t="shared" si="21"/>
        <v>57</v>
      </c>
      <c r="Q287" s="14" t="s">
        <v>8307</v>
      </c>
      <c r="R287" t="s">
        <v>8312</v>
      </c>
      <c r="S287" s="17">
        <f t="shared" si="22"/>
        <v>41506.756111111114</v>
      </c>
      <c r="T287" s="17">
        <f t="shared" si="23"/>
        <v>41536.756111111114</v>
      </c>
      <c r="U287">
        <f>MONTH(Table1[[#This Row],[Launched]])</f>
        <v>8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8218</v>
      </c>
      <c r="G288" t="s">
        <v>8223</v>
      </c>
      <c r="H288" t="s">
        <v>8245</v>
      </c>
      <c r="I288" s="8">
        <v>1364236524</v>
      </c>
      <c r="J288">
        <v>1360352124</v>
      </c>
      <c r="K288" t="b">
        <v>1</v>
      </c>
      <c r="L288" s="10">
        <v>135</v>
      </c>
      <c r="M288" t="b">
        <v>1</v>
      </c>
      <c r="N288" t="s">
        <v>8267</v>
      </c>
      <c r="O288" s="11">
        <f t="shared" si="20"/>
        <v>109</v>
      </c>
      <c r="P288" s="12">
        <f t="shared" si="21"/>
        <v>121</v>
      </c>
      <c r="Q288" s="14" t="s">
        <v>8307</v>
      </c>
      <c r="R288" t="s">
        <v>8312</v>
      </c>
      <c r="S288" s="17">
        <f t="shared" si="22"/>
        <v>41313.816249999996</v>
      </c>
      <c r="T288" s="17">
        <f t="shared" si="23"/>
        <v>41358.774583333332</v>
      </c>
      <c r="U288">
        <f>MONTH(Table1[[#This Row],[Launched]])</f>
        <v>2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8218</v>
      </c>
      <c r="G289" t="s">
        <v>8223</v>
      </c>
      <c r="H289" t="s">
        <v>8245</v>
      </c>
      <c r="I289" s="8">
        <v>1351828800</v>
      </c>
      <c r="J289">
        <v>1349160018</v>
      </c>
      <c r="K289" t="b">
        <v>1</v>
      </c>
      <c r="L289" s="10">
        <v>290</v>
      </c>
      <c r="M289" t="b">
        <v>1</v>
      </c>
      <c r="N289" t="s">
        <v>8267</v>
      </c>
      <c r="O289" s="11">
        <f t="shared" si="20"/>
        <v>176</v>
      </c>
      <c r="P289" s="12">
        <f t="shared" si="21"/>
        <v>91</v>
      </c>
      <c r="Q289" s="14" t="s">
        <v>8307</v>
      </c>
      <c r="R289" t="s">
        <v>8312</v>
      </c>
      <c r="S289" s="17">
        <f t="shared" si="22"/>
        <v>41184.277986111112</v>
      </c>
      <c r="T289" s="17">
        <f t="shared" si="23"/>
        <v>41215.166666666664</v>
      </c>
      <c r="U289">
        <f>MONTH(Table1[[#This Row],[Launched]])</f>
        <v>10</v>
      </c>
    </row>
    <row r="290" spans="1:21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 s="8">
        <v>1340683393</v>
      </c>
      <c r="J290">
        <v>1337659393</v>
      </c>
      <c r="K290" t="b">
        <v>1</v>
      </c>
      <c r="L290" s="10">
        <v>447</v>
      </c>
      <c r="M290" t="b">
        <v>1</v>
      </c>
      <c r="N290" t="s">
        <v>8267</v>
      </c>
      <c r="O290" s="11">
        <f t="shared" si="20"/>
        <v>103</v>
      </c>
      <c r="P290" s="12">
        <f t="shared" si="21"/>
        <v>115</v>
      </c>
      <c r="Q290" s="14" t="s">
        <v>8307</v>
      </c>
      <c r="R290" t="s">
        <v>8312</v>
      </c>
      <c r="S290" s="17">
        <f t="shared" si="22"/>
        <v>41051.168900462959</v>
      </c>
      <c r="T290" s="17">
        <f t="shared" si="23"/>
        <v>41086.168900462959</v>
      </c>
      <c r="U290">
        <f>MONTH(Table1[[#This Row],[Launched]])</f>
        <v>5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8218</v>
      </c>
      <c r="G291" t="s">
        <v>8224</v>
      </c>
      <c r="H291" t="s">
        <v>8246</v>
      </c>
      <c r="I291" s="8">
        <v>1383389834</v>
      </c>
      <c r="J291">
        <v>1380797834</v>
      </c>
      <c r="K291" t="b">
        <v>1</v>
      </c>
      <c r="L291" s="10">
        <v>232</v>
      </c>
      <c r="M291" t="b">
        <v>1</v>
      </c>
      <c r="N291" t="s">
        <v>8267</v>
      </c>
      <c r="O291" s="11">
        <f t="shared" si="20"/>
        <v>105</v>
      </c>
      <c r="P291" s="12">
        <f t="shared" si="21"/>
        <v>68</v>
      </c>
      <c r="Q291" s="14" t="s">
        <v>8307</v>
      </c>
      <c r="R291" t="s">
        <v>8312</v>
      </c>
      <c r="S291" s="17">
        <f t="shared" si="22"/>
        <v>41550.456412037034</v>
      </c>
      <c r="T291" s="17">
        <f t="shared" si="23"/>
        <v>41580.456412037034</v>
      </c>
      <c r="U291">
        <f>MONTH(Table1[[#This Row],[Launched]])</f>
        <v>10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8218</v>
      </c>
      <c r="G292" t="s">
        <v>8223</v>
      </c>
      <c r="H292" t="s">
        <v>8245</v>
      </c>
      <c r="I292" s="8">
        <v>1296633540</v>
      </c>
      <c r="J292">
        <v>1292316697</v>
      </c>
      <c r="K292" t="b">
        <v>1</v>
      </c>
      <c r="L292" s="10">
        <v>168</v>
      </c>
      <c r="M292" t="b">
        <v>1</v>
      </c>
      <c r="N292" t="s">
        <v>8267</v>
      </c>
      <c r="O292" s="11">
        <f t="shared" si="20"/>
        <v>107</v>
      </c>
      <c r="P292" s="12">
        <f t="shared" si="21"/>
        <v>29</v>
      </c>
      <c r="Q292" s="14" t="s">
        <v>8307</v>
      </c>
      <c r="R292" t="s">
        <v>8312</v>
      </c>
      <c r="S292" s="17">
        <f t="shared" si="22"/>
        <v>40526.36917824074</v>
      </c>
      <c r="T292" s="17">
        <f t="shared" si="23"/>
        <v>40576.332638888889</v>
      </c>
      <c r="U292">
        <f>MONTH(Table1[[#This Row],[Launched]])</f>
        <v>12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8218</v>
      </c>
      <c r="G293" t="s">
        <v>8223</v>
      </c>
      <c r="H293" t="s">
        <v>8245</v>
      </c>
      <c r="I293" s="8">
        <v>1367366460</v>
      </c>
      <c r="J293">
        <v>1365791246</v>
      </c>
      <c r="K293" t="b">
        <v>1</v>
      </c>
      <c r="L293" s="10">
        <v>128</v>
      </c>
      <c r="M293" t="b">
        <v>1</v>
      </c>
      <c r="N293" t="s">
        <v>8267</v>
      </c>
      <c r="O293" s="11">
        <f t="shared" si="20"/>
        <v>120</v>
      </c>
      <c r="P293" s="12">
        <f t="shared" si="21"/>
        <v>47</v>
      </c>
      <c r="Q293" s="14" t="s">
        <v>8307</v>
      </c>
      <c r="R293" t="s">
        <v>8312</v>
      </c>
      <c r="S293" s="17">
        <f t="shared" si="22"/>
        <v>41376.769050925926</v>
      </c>
      <c r="T293" s="17">
        <f t="shared" si="23"/>
        <v>41395.000694444447</v>
      </c>
      <c r="U293">
        <f>MONTH(Table1[[#This Row],[Launched]])</f>
        <v>4</v>
      </c>
    </row>
    <row r="294" spans="1:21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8218</v>
      </c>
      <c r="G294" t="s">
        <v>8223</v>
      </c>
      <c r="H294" t="s">
        <v>8245</v>
      </c>
      <c r="I294" s="8">
        <v>1319860740</v>
      </c>
      <c r="J294">
        <v>1317064599</v>
      </c>
      <c r="K294" t="b">
        <v>1</v>
      </c>
      <c r="L294" s="10">
        <v>493</v>
      </c>
      <c r="M294" t="b">
        <v>1</v>
      </c>
      <c r="N294" t="s">
        <v>8267</v>
      </c>
      <c r="O294" s="11">
        <f t="shared" si="20"/>
        <v>102</v>
      </c>
      <c r="P294" s="12">
        <f t="shared" si="21"/>
        <v>154</v>
      </c>
      <c r="Q294" s="14" t="s">
        <v>8307</v>
      </c>
      <c r="R294" t="s">
        <v>8312</v>
      </c>
      <c r="S294" s="17">
        <f t="shared" si="22"/>
        <v>40812.803229166668</v>
      </c>
      <c r="T294" s="17">
        <f t="shared" si="23"/>
        <v>40845.165972222225</v>
      </c>
      <c r="U294">
        <f>MONTH(Table1[[#This Row],[Launched]])</f>
        <v>9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8218</v>
      </c>
      <c r="G295" t="s">
        <v>8223</v>
      </c>
      <c r="H295" t="s">
        <v>8245</v>
      </c>
      <c r="I295" s="8">
        <v>1398009714</v>
      </c>
      <c r="J295">
        <v>1395417714</v>
      </c>
      <c r="K295" t="b">
        <v>1</v>
      </c>
      <c r="L295" s="10">
        <v>131</v>
      </c>
      <c r="M295" t="b">
        <v>1</v>
      </c>
      <c r="N295" t="s">
        <v>8267</v>
      </c>
      <c r="O295" s="11">
        <f t="shared" si="20"/>
        <v>101</v>
      </c>
      <c r="P295" s="12">
        <f t="shared" si="21"/>
        <v>201</v>
      </c>
      <c r="Q295" s="14" t="s">
        <v>8307</v>
      </c>
      <c r="R295" t="s">
        <v>8312</v>
      </c>
      <c r="S295" s="17">
        <f t="shared" si="22"/>
        <v>41719.667986111112</v>
      </c>
      <c r="T295" s="17">
        <f t="shared" si="23"/>
        <v>41749.667986111112</v>
      </c>
      <c r="U295">
        <f>MONTH(Table1[[#This Row],[Launched]])</f>
        <v>3</v>
      </c>
    </row>
    <row r="296" spans="1:21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8218</v>
      </c>
      <c r="G296" t="s">
        <v>8223</v>
      </c>
      <c r="H296" t="s">
        <v>8245</v>
      </c>
      <c r="I296" s="8">
        <v>1279555200</v>
      </c>
      <c r="J296">
        <v>1276480894</v>
      </c>
      <c r="K296" t="b">
        <v>1</v>
      </c>
      <c r="L296" s="10">
        <v>50</v>
      </c>
      <c r="M296" t="b">
        <v>1</v>
      </c>
      <c r="N296" t="s">
        <v>8267</v>
      </c>
      <c r="O296" s="11">
        <f t="shared" si="20"/>
        <v>100</v>
      </c>
      <c r="P296" s="12">
        <f t="shared" si="21"/>
        <v>100</v>
      </c>
      <c r="Q296" s="14" t="s">
        <v>8307</v>
      </c>
      <c r="R296" t="s">
        <v>8312</v>
      </c>
      <c r="S296" s="17">
        <f t="shared" si="22"/>
        <v>40343.084421296298</v>
      </c>
      <c r="T296" s="17">
        <f t="shared" si="23"/>
        <v>40378.666666666664</v>
      </c>
      <c r="U296">
        <f>MONTH(Table1[[#This Row],[Launched]])</f>
        <v>6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 s="8">
        <v>1383264000</v>
      </c>
      <c r="J297">
        <v>1378080409</v>
      </c>
      <c r="K297" t="b">
        <v>1</v>
      </c>
      <c r="L297" s="10">
        <v>665</v>
      </c>
      <c r="M297" t="b">
        <v>1</v>
      </c>
      <c r="N297" t="s">
        <v>8267</v>
      </c>
      <c r="O297" s="11">
        <f t="shared" si="20"/>
        <v>133</v>
      </c>
      <c r="P297" s="12">
        <f t="shared" si="21"/>
        <v>100</v>
      </c>
      <c r="Q297" s="14" t="s">
        <v>8307</v>
      </c>
      <c r="R297" t="s">
        <v>8312</v>
      </c>
      <c r="S297" s="17">
        <f t="shared" si="22"/>
        <v>41519.004733796297</v>
      </c>
      <c r="T297" s="17">
        <f t="shared" si="23"/>
        <v>41579</v>
      </c>
      <c r="U297">
        <f>MONTH(Table1[[#This Row],[Launched]])</f>
        <v>9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 s="8">
        <v>1347017083</v>
      </c>
      <c r="J298">
        <v>1344857083</v>
      </c>
      <c r="K298" t="b">
        <v>1</v>
      </c>
      <c r="L298" s="10">
        <v>129</v>
      </c>
      <c r="M298" t="b">
        <v>1</v>
      </c>
      <c r="N298" t="s">
        <v>8267</v>
      </c>
      <c r="O298" s="11">
        <f t="shared" si="20"/>
        <v>119</v>
      </c>
      <c r="P298" s="12">
        <f t="shared" si="21"/>
        <v>230</v>
      </c>
      <c r="Q298" s="14" t="s">
        <v>8307</v>
      </c>
      <c r="R298" t="s">
        <v>8312</v>
      </c>
      <c r="S298" s="17">
        <f t="shared" si="22"/>
        <v>41134.475497685184</v>
      </c>
      <c r="T298" s="17">
        <f t="shared" si="23"/>
        <v>41159.475497685184</v>
      </c>
      <c r="U298">
        <f>MONTH(Table1[[#This Row],[Launched]])</f>
        <v>8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8218</v>
      </c>
      <c r="G299" t="s">
        <v>8223</v>
      </c>
      <c r="H299" t="s">
        <v>8245</v>
      </c>
      <c r="I299" s="8">
        <v>1430452740</v>
      </c>
      <c r="J299">
        <v>1427390901</v>
      </c>
      <c r="K299" t="b">
        <v>1</v>
      </c>
      <c r="L299" s="10">
        <v>142</v>
      </c>
      <c r="M299" t="b">
        <v>1</v>
      </c>
      <c r="N299" t="s">
        <v>8267</v>
      </c>
      <c r="O299" s="11">
        <f t="shared" si="20"/>
        <v>101</v>
      </c>
      <c r="P299" s="12">
        <f t="shared" si="21"/>
        <v>142</v>
      </c>
      <c r="Q299" s="14" t="s">
        <v>8307</v>
      </c>
      <c r="R299" t="s">
        <v>8312</v>
      </c>
      <c r="S299" s="17">
        <f t="shared" si="22"/>
        <v>42089.72802083334</v>
      </c>
      <c r="T299" s="17">
        <f t="shared" si="23"/>
        <v>42125.165972222225</v>
      </c>
      <c r="U299">
        <f>MONTH(Table1[[#This Row],[Launched]])</f>
        <v>3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 s="8">
        <v>1399669200</v>
      </c>
      <c r="J300">
        <v>1394536048</v>
      </c>
      <c r="K300" t="b">
        <v>1</v>
      </c>
      <c r="L300" s="10">
        <v>2436</v>
      </c>
      <c r="M300" t="b">
        <v>1</v>
      </c>
      <c r="N300" t="s">
        <v>8267</v>
      </c>
      <c r="O300" s="11">
        <f t="shared" si="20"/>
        <v>109</v>
      </c>
      <c r="P300" s="12">
        <f t="shared" si="21"/>
        <v>56</v>
      </c>
      <c r="Q300" s="14" t="s">
        <v>8307</v>
      </c>
      <c r="R300" t="s">
        <v>8312</v>
      </c>
      <c r="S300" s="17">
        <f t="shared" si="22"/>
        <v>41709.463518518518</v>
      </c>
      <c r="T300" s="17">
        <f t="shared" si="23"/>
        <v>41768.875</v>
      </c>
      <c r="U300">
        <f>MONTH(Table1[[#This Row],[Launched]])</f>
        <v>3</v>
      </c>
    </row>
    <row r="301" spans="1:21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 s="8">
        <v>1289975060</v>
      </c>
      <c r="J301">
        <v>1287379460</v>
      </c>
      <c r="K301" t="b">
        <v>1</v>
      </c>
      <c r="L301" s="10">
        <v>244</v>
      </c>
      <c r="M301" t="b">
        <v>1</v>
      </c>
      <c r="N301" t="s">
        <v>8267</v>
      </c>
      <c r="O301" s="11">
        <f t="shared" si="20"/>
        <v>179</v>
      </c>
      <c r="P301" s="12">
        <f t="shared" si="21"/>
        <v>73</v>
      </c>
      <c r="Q301" s="14" t="s">
        <v>8307</v>
      </c>
      <c r="R301" t="s">
        <v>8312</v>
      </c>
      <c r="S301" s="17">
        <f t="shared" si="22"/>
        <v>40469.225231481483</v>
      </c>
      <c r="T301" s="17">
        <f t="shared" si="23"/>
        <v>40499.266898148147</v>
      </c>
      <c r="U301">
        <f>MONTH(Table1[[#This Row],[Launched]])</f>
        <v>10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 s="8">
        <v>1303686138</v>
      </c>
      <c r="J302">
        <v>1301007738</v>
      </c>
      <c r="K302" t="b">
        <v>1</v>
      </c>
      <c r="L302" s="10">
        <v>298</v>
      </c>
      <c r="M302" t="b">
        <v>1</v>
      </c>
      <c r="N302" t="s">
        <v>8267</v>
      </c>
      <c r="O302" s="11">
        <f t="shared" si="20"/>
        <v>102</v>
      </c>
      <c r="P302" s="12">
        <f t="shared" si="21"/>
        <v>85</v>
      </c>
      <c r="Q302" s="14" t="s">
        <v>8307</v>
      </c>
      <c r="R302" t="s">
        <v>8312</v>
      </c>
      <c r="S302" s="17">
        <f t="shared" si="22"/>
        <v>40626.959930555553</v>
      </c>
      <c r="T302" s="17">
        <f t="shared" si="23"/>
        <v>40657.959930555553</v>
      </c>
      <c r="U302">
        <f>MONTH(Table1[[#This Row],[Launched]])</f>
        <v>3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 s="8">
        <v>1363711335</v>
      </c>
      <c r="J303">
        <v>1360258935</v>
      </c>
      <c r="K303" t="b">
        <v>1</v>
      </c>
      <c r="L303" s="10">
        <v>251</v>
      </c>
      <c r="M303" t="b">
        <v>1</v>
      </c>
      <c r="N303" t="s">
        <v>8267</v>
      </c>
      <c r="O303" s="11">
        <f t="shared" si="20"/>
        <v>119</v>
      </c>
      <c r="P303" s="12">
        <f t="shared" si="21"/>
        <v>61</v>
      </c>
      <c r="Q303" s="14" t="s">
        <v>8307</v>
      </c>
      <c r="R303" t="s">
        <v>8312</v>
      </c>
      <c r="S303" s="17">
        <f t="shared" si="22"/>
        <v>41312.737673611111</v>
      </c>
      <c r="T303" s="17">
        <f t="shared" si="23"/>
        <v>41352.696006944447</v>
      </c>
      <c r="U303">
        <f>MONTH(Table1[[#This Row],[Launched]])</f>
        <v>2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8218</v>
      </c>
      <c r="G304" t="s">
        <v>8223</v>
      </c>
      <c r="H304" t="s">
        <v>8245</v>
      </c>
      <c r="I304" s="8">
        <v>1330115638</v>
      </c>
      <c r="J304">
        <v>1327523638</v>
      </c>
      <c r="K304" t="b">
        <v>1</v>
      </c>
      <c r="L304" s="10">
        <v>108</v>
      </c>
      <c r="M304" t="b">
        <v>1</v>
      </c>
      <c r="N304" t="s">
        <v>8267</v>
      </c>
      <c r="O304" s="11">
        <f t="shared" si="20"/>
        <v>100</v>
      </c>
      <c r="P304" s="12">
        <f t="shared" si="21"/>
        <v>93</v>
      </c>
      <c r="Q304" s="14" t="s">
        <v>8307</v>
      </c>
      <c r="R304" t="s">
        <v>8312</v>
      </c>
      <c r="S304" s="17">
        <f t="shared" si="22"/>
        <v>40933.856921296298</v>
      </c>
      <c r="T304" s="17">
        <f t="shared" si="23"/>
        <v>40963.856921296298</v>
      </c>
      <c r="U304">
        <f>MONTH(Table1[[#This Row],[Launched]])</f>
        <v>1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8218</v>
      </c>
      <c r="G305" t="s">
        <v>8223</v>
      </c>
      <c r="H305" t="s">
        <v>8245</v>
      </c>
      <c r="I305" s="8">
        <v>1338601346</v>
      </c>
      <c r="J305">
        <v>1336009346</v>
      </c>
      <c r="K305" t="b">
        <v>1</v>
      </c>
      <c r="L305" s="10">
        <v>82</v>
      </c>
      <c r="M305" t="b">
        <v>1</v>
      </c>
      <c r="N305" t="s">
        <v>8267</v>
      </c>
      <c r="O305" s="11">
        <f t="shared" si="20"/>
        <v>137</v>
      </c>
      <c r="P305" s="12">
        <f t="shared" si="21"/>
        <v>50</v>
      </c>
      <c r="Q305" s="14" t="s">
        <v>8307</v>
      </c>
      <c r="R305" t="s">
        <v>8312</v>
      </c>
      <c r="S305" s="17">
        <f t="shared" si="22"/>
        <v>41032.071134259262</v>
      </c>
      <c r="T305" s="17">
        <f t="shared" si="23"/>
        <v>41062.071134259262</v>
      </c>
      <c r="U305">
        <f>MONTH(Table1[[#This Row],[Launched]])</f>
        <v>5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8218</v>
      </c>
      <c r="G306" t="s">
        <v>8223</v>
      </c>
      <c r="H306" t="s">
        <v>8245</v>
      </c>
      <c r="I306" s="8">
        <v>1346464800</v>
      </c>
      <c r="J306">
        <v>1343096197</v>
      </c>
      <c r="K306" t="b">
        <v>1</v>
      </c>
      <c r="L306" s="10">
        <v>74</v>
      </c>
      <c r="M306" t="b">
        <v>1</v>
      </c>
      <c r="N306" t="s">
        <v>8267</v>
      </c>
      <c r="O306" s="11">
        <f t="shared" si="20"/>
        <v>232</v>
      </c>
      <c r="P306" s="12">
        <f t="shared" si="21"/>
        <v>106</v>
      </c>
      <c r="Q306" s="14" t="s">
        <v>8307</v>
      </c>
      <c r="R306" t="s">
        <v>8312</v>
      </c>
      <c r="S306" s="17">
        <f t="shared" si="22"/>
        <v>41114.094872685186</v>
      </c>
      <c r="T306" s="17">
        <f t="shared" si="23"/>
        <v>41153.083333333336</v>
      </c>
      <c r="U306">
        <f>MONTH(Table1[[#This Row],[Launched]])</f>
        <v>7</v>
      </c>
    </row>
    <row r="307" spans="1:21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8218</v>
      </c>
      <c r="G307" t="s">
        <v>8223</v>
      </c>
      <c r="H307" t="s">
        <v>8245</v>
      </c>
      <c r="I307" s="8">
        <v>1331392049</v>
      </c>
      <c r="J307">
        <v>1328800049</v>
      </c>
      <c r="K307" t="b">
        <v>1</v>
      </c>
      <c r="L307" s="10">
        <v>189</v>
      </c>
      <c r="M307" t="b">
        <v>1</v>
      </c>
      <c r="N307" t="s">
        <v>8267</v>
      </c>
      <c r="O307" s="11">
        <f t="shared" si="20"/>
        <v>130</v>
      </c>
      <c r="P307" s="12">
        <f t="shared" si="21"/>
        <v>52</v>
      </c>
      <c r="Q307" s="14" t="s">
        <v>8307</v>
      </c>
      <c r="R307" t="s">
        <v>8312</v>
      </c>
      <c r="S307" s="17">
        <f t="shared" si="22"/>
        <v>40948.630196759259</v>
      </c>
      <c r="T307" s="17">
        <f t="shared" si="23"/>
        <v>40978.630196759259</v>
      </c>
      <c r="U307">
        <f>MONTH(Table1[[#This Row],[Launched]])</f>
        <v>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8218</v>
      </c>
      <c r="G308" t="s">
        <v>8223</v>
      </c>
      <c r="H308" t="s">
        <v>8245</v>
      </c>
      <c r="I308" s="8">
        <v>1363806333</v>
      </c>
      <c r="J308">
        <v>1362081933</v>
      </c>
      <c r="K308" t="b">
        <v>1</v>
      </c>
      <c r="L308" s="10">
        <v>80</v>
      </c>
      <c r="M308" t="b">
        <v>1</v>
      </c>
      <c r="N308" t="s">
        <v>8267</v>
      </c>
      <c r="O308" s="11">
        <f t="shared" si="20"/>
        <v>293</v>
      </c>
      <c r="P308" s="12">
        <f t="shared" si="21"/>
        <v>37</v>
      </c>
      <c r="Q308" s="14" t="s">
        <v>8307</v>
      </c>
      <c r="R308" t="s">
        <v>8312</v>
      </c>
      <c r="S308" s="17">
        <f t="shared" si="22"/>
        <v>41333.837187500001</v>
      </c>
      <c r="T308" s="17">
        <f t="shared" si="23"/>
        <v>41353.795520833337</v>
      </c>
      <c r="U308">
        <f>MONTH(Table1[[#This Row],[Launched]])</f>
        <v>2</v>
      </c>
    </row>
    <row r="309" spans="1:21" ht="15.6" x14ac:dyDescent="0.3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8218</v>
      </c>
      <c r="G309" t="s">
        <v>8223</v>
      </c>
      <c r="H309" t="s">
        <v>8245</v>
      </c>
      <c r="I309" s="8">
        <v>1360276801</v>
      </c>
      <c r="J309">
        <v>1357684801</v>
      </c>
      <c r="K309" t="b">
        <v>1</v>
      </c>
      <c r="L309" s="10">
        <v>576</v>
      </c>
      <c r="M309" t="b">
        <v>1</v>
      </c>
      <c r="N309" t="s">
        <v>8267</v>
      </c>
      <c r="O309" s="11">
        <f t="shared" si="20"/>
        <v>111</v>
      </c>
      <c r="P309" s="12">
        <f t="shared" si="21"/>
        <v>43</v>
      </c>
      <c r="Q309" s="14" t="s">
        <v>8307</v>
      </c>
      <c r="R309" t="s">
        <v>8312</v>
      </c>
      <c r="S309" s="17">
        <f t="shared" si="22"/>
        <v>41282.944456018515</v>
      </c>
      <c r="T309" s="17">
        <f t="shared" si="23"/>
        <v>41312.944456018515</v>
      </c>
      <c r="U309">
        <f>MONTH(Table1[[#This Row],[Launched]])</f>
        <v>1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8218</v>
      </c>
      <c r="G310" t="s">
        <v>8223</v>
      </c>
      <c r="H310" t="s">
        <v>8245</v>
      </c>
      <c r="I310" s="8">
        <v>1299775210</v>
      </c>
      <c r="J310">
        <v>1295887210</v>
      </c>
      <c r="K310" t="b">
        <v>1</v>
      </c>
      <c r="L310" s="10">
        <v>202</v>
      </c>
      <c r="M310" t="b">
        <v>1</v>
      </c>
      <c r="N310" t="s">
        <v>8267</v>
      </c>
      <c r="O310" s="11">
        <f t="shared" si="20"/>
        <v>106</v>
      </c>
      <c r="P310" s="12">
        <f t="shared" si="21"/>
        <v>63</v>
      </c>
      <c r="Q310" s="14" t="s">
        <v>8307</v>
      </c>
      <c r="R310" t="s">
        <v>8312</v>
      </c>
      <c r="S310" s="17">
        <f t="shared" si="22"/>
        <v>40567.694560185184</v>
      </c>
      <c r="T310" s="17">
        <f t="shared" si="23"/>
        <v>40612.694560185184</v>
      </c>
      <c r="U310">
        <f>MONTH(Table1[[#This Row],[Launched]])</f>
        <v>1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8218</v>
      </c>
      <c r="G311" t="s">
        <v>8223</v>
      </c>
      <c r="H311" t="s">
        <v>8245</v>
      </c>
      <c r="I311" s="8">
        <v>1346695334</v>
      </c>
      <c r="J311">
        <v>1344880934</v>
      </c>
      <c r="K311" t="b">
        <v>1</v>
      </c>
      <c r="L311" s="10">
        <v>238</v>
      </c>
      <c r="M311" t="b">
        <v>1</v>
      </c>
      <c r="N311" t="s">
        <v>8267</v>
      </c>
      <c r="O311" s="11">
        <f t="shared" si="20"/>
        <v>119</v>
      </c>
      <c r="P311" s="12">
        <f t="shared" si="21"/>
        <v>90</v>
      </c>
      <c r="Q311" s="14" t="s">
        <v>8307</v>
      </c>
      <c r="R311" t="s">
        <v>8312</v>
      </c>
      <c r="S311" s="17">
        <f t="shared" si="22"/>
        <v>41134.751550925925</v>
      </c>
      <c r="T311" s="17">
        <f t="shared" si="23"/>
        <v>41155.751550925925</v>
      </c>
      <c r="U311">
        <f>MONTH(Table1[[#This Row],[Launched]])</f>
        <v>8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8218</v>
      </c>
      <c r="G312" t="s">
        <v>8223</v>
      </c>
      <c r="H312" t="s">
        <v>8245</v>
      </c>
      <c r="I312" s="8">
        <v>1319076000</v>
      </c>
      <c r="J312">
        <v>1317788623</v>
      </c>
      <c r="K312" t="b">
        <v>1</v>
      </c>
      <c r="L312" s="10">
        <v>36</v>
      </c>
      <c r="M312" t="b">
        <v>1</v>
      </c>
      <c r="N312" t="s">
        <v>8267</v>
      </c>
      <c r="O312" s="11">
        <f t="shared" si="20"/>
        <v>104</v>
      </c>
      <c r="P312" s="12">
        <f t="shared" si="21"/>
        <v>29</v>
      </c>
      <c r="Q312" s="14" t="s">
        <v>8307</v>
      </c>
      <c r="R312" t="s">
        <v>8312</v>
      </c>
      <c r="S312" s="17">
        <f t="shared" si="22"/>
        <v>40821.183136574073</v>
      </c>
      <c r="T312" s="17">
        <f t="shared" si="23"/>
        <v>40836.083333333336</v>
      </c>
      <c r="U312">
        <f>MONTH(Table1[[#This Row],[Launched]])</f>
        <v>10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 s="8">
        <v>1325404740</v>
      </c>
      <c r="J313">
        <v>1321852592</v>
      </c>
      <c r="K313" t="b">
        <v>1</v>
      </c>
      <c r="L313" s="10">
        <v>150</v>
      </c>
      <c r="M313" t="b">
        <v>1</v>
      </c>
      <c r="N313" t="s">
        <v>8267</v>
      </c>
      <c r="O313" s="11">
        <f t="shared" si="20"/>
        <v>104</v>
      </c>
      <c r="P313" s="12">
        <f t="shared" si="21"/>
        <v>139</v>
      </c>
      <c r="Q313" s="14" t="s">
        <v>8307</v>
      </c>
      <c r="R313" t="s">
        <v>8312</v>
      </c>
      <c r="S313" s="17">
        <f t="shared" si="22"/>
        <v>40868.219814814816</v>
      </c>
      <c r="T313" s="17">
        <f t="shared" si="23"/>
        <v>40909.332638888889</v>
      </c>
      <c r="U313">
        <f>MONTH(Table1[[#This Row],[Launched]])</f>
        <v>11</v>
      </c>
    </row>
    <row r="314" spans="1:21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8218</v>
      </c>
      <c r="G314" t="s">
        <v>8223</v>
      </c>
      <c r="H314" t="s">
        <v>8245</v>
      </c>
      <c r="I314" s="8">
        <v>1365973432</v>
      </c>
      <c r="J314">
        <v>1363381432</v>
      </c>
      <c r="K314" t="b">
        <v>1</v>
      </c>
      <c r="L314" s="10">
        <v>146</v>
      </c>
      <c r="M314" t="b">
        <v>1</v>
      </c>
      <c r="N314" t="s">
        <v>8267</v>
      </c>
      <c r="O314" s="11">
        <f t="shared" si="20"/>
        <v>112</v>
      </c>
      <c r="P314" s="12">
        <f t="shared" si="21"/>
        <v>61</v>
      </c>
      <c r="Q314" s="14" t="s">
        <v>8307</v>
      </c>
      <c r="R314" t="s">
        <v>8312</v>
      </c>
      <c r="S314" s="17">
        <f t="shared" si="22"/>
        <v>41348.877685185187</v>
      </c>
      <c r="T314" s="17">
        <f t="shared" si="23"/>
        <v>41378.877685185187</v>
      </c>
      <c r="U314">
        <f>MONTH(Table1[[#This Row],[Launched]])</f>
        <v>3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8218</v>
      </c>
      <c r="G315" t="s">
        <v>8223</v>
      </c>
      <c r="H315" t="s">
        <v>8245</v>
      </c>
      <c r="I315" s="8">
        <v>1281542340</v>
      </c>
      <c r="J315">
        <v>1277702894</v>
      </c>
      <c r="K315" t="b">
        <v>1</v>
      </c>
      <c r="L315" s="10">
        <v>222</v>
      </c>
      <c r="M315" t="b">
        <v>1</v>
      </c>
      <c r="N315" t="s">
        <v>8267</v>
      </c>
      <c r="O315" s="11">
        <f t="shared" si="20"/>
        <v>105</v>
      </c>
      <c r="P315" s="12">
        <f t="shared" si="21"/>
        <v>80</v>
      </c>
      <c r="Q315" s="14" t="s">
        <v>8307</v>
      </c>
      <c r="R315" t="s">
        <v>8312</v>
      </c>
      <c r="S315" s="17">
        <f t="shared" si="22"/>
        <v>40357.227939814817</v>
      </c>
      <c r="T315" s="17">
        <f t="shared" si="23"/>
        <v>40401.665972222225</v>
      </c>
      <c r="U315">
        <f>MONTH(Table1[[#This Row],[Launched]])</f>
        <v>6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8218</v>
      </c>
      <c r="G316" t="s">
        <v>8223</v>
      </c>
      <c r="H316" t="s">
        <v>8245</v>
      </c>
      <c r="I316" s="8">
        <v>1362167988</v>
      </c>
      <c r="J316">
        <v>1359575988</v>
      </c>
      <c r="K316" t="b">
        <v>1</v>
      </c>
      <c r="L316" s="10">
        <v>120</v>
      </c>
      <c r="M316" t="b">
        <v>1</v>
      </c>
      <c r="N316" t="s">
        <v>8267</v>
      </c>
      <c r="O316" s="11">
        <f t="shared" si="20"/>
        <v>385</v>
      </c>
      <c r="P316" s="12">
        <f t="shared" si="21"/>
        <v>32</v>
      </c>
      <c r="Q316" s="14" t="s">
        <v>8307</v>
      </c>
      <c r="R316" t="s">
        <v>8312</v>
      </c>
      <c r="S316" s="17">
        <f t="shared" si="22"/>
        <v>41304.833194444444</v>
      </c>
      <c r="T316" s="17">
        <f t="shared" si="23"/>
        <v>41334.833194444444</v>
      </c>
      <c r="U316">
        <f>MONTH(Table1[[#This Row],[Launched]])</f>
        <v>1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8218</v>
      </c>
      <c r="G317" t="s">
        <v>8223</v>
      </c>
      <c r="H317" t="s">
        <v>8245</v>
      </c>
      <c r="I317" s="8">
        <v>1345660334</v>
      </c>
      <c r="J317">
        <v>1343068334</v>
      </c>
      <c r="K317" t="b">
        <v>1</v>
      </c>
      <c r="L317" s="10">
        <v>126</v>
      </c>
      <c r="M317" t="b">
        <v>1</v>
      </c>
      <c r="N317" t="s">
        <v>8267</v>
      </c>
      <c r="O317" s="11">
        <f t="shared" si="20"/>
        <v>101</v>
      </c>
      <c r="P317" s="12">
        <f t="shared" si="21"/>
        <v>201</v>
      </c>
      <c r="Q317" s="14" t="s">
        <v>8307</v>
      </c>
      <c r="R317" t="s">
        <v>8312</v>
      </c>
      <c r="S317" s="17">
        <f t="shared" si="22"/>
        <v>41113.77238425926</v>
      </c>
      <c r="T317" s="17">
        <f t="shared" si="23"/>
        <v>41143.77238425926</v>
      </c>
      <c r="U317">
        <f>MONTH(Table1[[#This Row],[Launched]])</f>
        <v>7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8218</v>
      </c>
      <c r="G318" t="s">
        <v>8228</v>
      </c>
      <c r="H318" t="s">
        <v>8250</v>
      </c>
      <c r="I318" s="8">
        <v>1418273940</v>
      </c>
      <c r="J318">
        <v>1415398197</v>
      </c>
      <c r="K318" t="b">
        <v>1</v>
      </c>
      <c r="L318" s="10">
        <v>158</v>
      </c>
      <c r="M318" t="b">
        <v>1</v>
      </c>
      <c r="N318" t="s">
        <v>8267</v>
      </c>
      <c r="O318" s="11">
        <f t="shared" si="20"/>
        <v>114</v>
      </c>
      <c r="P318" s="12">
        <f t="shared" si="21"/>
        <v>108</v>
      </c>
      <c r="Q318" s="14" t="s">
        <v>8307</v>
      </c>
      <c r="R318" t="s">
        <v>8312</v>
      </c>
      <c r="S318" s="17">
        <f t="shared" si="22"/>
        <v>41950.923576388886</v>
      </c>
      <c r="T318" s="17">
        <f t="shared" si="23"/>
        <v>41984.207638888889</v>
      </c>
      <c r="U318">
        <f>MONTH(Table1[[#This Row],[Launched]])</f>
        <v>11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8218</v>
      </c>
      <c r="G319" t="s">
        <v>8223</v>
      </c>
      <c r="H319" t="s">
        <v>8245</v>
      </c>
      <c r="I319" s="8">
        <v>1386778483</v>
      </c>
      <c r="J319">
        <v>1384186483</v>
      </c>
      <c r="K319" t="b">
        <v>1</v>
      </c>
      <c r="L319" s="10">
        <v>316</v>
      </c>
      <c r="M319" t="b">
        <v>1</v>
      </c>
      <c r="N319" t="s">
        <v>8267</v>
      </c>
      <c r="O319" s="11">
        <f t="shared" si="20"/>
        <v>101</v>
      </c>
      <c r="P319" s="12">
        <f t="shared" si="21"/>
        <v>96</v>
      </c>
      <c r="Q319" s="14" t="s">
        <v>8307</v>
      </c>
      <c r="R319" t="s">
        <v>8312</v>
      </c>
      <c r="S319" s="17">
        <f t="shared" si="22"/>
        <v>41589.676886574074</v>
      </c>
      <c r="T319" s="17">
        <f t="shared" si="23"/>
        <v>41619.676886574074</v>
      </c>
      <c r="U319">
        <f>MONTH(Table1[[#This Row],[Launched]])</f>
        <v>11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8218</v>
      </c>
      <c r="G320" t="s">
        <v>8223</v>
      </c>
      <c r="H320" t="s">
        <v>8245</v>
      </c>
      <c r="I320" s="8">
        <v>1364342151</v>
      </c>
      <c r="J320">
        <v>1361753751</v>
      </c>
      <c r="K320" t="b">
        <v>1</v>
      </c>
      <c r="L320" s="10">
        <v>284</v>
      </c>
      <c r="M320" t="b">
        <v>1</v>
      </c>
      <c r="N320" t="s">
        <v>8267</v>
      </c>
      <c r="O320" s="11">
        <f t="shared" si="20"/>
        <v>283</v>
      </c>
      <c r="P320" s="12">
        <f t="shared" si="21"/>
        <v>50</v>
      </c>
      <c r="Q320" s="14" t="s">
        <v>8307</v>
      </c>
      <c r="R320" t="s">
        <v>8312</v>
      </c>
      <c r="S320" s="17">
        <f t="shared" si="22"/>
        <v>41330.038784722223</v>
      </c>
      <c r="T320" s="17">
        <f t="shared" si="23"/>
        <v>41359.997118055559</v>
      </c>
      <c r="U320">
        <f>MONTH(Table1[[#This Row],[Launched]])</f>
        <v>2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8218</v>
      </c>
      <c r="G321" t="s">
        <v>8223</v>
      </c>
      <c r="H321" t="s">
        <v>8245</v>
      </c>
      <c r="I321" s="8">
        <v>1265097540</v>
      </c>
      <c r="J321">
        <v>1257538029</v>
      </c>
      <c r="K321" t="b">
        <v>1</v>
      </c>
      <c r="L321" s="10">
        <v>51</v>
      </c>
      <c r="M321" t="b">
        <v>1</v>
      </c>
      <c r="N321" t="s">
        <v>8267</v>
      </c>
      <c r="O321" s="11">
        <f t="shared" si="20"/>
        <v>113</v>
      </c>
      <c r="P321" s="12">
        <f t="shared" si="21"/>
        <v>110</v>
      </c>
      <c r="Q321" s="14" t="s">
        <v>8307</v>
      </c>
      <c r="R321" t="s">
        <v>8312</v>
      </c>
      <c r="S321" s="17">
        <f t="shared" si="22"/>
        <v>40123.83829861111</v>
      </c>
      <c r="T321" s="17">
        <f t="shared" si="23"/>
        <v>40211.332638888889</v>
      </c>
      <c r="U321">
        <f>MONTH(Table1[[#This Row],[Launched]])</f>
        <v>11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8218</v>
      </c>
      <c r="G322" t="s">
        <v>8224</v>
      </c>
      <c r="H322" t="s">
        <v>8246</v>
      </c>
      <c r="I322" s="8">
        <v>1450825200</v>
      </c>
      <c r="J322">
        <v>1448284433</v>
      </c>
      <c r="K322" t="b">
        <v>1</v>
      </c>
      <c r="L322" s="10">
        <v>158</v>
      </c>
      <c r="M322" t="b">
        <v>1</v>
      </c>
      <c r="N322" t="s">
        <v>8267</v>
      </c>
      <c r="O322" s="11">
        <f t="shared" ref="O322:O385" si="24">ROUND(E322/D322*100,0)</f>
        <v>107</v>
      </c>
      <c r="P322" s="12">
        <f t="shared" si="21"/>
        <v>135</v>
      </c>
      <c r="Q322" s="14" t="s">
        <v>8307</v>
      </c>
      <c r="R322" t="s">
        <v>8312</v>
      </c>
      <c r="S322" s="17">
        <f t="shared" si="22"/>
        <v>42331.551307870366</v>
      </c>
      <c r="T322" s="17">
        <f t="shared" si="23"/>
        <v>42360.958333333328</v>
      </c>
      <c r="U322">
        <f>MONTH(Table1[[#This Row],[Launched]])</f>
        <v>11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8218</v>
      </c>
      <c r="G323" t="s">
        <v>8235</v>
      </c>
      <c r="H323" t="s">
        <v>8248</v>
      </c>
      <c r="I323" s="8">
        <v>1478605386</v>
      </c>
      <c r="J323">
        <v>1475577786</v>
      </c>
      <c r="K323" t="b">
        <v>1</v>
      </c>
      <c r="L323" s="10">
        <v>337</v>
      </c>
      <c r="M323" t="b">
        <v>1</v>
      </c>
      <c r="N323" t="s">
        <v>8267</v>
      </c>
      <c r="O323" s="11">
        <f t="shared" si="24"/>
        <v>103</v>
      </c>
      <c r="P323" s="12">
        <f t="shared" ref="P323:P386" si="25">IFERROR(ROUND(E323/L323,),"No Backers")</f>
        <v>107</v>
      </c>
      <c r="Q323" s="14" t="s">
        <v>8307</v>
      </c>
      <c r="R323" t="s">
        <v>8312</v>
      </c>
      <c r="S323" s="17">
        <f t="shared" ref="S323:S386" si="26">(((J323/60)/60)/24)+DATE(1970,1,1)</f>
        <v>42647.446597222224</v>
      </c>
      <c r="T323" s="17">
        <f t="shared" ref="T323:T386" si="27">(((I323/60)/60)/24)+DATE(1970,1,1)</f>
        <v>42682.488263888896</v>
      </c>
      <c r="U323">
        <f>MONTH(Table1[[#This Row],[Launched]])</f>
        <v>10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8218</v>
      </c>
      <c r="G324" t="s">
        <v>8223</v>
      </c>
      <c r="H324" t="s">
        <v>8245</v>
      </c>
      <c r="I324" s="8">
        <v>1463146848</v>
      </c>
      <c r="J324">
        <v>1460554848</v>
      </c>
      <c r="K324" t="b">
        <v>1</v>
      </c>
      <c r="L324" s="10">
        <v>186</v>
      </c>
      <c r="M324" t="b">
        <v>1</v>
      </c>
      <c r="N324" t="s">
        <v>8267</v>
      </c>
      <c r="O324" s="11">
        <f t="shared" si="24"/>
        <v>108</v>
      </c>
      <c r="P324" s="12">
        <f t="shared" si="25"/>
        <v>145</v>
      </c>
      <c r="Q324" s="14" t="s">
        <v>8307</v>
      </c>
      <c r="R324" t="s">
        <v>8312</v>
      </c>
      <c r="S324" s="17">
        <f t="shared" si="26"/>
        <v>42473.57</v>
      </c>
      <c r="T324" s="17">
        <f t="shared" si="27"/>
        <v>42503.57</v>
      </c>
      <c r="U324">
        <f>MONTH(Table1[[#This Row],[Launched]])</f>
        <v>4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8218</v>
      </c>
      <c r="G325" t="s">
        <v>8223</v>
      </c>
      <c r="H325" t="s">
        <v>8245</v>
      </c>
      <c r="I325" s="8">
        <v>1482307140</v>
      </c>
      <c r="J325">
        <v>1479886966</v>
      </c>
      <c r="K325" t="b">
        <v>1</v>
      </c>
      <c r="L325" s="10">
        <v>58</v>
      </c>
      <c r="M325" t="b">
        <v>1</v>
      </c>
      <c r="N325" t="s">
        <v>8267</v>
      </c>
      <c r="O325" s="11">
        <f t="shared" si="24"/>
        <v>123</v>
      </c>
      <c r="P325" s="12">
        <f t="shared" si="25"/>
        <v>115</v>
      </c>
      <c r="Q325" s="14" t="s">
        <v>8307</v>
      </c>
      <c r="R325" t="s">
        <v>8312</v>
      </c>
      <c r="S325" s="17">
        <f t="shared" si="26"/>
        <v>42697.32136574074</v>
      </c>
      <c r="T325" s="17">
        <f t="shared" si="27"/>
        <v>42725.332638888889</v>
      </c>
      <c r="U325">
        <f>MONTH(Table1[[#This Row],[Launched]])</f>
        <v>11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8218</v>
      </c>
      <c r="G326" t="s">
        <v>8223</v>
      </c>
      <c r="H326" t="s">
        <v>8245</v>
      </c>
      <c r="I326" s="8">
        <v>1438441308</v>
      </c>
      <c r="J326">
        <v>1435590108</v>
      </c>
      <c r="K326" t="b">
        <v>1</v>
      </c>
      <c r="L326" s="10">
        <v>82</v>
      </c>
      <c r="M326" t="b">
        <v>1</v>
      </c>
      <c r="N326" t="s">
        <v>8267</v>
      </c>
      <c r="O326" s="11">
        <f t="shared" si="24"/>
        <v>102</v>
      </c>
      <c r="P326" s="12">
        <f t="shared" si="25"/>
        <v>105</v>
      </c>
      <c r="Q326" s="14" t="s">
        <v>8307</v>
      </c>
      <c r="R326" t="s">
        <v>8312</v>
      </c>
      <c r="S326" s="17">
        <f t="shared" si="26"/>
        <v>42184.626250000001</v>
      </c>
      <c r="T326" s="17">
        <f t="shared" si="27"/>
        <v>42217.626250000001</v>
      </c>
      <c r="U326">
        <f>MONTH(Table1[[#This Row],[Launched]])</f>
        <v>6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8218</v>
      </c>
      <c r="G327" t="s">
        <v>8223</v>
      </c>
      <c r="H327" t="s">
        <v>8245</v>
      </c>
      <c r="I327" s="8">
        <v>1482208233</v>
      </c>
      <c r="J327">
        <v>1479184233</v>
      </c>
      <c r="K327" t="b">
        <v>1</v>
      </c>
      <c r="L327" s="10">
        <v>736</v>
      </c>
      <c r="M327" t="b">
        <v>1</v>
      </c>
      <c r="N327" t="s">
        <v>8267</v>
      </c>
      <c r="O327" s="11">
        <f t="shared" si="24"/>
        <v>104</v>
      </c>
      <c r="P327" s="12">
        <f t="shared" si="25"/>
        <v>71</v>
      </c>
      <c r="Q327" s="14" t="s">
        <v>8307</v>
      </c>
      <c r="R327" t="s">
        <v>8312</v>
      </c>
      <c r="S327" s="17">
        <f t="shared" si="26"/>
        <v>42689.187881944439</v>
      </c>
      <c r="T327" s="17">
        <f t="shared" si="27"/>
        <v>42724.187881944439</v>
      </c>
      <c r="U327">
        <f>MONTH(Table1[[#This Row],[Launched]])</f>
        <v>11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 s="8">
        <v>1489532220</v>
      </c>
      <c r="J328">
        <v>1486625606</v>
      </c>
      <c r="K328" t="b">
        <v>1</v>
      </c>
      <c r="L328" s="10">
        <v>1151</v>
      </c>
      <c r="M328" t="b">
        <v>1</v>
      </c>
      <c r="N328" t="s">
        <v>8267</v>
      </c>
      <c r="O328" s="11">
        <f t="shared" si="24"/>
        <v>113</v>
      </c>
      <c r="P328" s="12">
        <f t="shared" si="25"/>
        <v>147</v>
      </c>
      <c r="Q328" s="14" t="s">
        <v>8307</v>
      </c>
      <c r="R328" t="s">
        <v>8312</v>
      </c>
      <c r="S328" s="17">
        <f t="shared" si="26"/>
        <v>42775.314884259264</v>
      </c>
      <c r="T328" s="17">
        <f t="shared" si="27"/>
        <v>42808.956250000003</v>
      </c>
      <c r="U328">
        <f>MONTH(Table1[[#This Row],[Launched]])</f>
        <v>2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8218</v>
      </c>
      <c r="G329" t="s">
        <v>8223</v>
      </c>
      <c r="H329" t="s">
        <v>8245</v>
      </c>
      <c r="I329" s="8">
        <v>1427011200</v>
      </c>
      <c r="J329">
        <v>1424669929</v>
      </c>
      <c r="K329" t="b">
        <v>1</v>
      </c>
      <c r="L329" s="10">
        <v>34</v>
      </c>
      <c r="M329" t="b">
        <v>1</v>
      </c>
      <c r="N329" t="s">
        <v>8267</v>
      </c>
      <c r="O329" s="11">
        <f t="shared" si="24"/>
        <v>136</v>
      </c>
      <c r="P329" s="12">
        <f t="shared" si="25"/>
        <v>160</v>
      </c>
      <c r="Q329" s="14" t="s">
        <v>8307</v>
      </c>
      <c r="R329" t="s">
        <v>8312</v>
      </c>
      <c r="S329" s="17">
        <f t="shared" si="26"/>
        <v>42058.235289351855</v>
      </c>
      <c r="T329" s="17">
        <f t="shared" si="27"/>
        <v>42085.333333333328</v>
      </c>
      <c r="U329">
        <f>MONTH(Table1[[#This Row],[Launched]])</f>
        <v>2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8218</v>
      </c>
      <c r="G330" t="s">
        <v>8223</v>
      </c>
      <c r="H330" t="s">
        <v>8245</v>
      </c>
      <c r="I330" s="8">
        <v>1446350400</v>
      </c>
      <c r="J330">
        <v>1443739388</v>
      </c>
      <c r="K330" t="b">
        <v>1</v>
      </c>
      <c r="L330" s="10">
        <v>498</v>
      </c>
      <c r="M330" t="b">
        <v>1</v>
      </c>
      <c r="N330" t="s">
        <v>8267</v>
      </c>
      <c r="O330" s="11">
        <f t="shared" si="24"/>
        <v>104</v>
      </c>
      <c r="P330" s="12">
        <f t="shared" si="25"/>
        <v>156</v>
      </c>
      <c r="Q330" s="14" t="s">
        <v>8307</v>
      </c>
      <c r="R330" t="s">
        <v>8312</v>
      </c>
      <c r="S330" s="17">
        <f t="shared" si="26"/>
        <v>42278.946620370371</v>
      </c>
      <c r="T330" s="17">
        <f t="shared" si="27"/>
        <v>42309.166666666672</v>
      </c>
      <c r="U330">
        <f>MONTH(Table1[[#This Row],[Launched]])</f>
        <v>10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8218</v>
      </c>
      <c r="G331" t="s">
        <v>8223</v>
      </c>
      <c r="H331" t="s">
        <v>8245</v>
      </c>
      <c r="I331" s="8">
        <v>1446868800</v>
      </c>
      <c r="J331">
        <v>1444821127</v>
      </c>
      <c r="K331" t="b">
        <v>1</v>
      </c>
      <c r="L331" s="10">
        <v>167</v>
      </c>
      <c r="M331" t="b">
        <v>1</v>
      </c>
      <c r="N331" t="s">
        <v>8267</v>
      </c>
      <c r="O331" s="11">
        <f t="shared" si="24"/>
        <v>106</v>
      </c>
      <c r="P331" s="12">
        <f t="shared" si="25"/>
        <v>63</v>
      </c>
      <c r="Q331" s="14" t="s">
        <v>8307</v>
      </c>
      <c r="R331" t="s">
        <v>8312</v>
      </c>
      <c r="S331" s="17">
        <f t="shared" si="26"/>
        <v>42291.46674768519</v>
      </c>
      <c r="T331" s="17">
        <f t="shared" si="27"/>
        <v>42315.166666666672</v>
      </c>
      <c r="U331">
        <f>MONTH(Table1[[#This Row],[Launched]])</f>
        <v>10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8218</v>
      </c>
      <c r="G332" t="s">
        <v>8223</v>
      </c>
      <c r="H332" t="s">
        <v>8245</v>
      </c>
      <c r="I332" s="8">
        <v>1368763140</v>
      </c>
      <c r="J332">
        <v>1366028563</v>
      </c>
      <c r="K332" t="b">
        <v>1</v>
      </c>
      <c r="L332" s="10">
        <v>340</v>
      </c>
      <c r="M332" t="b">
        <v>1</v>
      </c>
      <c r="N332" t="s">
        <v>8267</v>
      </c>
      <c r="O332" s="11">
        <f t="shared" si="24"/>
        <v>102</v>
      </c>
      <c r="P332" s="12">
        <f t="shared" si="25"/>
        <v>105</v>
      </c>
      <c r="Q332" s="14" t="s">
        <v>8307</v>
      </c>
      <c r="R332" t="s">
        <v>8312</v>
      </c>
      <c r="S332" s="17">
        <f t="shared" si="26"/>
        <v>41379.515775462962</v>
      </c>
      <c r="T332" s="17">
        <f t="shared" si="27"/>
        <v>41411.165972222225</v>
      </c>
      <c r="U332">
        <f>MONTH(Table1[[#This Row],[Launched]])</f>
        <v>4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8218</v>
      </c>
      <c r="G333" t="s">
        <v>8223</v>
      </c>
      <c r="H333" t="s">
        <v>8245</v>
      </c>
      <c r="I333" s="8">
        <v>1466171834</v>
      </c>
      <c r="J333">
        <v>1463493434</v>
      </c>
      <c r="K333" t="b">
        <v>1</v>
      </c>
      <c r="L333" s="10">
        <v>438</v>
      </c>
      <c r="M333" t="b">
        <v>1</v>
      </c>
      <c r="N333" t="s">
        <v>8267</v>
      </c>
      <c r="O333" s="11">
        <f t="shared" si="24"/>
        <v>107</v>
      </c>
      <c r="P333" s="12">
        <f t="shared" si="25"/>
        <v>97</v>
      </c>
      <c r="Q333" s="14" t="s">
        <v>8307</v>
      </c>
      <c r="R333" t="s">
        <v>8312</v>
      </c>
      <c r="S333" s="17">
        <f t="shared" si="26"/>
        <v>42507.581412037034</v>
      </c>
      <c r="T333" s="17">
        <f t="shared" si="27"/>
        <v>42538.581412037034</v>
      </c>
      <c r="U333">
        <f>MONTH(Table1[[#This Row],[Launched]])</f>
        <v>5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8218</v>
      </c>
      <c r="G334" t="s">
        <v>8223</v>
      </c>
      <c r="H334" t="s">
        <v>8245</v>
      </c>
      <c r="I334" s="8">
        <v>1446019200</v>
      </c>
      <c r="J334">
        <v>1442420377</v>
      </c>
      <c r="K334" t="b">
        <v>1</v>
      </c>
      <c r="L334" s="10">
        <v>555</v>
      </c>
      <c r="M334" t="b">
        <v>1</v>
      </c>
      <c r="N334" t="s">
        <v>8267</v>
      </c>
      <c r="O334" s="11">
        <f t="shared" si="24"/>
        <v>113</v>
      </c>
      <c r="P334" s="12">
        <f t="shared" si="25"/>
        <v>204</v>
      </c>
      <c r="Q334" s="14" t="s">
        <v>8307</v>
      </c>
      <c r="R334" t="s">
        <v>8312</v>
      </c>
      <c r="S334" s="17">
        <f t="shared" si="26"/>
        <v>42263.680289351847</v>
      </c>
      <c r="T334" s="17">
        <f t="shared" si="27"/>
        <v>42305.333333333328</v>
      </c>
      <c r="U334">
        <f>MONTH(Table1[[#This Row],[Launched]])</f>
        <v>9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8218</v>
      </c>
      <c r="G335" t="s">
        <v>8223</v>
      </c>
      <c r="H335" t="s">
        <v>8245</v>
      </c>
      <c r="I335" s="8">
        <v>1460038591</v>
      </c>
      <c r="J335">
        <v>1457450191</v>
      </c>
      <c r="K335" t="b">
        <v>1</v>
      </c>
      <c r="L335" s="10">
        <v>266</v>
      </c>
      <c r="M335" t="b">
        <v>1</v>
      </c>
      <c r="N335" t="s">
        <v>8267</v>
      </c>
      <c r="O335" s="11">
        <f t="shared" si="24"/>
        <v>125</v>
      </c>
      <c r="P335" s="12">
        <f t="shared" si="25"/>
        <v>188</v>
      </c>
      <c r="Q335" s="14" t="s">
        <v>8307</v>
      </c>
      <c r="R335" t="s">
        <v>8312</v>
      </c>
      <c r="S335" s="17">
        <f t="shared" si="26"/>
        <v>42437.636469907404</v>
      </c>
      <c r="T335" s="17">
        <f t="shared" si="27"/>
        <v>42467.59480324074</v>
      </c>
      <c r="U335">
        <f>MONTH(Table1[[#This Row],[Launched]])</f>
        <v>3</v>
      </c>
    </row>
    <row r="336" spans="1:21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8218</v>
      </c>
      <c r="G336" t="s">
        <v>8223</v>
      </c>
      <c r="H336" t="s">
        <v>8245</v>
      </c>
      <c r="I336" s="8">
        <v>1431716400</v>
      </c>
      <c r="J336">
        <v>1428423757</v>
      </c>
      <c r="K336" t="b">
        <v>1</v>
      </c>
      <c r="L336" s="10">
        <v>69</v>
      </c>
      <c r="M336" t="b">
        <v>1</v>
      </c>
      <c r="N336" t="s">
        <v>8267</v>
      </c>
      <c r="O336" s="11">
        <f t="shared" si="24"/>
        <v>101</v>
      </c>
      <c r="P336" s="12">
        <f t="shared" si="25"/>
        <v>147</v>
      </c>
      <c r="Q336" s="14" t="s">
        <v>8307</v>
      </c>
      <c r="R336" t="s">
        <v>8312</v>
      </c>
      <c r="S336" s="17">
        <f t="shared" si="26"/>
        <v>42101.682372685187</v>
      </c>
      <c r="T336" s="17">
        <f t="shared" si="27"/>
        <v>42139.791666666672</v>
      </c>
      <c r="U336">
        <f>MONTH(Table1[[#This Row],[Launched]])</f>
        <v>4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8218</v>
      </c>
      <c r="G337" t="s">
        <v>8223</v>
      </c>
      <c r="H337" t="s">
        <v>8245</v>
      </c>
      <c r="I337" s="8">
        <v>1431122400</v>
      </c>
      <c r="J337">
        <v>1428428515</v>
      </c>
      <c r="K337" t="b">
        <v>1</v>
      </c>
      <c r="L337" s="10">
        <v>80</v>
      </c>
      <c r="M337" t="b">
        <v>1</v>
      </c>
      <c r="N337" t="s">
        <v>8267</v>
      </c>
      <c r="O337" s="11">
        <f t="shared" si="24"/>
        <v>103</v>
      </c>
      <c r="P337" s="12">
        <f t="shared" si="25"/>
        <v>109</v>
      </c>
      <c r="Q337" s="14" t="s">
        <v>8307</v>
      </c>
      <c r="R337" t="s">
        <v>8312</v>
      </c>
      <c r="S337" s="17">
        <f t="shared" si="26"/>
        <v>42101.737442129626</v>
      </c>
      <c r="T337" s="17">
        <f t="shared" si="27"/>
        <v>42132.916666666672</v>
      </c>
      <c r="U337">
        <f>MONTH(Table1[[#This Row],[Launched]])</f>
        <v>4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 s="8">
        <v>1447427918</v>
      </c>
      <c r="J338">
        <v>1444832318</v>
      </c>
      <c r="K338" t="b">
        <v>1</v>
      </c>
      <c r="L338" s="10">
        <v>493</v>
      </c>
      <c r="M338" t="b">
        <v>1</v>
      </c>
      <c r="N338" t="s">
        <v>8267</v>
      </c>
      <c r="O338" s="11">
        <f t="shared" si="24"/>
        <v>117</v>
      </c>
      <c r="P338" s="12">
        <f t="shared" si="25"/>
        <v>59</v>
      </c>
      <c r="Q338" s="14" t="s">
        <v>8307</v>
      </c>
      <c r="R338" t="s">
        <v>8312</v>
      </c>
      <c r="S338" s="17">
        <f t="shared" si="26"/>
        <v>42291.596273148149</v>
      </c>
      <c r="T338" s="17">
        <f t="shared" si="27"/>
        <v>42321.637939814813</v>
      </c>
      <c r="U338">
        <f>MONTH(Table1[[#This Row],[Launched]])</f>
        <v>10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8218</v>
      </c>
      <c r="G339" t="s">
        <v>8223</v>
      </c>
      <c r="H339" t="s">
        <v>8245</v>
      </c>
      <c r="I339" s="8">
        <v>1426298708</v>
      </c>
      <c r="J339">
        <v>1423710308</v>
      </c>
      <c r="K339" t="b">
        <v>1</v>
      </c>
      <c r="L339" s="10">
        <v>31</v>
      </c>
      <c r="M339" t="b">
        <v>1</v>
      </c>
      <c r="N339" t="s">
        <v>8267</v>
      </c>
      <c r="O339" s="11">
        <f t="shared" si="24"/>
        <v>101</v>
      </c>
      <c r="P339" s="12">
        <f t="shared" si="25"/>
        <v>98</v>
      </c>
      <c r="Q339" s="14" t="s">
        <v>8307</v>
      </c>
      <c r="R339" t="s">
        <v>8312</v>
      </c>
      <c r="S339" s="17">
        <f t="shared" si="26"/>
        <v>42047.128564814819</v>
      </c>
      <c r="T339" s="17">
        <f t="shared" si="27"/>
        <v>42077.086898148147</v>
      </c>
      <c r="U339">
        <f>MONTH(Table1[[#This Row],[Launched]])</f>
        <v>2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 s="8">
        <v>1472864400</v>
      </c>
      <c r="J340">
        <v>1468001290</v>
      </c>
      <c r="K340" t="b">
        <v>1</v>
      </c>
      <c r="L340" s="10">
        <v>236</v>
      </c>
      <c r="M340" t="b">
        <v>1</v>
      </c>
      <c r="N340" t="s">
        <v>8267</v>
      </c>
      <c r="O340" s="11">
        <f t="shared" si="24"/>
        <v>110</v>
      </c>
      <c r="P340" s="12">
        <f t="shared" si="25"/>
        <v>70</v>
      </c>
      <c r="Q340" s="14" t="s">
        <v>8307</v>
      </c>
      <c r="R340" t="s">
        <v>8312</v>
      </c>
      <c r="S340" s="17">
        <f t="shared" si="26"/>
        <v>42559.755671296298</v>
      </c>
      <c r="T340" s="17">
        <f t="shared" si="27"/>
        <v>42616.041666666672</v>
      </c>
      <c r="U340">
        <f>MONTH(Table1[[#This Row],[Launched]])</f>
        <v>7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8218</v>
      </c>
      <c r="G341" t="s">
        <v>8223</v>
      </c>
      <c r="H341" t="s">
        <v>8245</v>
      </c>
      <c r="I341" s="8">
        <v>1430331268</v>
      </c>
      <c r="J341">
        <v>1427739268</v>
      </c>
      <c r="K341" t="b">
        <v>1</v>
      </c>
      <c r="L341" s="10">
        <v>89</v>
      </c>
      <c r="M341" t="b">
        <v>1</v>
      </c>
      <c r="N341" t="s">
        <v>8267</v>
      </c>
      <c r="O341" s="11">
        <f t="shared" si="24"/>
        <v>108</v>
      </c>
      <c r="P341" s="12">
        <f t="shared" si="25"/>
        <v>73</v>
      </c>
      <c r="Q341" s="14" t="s">
        <v>8307</v>
      </c>
      <c r="R341" t="s">
        <v>8312</v>
      </c>
      <c r="S341" s="17">
        <f t="shared" si="26"/>
        <v>42093.760046296295</v>
      </c>
      <c r="T341" s="17">
        <f t="shared" si="27"/>
        <v>42123.760046296295</v>
      </c>
      <c r="U341">
        <f>MONTH(Table1[[#This Row],[Launched]])</f>
        <v>3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8218</v>
      </c>
      <c r="G342" t="s">
        <v>8223</v>
      </c>
      <c r="H342" t="s">
        <v>8245</v>
      </c>
      <c r="I342" s="8">
        <v>1489006800</v>
      </c>
      <c r="J342">
        <v>1486397007</v>
      </c>
      <c r="K342" t="b">
        <v>1</v>
      </c>
      <c r="L342" s="10">
        <v>299</v>
      </c>
      <c r="M342" t="b">
        <v>1</v>
      </c>
      <c r="N342" t="s">
        <v>8267</v>
      </c>
      <c r="O342" s="11">
        <f t="shared" si="24"/>
        <v>125</v>
      </c>
      <c r="P342" s="12">
        <f t="shared" si="25"/>
        <v>146</v>
      </c>
      <c r="Q342" s="14" t="s">
        <v>8307</v>
      </c>
      <c r="R342" t="s">
        <v>8312</v>
      </c>
      <c r="S342" s="17">
        <f t="shared" si="26"/>
        <v>42772.669062500005</v>
      </c>
      <c r="T342" s="17">
        <f t="shared" si="27"/>
        <v>42802.875</v>
      </c>
      <c r="U342">
        <f>MONTH(Table1[[#This Row],[Launched]])</f>
        <v>2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8218</v>
      </c>
      <c r="G343" t="s">
        <v>8223</v>
      </c>
      <c r="H343" t="s">
        <v>8245</v>
      </c>
      <c r="I343" s="8">
        <v>1412135940</v>
      </c>
      <c r="J343">
        <v>1410555998</v>
      </c>
      <c r="K343" t="b">
        <v>1</v>
      </c>
      <c r="L343" s="10">
        <v>55</v>
      </c>
      <c r="M343" t="b">
        <v>1</v>
      </c>
      <c r="N343" t="s">
        <v>8267</v>
      </c>
      <c r="O343" s="11">
        <f t="shared" si="24"/>
        <v>107</v>
      </c>
      <c r="P343" s="12">
        <f t="shared" si="25"/>
        <v>68</v>
      </c>
      <c r="Q343" s="14" t="s">
        <v>8307</v>
      </c>
      <c r="R343" t="s">
        <v>8312</v>
      </c>
      <c r="S343" s="17">
        <f t="shared" si="26"/>
        <v>41894.879606481481</v>
      </c>
      <c r="T343" s="17">
        <f t="shared" si="27"/>
        <v>41913.165972222225</v>
      </c>
      <c r="U343">
        <f>MONTH(Table1[[#This Row],[Launched]])</f>
        <v>9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 s="8">
        <v>1461955465</v>
      </c>
      <c r="J344">
        <v>1459363465</v>
      </c>
      <c r="K344" t="b">
        <v>1</v>
      </c>
      <c r="L344" s="10">
        <v>325</v>
      </c>
      <c r="M344" t="b">
        <v>1</v>
      </c>
      <c r="N344" t="s">
        <v>8267</v>
      </c>
      <c r="O344" s="11">
        <f t="shared" si="24"/>
        <v>100</v>
      </c>
      <c r="P344" s="12">
        <f t="shared" si="25"/>
        <v>170</v>
      </c>
      <c r="Q344" s="14" t="s">
        <v>8307</v>
      </c>
      <c r="R344" t="s">
        <v>8312</v>
      </c>
      <c r="S344" s="17">
        <f t="shared" si="26"/>
        <v>42459.780844907407</v>
      </c>
      <c r="T344" s="17">
        <f t="shared" si="27"/>
        <v>42489.780844907407</v>
      </c>
      <c r="U344">
        <f>MONTH(Table1[[#This Row],[Launched]])</f>
        <v>3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 s="8">
        <v>1415934000</v>
      </c>
      <c r="J345">
        <v>1413308545</v>
      </c>
      <c r="K345" t="b">
        <v>1</v>
      </c>
      <c r="L345" s="10">
        <v>524</v>
      </c>
      <c r="M345" t="b">
        <v>1</v>
      </c>
      <c r="N345" t="s">
        <v>8267</v>
      </c>
      <c r="O345" s="11">
        <f t="shared" si="24"/>
        <v>102</v>
      </c>
      <c r="P345" s="12">
        <f t="shared" si="25"/>
        <v>58</v>
      </c>
      <c r="Q345" s="14" t="s">
        <v>8307</v>
      </c>
      <c r="R345" t="s">
        <v>8312</v>
      </c>
      <c r="S345" s="17">
        <f t="shared" si="26"/>
        <v>41926.73778935185</v>
      </c>
      <c r="T345" s="17">
        <f t="shared" si="27"/>
        <v>41957.125</v>
      </c>
      <c r="U345">
        <f>MONTH(Table1[[#This Row],[Launched]])</f>
        <v>10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8218</v>
      </c>
      <c r="G346" t="s">
        <v>8223</v>
      </c>
      <c r="H346" t="s">
        <v>8245</v>
      </c>
      <c r="I346" s="8">
        <v>1433125200</v>
      </c>
      <c r="J346">
        <v>1429312694</v>
      </c>
      <c r="K346" t="b">
        <v>1</v>
      </c>
      <c r="L346" s="10">
        <v>285</v>
      </c>
      <c r="M346" t="b">
        <v>1</v>
      </c>
      <c r="N346" t="s">
        <v>8267</v>
      </c>
      <c r="O346" s="11">
        <f t="shared" si="24"/>
        <v>102</v>
      </c>
      <c r="P346" s="12">
        <f t="shared" si="25"/>
        <v>120</v>
      </c>
      <c r="Q346" s="14" t="s">
        <v>8307</v>
      </c>
      <c r="R346" t="s">
        <v>8312</v>
      </c>
      <c r="S346" s="17">
        <f t="shared" si="26"/>
        <v>42111.970995370371</v>
      </c>
      <c r="T346" s="17">
        <f t="shared" si="27"/>
        <v>42156.097222222219</v>
      </c>
      <c r="U346">
        <f>MONTH(Table1[[#This Row],[Launched]])</f>
        <v>4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8218</v>
      </c>
      <c r="G347" t="s">
        <v>8223</v>
      </c>
      <c r="H347" t="s">
        <v>8245</v>
      </c>
      <c r="I347" s="8">
        <v>1432161590</v>
      </c>
      <c r="J347">
        <v>1429569590</v>
      </c>
      <c r="K347" t="b">
        <v>1</v>
      </c>
      <c r="L347" s="10">
        <v>179</v>
      </c>
      <c r="M347" t="b">
        <v>1</v>
      </c>
      <c r="N347" t="s">
        <v>8267</v>
      </c>
      <c r="O347" s="11">
        <f t="shared" si="24"/>
        <v>123</v>
      </c>
      <c r="P347" s="12">
        <f t="shared" si="25"/>
        <v>100</v>
      </c>
      <c r="Q347" s="14" t="s">
        <v>8307</v>
      </c>
      <c r="R347" t="s">
        <v>8312</v>
      </c>
      <c r="S347" s="17">
        <f t="shared" si="26"/>
        <v>42114.944328703699</v>
      </c>
      <c r="T347" s="17">
        <f t="shared" si="27"/>
        <v>42144.944328703699</v>
      </c>
      <c r="U347">
        <f>MONTH(Table1[[#This Row],[Launched]])</f>
        <v>4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 s="8">
        <v>1444824021</v>
      </c>
      <c r="J348">
        <v>1442232021</v>
      </c>
      <c r="K348" t="b">
        <v>1</v>
      </c>
      <c r="L348" s="10">
        <v>188</v>
      </c>
      <c r="M348" t="b">
        <v>1</v>
      </c>
      <c r="N348" t="s">
        <v>8267</v>
      </c>
      <c r="O348" s="11">
        <f t="shared" si="24"/>
        <v>170</v>
      </c>
      <c r="P348" s="12">
        <f t="shared" si="25"/>
        <v>91</v>
      </c>
      <c r="Q348" s="14" t="s">
        <v>8307</v>
      </c>
      <c r="R348" t="s">
        <v>8312</v>
      </c>
      <c r="S348" s="17">
        <f t="shared" si="26"/>
        <v>42261.500243055561</v>
      </c>
      <c r="T348" s="17">
        <f t="shared" si="27"/>
        <v>42291.500243055561</v>
      </c>
      <c r="U348">
        <f>MONTH(Table1[[#This Row],[Launched]])</f>
        <v>9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8218</v>
      </c>
      <c r="G349" t="s">
        <v>8223</v>
      </c>
      <c r="H349" t="s">
        <v>8245</v>
      </c>
      <c r="I349" s="8">
        <v>1447505609</v>
      </c>
      <c r="J349">
        <v>1444910009</v>
      </c>
      <c r="K349" t="b">
        <v>1</v>
      </c>
      <c r="L349" s="10">
        <v>379</v>
      </c>
      <c r="M349" t="b">
        <v>1</v>
      </c>
      <c r="N349" t="s">
        <v>8267</v>
      </c>
      <c r="O349" s="11">
        <f t="shared" si="24"/>
        <v>112</v>
      </c>
      <c r="P349" s="12">
        <f t="shared" si="25"/>
        <v>118</v>
      </c>
      <c r="Q349" s="14" t="s">
        <v>8307</v>
      </c>
      <c r="R349" t="s">
        <v>8312</v>
      </c>
      <c r="S349" s="17">
        <f t="shared" si="26"/>
        <v>42292.495474537034</v>
      </c>
      <c r="T349" s="17">
        <f t="shared" si="27"/>
        <v>42322.537141203706</v>
      </c>
      <c r="U349">
        <f>MONTH(Table1[[#This Row],[Launched]])</f>
        <v>10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8218</v>
      </c>
      <c r="G350" t="s">
        <v>8223</v>
      </c>
      <c r="H350" t="s">
        <v>8245</v>
      </c>
      <c r="I350" s="8">
        <v>1440165916</v>
      </c>
      <c r="J350">
        <v>1437573916</v>
      </c>
      <c r="K350" t="b">
        <v>1</v>
      </c>
      <c r="L350" s="10">
        <v>119</v>
      </c>
      <c r="M350" t="b">
        <v>1</v>
      </c>
      <c r="N350" t="s">
        <v>8267</v>
      </c>
      <c r="O350" s="11">
        <f t="shared" si="24"/>
        <v>103</v>
      </c>
      <c r="P350" s="12">
        <f t="shared" si="25"/>
        <v>87</v>
      </c>
      <c r="Q350" s="14" t="s">
        <v>8307</v>
      </c>
      <c r="R350" t="s">
        <v>8312</v>
      </c>
      <c r="S350" s="17">
        <f t="shared" si="26"/>
        <v>42207.58699074074</v>
      </c>
      <c r="T350" s="17">
        <f t="shared" si="27"/>
        <v>42237.58699074074</v>
      </c>
      <c r="U350">
        <f>MONTH(Table1[[#This Row],[Launched]])</f>
        <v>7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 s="8">
        <v>1487937508</v>
      </c>
      <c r="J351">
        <v>1485345508</v>
      </c>
      <c r="K351" t="b">
        <v>1</v>
      </c>
      <c r="L351" s="10">
        <v>167</v>
      </c>
      <c r="M351" t="b">
        <v>1</v>
      </c>
      <c r="N351" t="s">
        <v>8267</v>
      </c>
      <c r="O351" s="11">
        <f t="shared" si="24"/>
        <v>107</v>
      </c>
      <c r="P351" s="12">
        <f t="shared" si="25"/>
        <v>72</v>
      </c>
      <c r="Q351" s="14" t="s">
        <v>8307</v>
      </c>
      <c r="R351" t="s">
        <v>8312</v>
      </c>
      <c r="S351" s="17">
        <f t="shared" si="26"/>
        <v>42760.498935185184</v>
      </c>
      <c r="T351" s="17">
        <f t="shared" si="27"/>
        <v>42790.498935185184</v>
      </c>
      <c r="U351">
        <f>MONTH(Table1[[#This Row],[Launched]])</f>
        <v>1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8218</v>
      </c>
      <c r="G352" t="s">
        <v>8223</v>
      </c>
      <c r="H352" t="s">
        <v>8245</v>
      </c>
      <c r="I352" s="8">
        <v>1473566340</v>
      </c>
      <c r="J352">
        <v>1470274509</v>
      </c>
      <c r="K352" t="b">
        <v>1</v>
      </c>
      <c r="L352" s="10">
        <v>221</v>
      </c>
      <c r="M352" t="b">
        <v>1</v>
      </c>
      <c r="N352" t="s">
        <v>8267</v>
      </c>
      <c r="O352" s="11">
        <f t="shared" si="24"/>
        <v>115</v>
      </c>
      <c r="P352" s="12">
        <f t="shared" si="25"/>
        <v>130</v>
      </c>
      <c r="Q352" s="14" t="s">
        <v>8307</v>
      </c>
      <c r="R352" t="s">
        <v>8312</v>
      </c>
      <c r="S352" s="17">
        <f t="shared" si="26"/>
        <v>42586.066076388888</v>
      </c>
      <c r="T352" s="17">
        <f t="shared" si="27"/>
        <v>42624.165972222225</v>
      </c>
      <c r="U352">
        <f>MONTH(Table1[[#This Row],[Launched]])</f>
        <v>8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8218</v>
      </c>
      <c r="G353" t="s">
        <v>8226</v>
      </c>
      <c r="H353" t="s">
        <v>8248</v>
      </c>
      <c r="I353" s="8">
        <v>1460066954</v>
      </c>
      <c r="J353">
        <v>1456614554</v>
      </c>
      <c r="K353" t="b">
        <v>1</v>
      </c>
      <c r="L353" s="10">
        <v>964</v>
      </c>
      <c r="M353" t="b">
        <v>1</v>
      </c>
      <c r="N353" t="s">
        <v>8267</v>
      </c>
      <c r="O353" s="11">
        <f t="shared" si="24"/>
        <v>127</v>
      </c>
      <c r="P353" s="12">
        <f t="shared" si="25"/>
        <v>45</v>
      </c>
      <c r="Q353" s="14" t="s">
        <v>8307</v>
      </c>
      <c r="R353" t="s">
        <v>8312</v>
      </c>
      <c r="S353" s="17">
        <f t="shared" si="26"/>
        <v>42427.964745370366</v>
      </c>
      <c r="T353" s="17">
        <f t="shared" si="27"/>
        <v>42467.923078703709</v>
      </c>
      <c r="U353">
        <f>MONTH(Table1[[#This Row],[Launched]])</f>
        <v>2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8218</v>
      </c>
      <c r="G354" t="s">
        <v>8223</v>
      </c>
      <c r="H354" t="s">
        <v>8245</v>
      </c>
      <c r="I354" s="8">
        <v>1412740868</v>
      </c>
      <c r="J354">
        <v>1410148868</v>
      </c>
      <c r="K354" t="b">
        <v>1</v>
      </c>
      <c r="L354" s="10">
        <v>286</v>
      </c>
      <c r="M354" t="b">
        <v>1</v>
      </c>
      <c r="N354" t="s">
        <v>8267</v>
      </c>
      <c r="O354" s="11">
        <f t="shared" si="24"/>
        <v>117</v>
      </c>
      <c r="P354" s="12">
        <f t="shared" si="25"/>
        <v>41</v>
      </c>
      <c r="Q354" s="14" t="s">
        <v>8307</v>
      </c>
      <c r="R354" t="s">
        <v>8312</v>
      </c>
      <c r="S354" s="17">
        <f t="shared" si="26"/>
        <v>41890.167453703703</v>
      </c>
      <c r="T354" s="17">
        <f t="shared" si="27"/>
        <v>41920.167453703703</v>
      </c>
      <c r="U354">
        <f>MONTH(Table1[[#This Row],[Launched]])</f>
        <v>9</v>
      </c>
    </row>
    <row r="355" spans="1:21" ht="57.6" x14ac:dyDescent="0.3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 s="8">
        <v>1447963219</v>
      </c>
      <c r="J355">
        <v>1445367619</v>
      </c>
      <c r="K355" t="b">
        <v>1</v>
      </c>
      <c r="L355" s="10">
        <v>613</v>
      </c>
      <c r="M355" t="b">
        <v>1</v>
      </c>
      <c r="N355" t="s">
        <v>8267</v>
      </c>
      <c r="O355" s="11">
        <f t="shared" si="24"/>
        <v>109</v>
      </c>
      <c r="P355" s="12">
        <f t="shared" si="25"/>
        <v>104</v>
      </c>
      <c r="Q355" s="14" t="s">
        <v>8307</v>
      </c>
      <c r="R355" t="s">
        <v>8312</v>
      </c>
      <c r="S355" s="17">
        <f t="shared" si="26"/>
        <v>42297.791886574079</v>
      </c>
      <c r="T355" s="17">
        <f t="shared" si="27"/>
        <v>42327.833553240736</v>
      </c>
      <c r="U355">
        <f>MONTH(Table1[[#This Row],[Launched]])</f>
        <v>10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8218</v>
      </c>
      <c r="G356" t="s">
        <v>8223</v>
      </c>
      <c r="H356" t="s">
        <v>8245</v>
      </c>
      <c r="I356" s="8">
        <v>1460141521</v>
      </c>
      <c r="J356">
        <v>1457553121</v>
      </c>
      <c r="K356" t="b">
        <v>1</v>
      </c>
      <c r="L356" s="10">
        <v>29</v>
      </c>
      <c r="M356" t="b">
        <v>1</v>
      </c>
      <c r="N356" t="s">
        <v>8267</v>
      </c>
      <c r="O356" s="11">
        <f t="shared" si="24"/>
        <v>104</v>
      </c>
      <c r="P356" s="12">
        <f t="shared" si="25"/>
        <v>125</v>
      </c>
      <c r="Q356" s="14" t="s">
        <v>8307</v>
      </c>
      <c r="R356" t="s">
        <v>8312</v>
      </c>
      <c r="S356" s="17">
        <f t="shared" si="26"/>
        <v>42438.827789351853</v>
      </c>
      <c r="T356" s="17">
        <f t="shared" si="27"/>
        <v>42468.786122685182</v>
      </c>
      <c r="U356">
        <f>MONTH(Table1[[#This Row],[Launched]])</f>
        <v>3</v>
      </c>
    </row>
    <row r="357" spans="1:21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8218</v>
      </c>
      <c r="G357" t="s">
        <v>8223</v>
      </c>
      <c r="H357" t="s">
        <v>8245</v>
      </c>
      <c r="I357" s="8">
        <v>1417420994</v>
      </c>
      <c r="J357">
        <v>1414738994</v>
      </c>
      <c r="K357" t="b">
        <v>1</v>
      </c>
      <c r="L357" s="10">
        <v>165</v>
      </c>
      <c r="M357" t="b">
        <v>1</v>
      </c>
      <c r="N357" t="s">
        <v>8267</v>
      </c>
      <c r="O357" s="11">
        <f t="shared" si="24"/>
        <v>116</v>
      </c>
      <c r="P357" s="12">
        <f t="shared" si="25"/>
        <v>247</v>
      </c>
      <c r="Q357" s="14" t="s">
        <v>8307</v>
      </c>
      <c r="R357" t="s">
        <v>8312</v>
      </c>
      <c r="S357" s="17">
        <f t="shared" si="26"/>
        <v>41943.293912037036</v>
      </c>
      <c r="T357" s="17">
        <f t="shared" si="27"/>
        <v>41974.3355787037</v>
      </c>
      <c r="U357">
        <f>MONTH(Table1[[#This Row],[Launched]])</f>
        <v>10</v>
      </c>
    </row>
    <row r="358" spans="1:21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8218</v>
      </c>
      <c r="G358" t="s">
        <v>8223</v>
      </c>
      <c r="H358" t="s">
        <v>8245</v>
      </c>
      <c r="I358" s="8">
        <v>1458152193</v>
      </c>
      <c r="J358">
        <v>1455563793</v>
      </c>
      <c r="K358" t="b">
        <v>1</v>
      </c>
      <c r="L358" s="10">
        <v>97</v>
      </c>
      <c r="M358" t="b">
        <v>1</v>
      </c>
      <c r="N358" t="s">
        <v>8267</v>
      </c>
      <c r="O358" s="11">
        <f t="shared" si="24"/>
        <v>103</v>
      </c>
      <c r="P358" s="12">
        <f t="shared" si="25"/>
        <v>79</v>
      </c>
      <c r="Q358" s="14" t="s">
        <v>8307</v>
      </c>
      <c r="R358" t="s">
        <v>8312</v>
      </c>
      <c r="S358" s="17">
        <f t="shared" si="26"/>
        <v>42415.803159722222</v>
      </c>
      <c r="T358" s="17">
        <f t="shared" si="27"/>
        <v>42445.761493055557</v>
      </c>
      <c r="U358">
        <f>MONTH(Table1[[#This Row],[Launched]])</f>
        <v>2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8218</v>
      </c>
      <c r="G359" t="s">
        <v>8223</v>
      </c>
      <c r="H359" t="s">
        <v>8245</v>
      </c>
      <c r="I359" s="8">
        <v>1429852797</v>
      </c>
      <c r="J359">
        <v>1426396797</v>
      </c>
      <c r="K359" t="b">
        <v>1</v>
      </c>
      <c r="L359" s="10">
        <v>303</v>
      </c>
      <c r="M359" t="b">
        <v>1</v>
      </c>
      <c r="N359" t="s">
        <v>8267</v>
      </c>
      <c r="O359" s="11">
        <f t="shared" si="24"/>
        <v>174</v>
      </c>
      <c r="P359" s="12">
        <f t="shared" si="25"/>
        <v>86</v>
      </c>
      <c r="Q359" s="14" t="s">
        <v>8307</v>
      </c>
      <c r="R359" t="s">
        <v>8312</v>
      </c>
      <c r="S359" s="17">
        <f t="shared" si="26"/>
        <v>42078.222187499996</v>
      </c>
      <c r="T359" s="17">
        <f t="shared" si="27"/>
        <v>42118.222187499996</v>
      </c>
      <c r="U359">
        <f>MONTH(Table1[[#This Row],[Launched]])</f>
        <v>3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8218</v>
      </c>
      <c r="G360" t="s">
        <v>8223</v>
      </c>
      <c r="H360" t="s">
        <v>8245</v>
      </c>
      <c r="I360" s="8">
        <v>1466002800</v>
      </c>
      <c r="J360">
        <v>1463517521</v>
      </c>
      <c r="K360" t="b">
        <v>1</v>
      </c>
      <c r="L360" s="10">
        <v>267</v>
      </c>
      <c r="M360" t="b">
        <v>1</v>
      </c>
      <c r="N360" t="s">
        <v>8267</v>
      </c>
      <c r="O360" s="11">
        <f t="shared" si="24"/>
        <v>103</v>
      </c>
      <c r="P360" s="12">
        <f t="shared" si="25"/>
        <v>193</v>
      </c>
      <c r="Q360" s="14" t="s">
        <v>8307</v>
      </c>
      <c r="R360" t="s">
        <v>8312</v>
      </c>
      <c r="S360" s="17">
        <f t="shared" si="26"/>
        <v>42507.860196759255</v>
      </c>
      <c r="T360" s="17">
        <f t="shared" si="27"/>
        <v>42536.625</v>
      </c>
      <c r="U360">
        <f>MONTH(Table1[[#This Row],[Launched]])</f>
        <v>5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8218</v>
      </c>
      <c r="G361" t="s">
        <v>8223</v>
      </c>
      <c r="H361" t="s">
        <v>8245</v>
      </c>
      <c r="I361" s="8">
        <v>1415941920</v>
      </c>
      <c r="J361">
        <v>1414028490</v>
      </c>
      <c r="K361" t="b">
        <v>1</v>
      </c>
      <c r="L361" s="10">
        <v>302</v>
      </c>
      <c r="M361" t="b">
        <v>1</v>
      </c>
      <c r="N361" t="s">
        <v>8267</v>
      </c>
      <c r="O361" s="11">
        <f t="shared" si="24"/>
        <v>105</v>
      </c>
      <c r="P361" s="12">
        <f t="shared" si="25"/>
        <v>84</v>
      </c>
      <c r="Q361" s="14" t="s">
        <v>8307</v>
      </c>
      <c r="R361" t="s">
        <v>8312</v>
      </c>
      <c r="S361" s="17">
        <f t="shared" si="26"/>
        <v>41935.070486111108</v>
      </c>
      <c r="T361" s="17">
        <f t="shared" si="27"/>
        <v>41957.216666666667</v>
      </c>
      <c r="U361">
        <f>MONTH(Table1[[#This Row],[Launched]])</f>
        <v>10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8218</v>
      </c>
      <c r="G362" t="s">
        <v>8223</v>
      </c>
      <c r="H362" t="s">
        <v>8245</v>
      </c>
      <c r="I362" s="8">
        <v>1437621060</v>
      </c>
      <c r="J362">
        <v>1433799180</v>
      </c>
      <c r="K362" t="b">
        <v>0</v>
      </c>
      <c r="L362" s="10">
        <v>87</v>
      </c>
      <c r="M362" t="b">
        <v>1</v>
      </c>
      <c r="N362" t="s">
        <v>8267</v>
      </c>
      <c r="O362" s="11">
        <f t="shared" si="24"/>
        <v>101</v>
      </c>
      <c r="P362" s="12">
        <f t="shared" si="25"/>
        <v>140</v>
      </c>
      <c r="Q362" s="14" t="s">
        <v>8307</v>
      </c>
      <c r="R362" t="s">
        <v>8312</v>
      </c>
      <c r="S362" s="17">
        <f t="shared" si="26"/>
        <v>42163.897916666669</v>
      </c>
      <c r="T362" s="17">
        <f t="shared" si="27"/>
        <v>42208.132638888885</v>
      </c>
      <c r="U362">
        <f>MONTH(Table1[[#This Row],[Launched]])</f>
        <v>6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 s="8">
        <v>1416704506</v>
      </c>
      <c r="J363">
        <v>1414108906</v>
      </c>
      <c r="K363" t="b">
        <v>0</v>
      </c>
      <c r="L363" s="10">
        <v>354</v>
      </c>
      <c r="M363" t="b">
        <v>1</v>
      </c>
      <c r="N363" t="s">
        <v>8267</v>
      </c>
      <c r="O363" s="11">
        <f t="shared" si="24"/>
        <v>111</v>
      </c>
      <c r="P363" s="12">
        <f t="shared" si="25"/>
        <v>110</v>
      </c>
      <c r="Q363" s="14" t="s">
        <v>8307</v>
      </c>
      <c r="R363" t="s">
        <v>8312</v>
      </c>
      <c r="S363" s="17">
        <f t="shared" si="26"/>
        <v>41936.001226851848</v>
      </c>
      <c r="T363" s="17">
        <f t="shared" si="27"/>
        <v>41966.042893518519</v>
      </c>
      <c r="U363">
        <f>MONTH(Table1[[#This Row],[Launched]])</f>
        <v>10</v>
      </c>
    </row>
    <row r="364" spans="1:21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8218</v>
      </c>
      <c r="G364" t="s">
        <v>8223</v>
      </c>
      <c r="H364" t="s">
        <v>8245</v>
      </c>
      <c r="I364" s="8">
        <v>1407456000</v>
      </c>
      <c r="J364">
        <v>1405573391</v>
      </c>
      <c r="K364" t="b">
        <v>0</v>
      </c>
      <c r="L364" s="10">
        <v>86</v>
      </c>
      <c r="M364" t="b">
        <v>1</v>
      </c>
      <c r="N364" t="s">
        <v>8267</v>
      </c>
      <c r="O364" s="11">
        <f t="shared" si="24"/>
        <v>124</v>
      </c>
      <c r="P364" s="12">
        <f t="shared" si="25"/>
        <v>140</v>
      </c>
      <c r="Q364" s="14" t="s">
        <v>8307</v>
      </c>
      <c r="R364" t="s">
        <v>8312</v>
      </c>
      <c r="S364" s="17">
        <f t="shared" si="26"/>
        <v>41837.210543981484</v>
      </c>
      <c r="T364" s="17">
        <f t="shared" si="27"/>
        <v>41859</v>
      </c>
      <c r="U364">
        <f>MONTH(Table1[[#This Row],[Launched]])</f>
        <v>7</v>
      </c>
    </row>
    <row r="365" spans="1:21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8218</v>
      </c>
      <c r="G365" t="s">
        <v>8223</v>
      </c>
      <c r="H365" t="s">
        <v>8245</v>
      </c>
      <c r="I365" s="8">
        <v>1272828120</v>
      </c>
      <c r="J365">
        <v>1268934736</v>
      </c>
      <c r="K365" t="b">
        <v>0</v>
      </c>
      <c r="L365" s="10">
        <v>26</v>
      </c>
      <c r="M365" t="b">
        <v>1</v>
      </c>
      <c r="N365" t="s">
        <v>8267</v>
      </c>
      <c r="O365" s="11">
        <f t="shared" si="24"/>
        <v>101</v>
      </c>
      <c r="P365" s="12">
        <f t="shared" si="25"/>
        <v>348</v>
      </c>
      <c r="Q365" s="14" t="s">
        <v>8307</v>
      </c>
      <c r="R365" t="s">
        <v>8312</v>
      </c>
      <c r="S365" s="17">
        <f t="shared" si="26"/>
        <v>40255.744629629626</v>
      </c>
      <c r="T365" s="17">
        <f t="shared" si="27"/>
        <v>40300.806944444441</v>
      </c>
      <c r="U365">
        <f>MONTH(Table1[[#This Row],[Launched]])</f>
        <v>3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8218</v>
      </c>
      <c r="G366" t="s">
        <v>8223</v>
      </c>
      <c r="H366" t="s">
        <v>8245</v>
      </c>
      <c r="I366" s="8">
        <v>1403323140</v>
      </c>
      <c r="J366">
        <v>1400704672</v>
      </c>
      <c r="K366" t="b">
        <v>0</v>
      </c>
      <c r="L366" s="10">
        <v>113</v>
      </c>
      <c r="M366" t="b">
        <v>1</v>
      </c>
      <c r="N366" t="s">
        <v>8267</v>
      </c>
      <c r="O366" s="11">
        <f t="shared" si="24"/>
        <v>110</v>
      </c>
      <c r="P366" s="12">
        <f t="shared" si="25"/>
        <v>68</v>
      </c>
      <c r="Q366" s="14" t="s">
        <v>8307</v>
      </c>
      <c r="R366" t="s">
        <v>8312</v>
      </c>
      <c r="S366" s="17">
        <f t="shared" si="26"/>
        <v>41780.859629629631</v>
      </c>
      <c r="T366" s="17">
        <f t="shared" si="27"/>
        <v>41811.165972222225</v>
      </c>
      <c r="U366">
        <f>MONTH(Table1[[#This Row],[Launched]])</f>
        <v>5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8218</v>
      </c>
      <c r="G367" t="s">
        <v>8224</v>
      </c>
      <c r="H367" t="s">
        <v>8246</v>
      </c>
      <c r="I367" s="8">
        <v>1393597999</v>
      </c>
      <c r="J367">
        <v>1391005999</v>
      </c>
      <c r="K367" t="b">
        <v>0</v>
      </c>
      <c r="L367" s="10">
        <v>65</v>
      </c>
      <c r="M367" t="b">
        <v>1</v>
      </c>
      <c r="N367" t="s">
        <v>8267</v>
      </c>
      <c r="O367" s="11">
        <f t="shared" si="24"/>
        <v>104</v>
      </c>
      <c r="P367" s="12">
        <f t="shared" si="25"/>
        <v>240</v>
      </c>
      <c r="Q367" s="14" t="s">
        <v>8307</v>
      </c>
      <c r="R367" t="s">
        <v>8312</v>
      </c>
      <c r="S367" s="17">
        <f t="shared" si="26"/>
        <v>41668.606469907405</v>
      </c>
      <c r="T367" s="17">
        <f t="shared" si="27"/>
        <v>41698.606469907405</v>
      </c>
      <c r="U367">
        <f>MONTH(Table1[[#This Row],[Launched]])</f>
        <v>1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8218</v>
      </c>
      <c r="G368" t="s">
        <v>8223</v>
      </c>
      <c r="H368" t="s">
        <v>8245</v>
      </c>
      <c r="I368" s="8">
        <v>1337540518</v>
      </c>
      <c r="J368">
        <v>1334948518</v>
      </c>
      <c r="K368" t="b">
        <v>0</v>
      </c>
      <c r="L368" s="10">
        <v>134</v>
      </c>
      <c r="M368" t="b">
        <v>1</v>
      </c>
      <c r="N368" t="s">
        <v>8267</v>
      </c>
      <c r="O368" s="11">
        <f t="shared" si="24"/>
        <v>101</v>
      </c>
      <c r="P368" s="12">
        <f t="shared" si="25"/>
        <v>287</v>
      </c>
      <c r="Q368" s="14" t="s">
        <v>8307</v>
      </c>
      <c r="R368" t="s">
        <v>8312</v>
      </c>
      <c r="S368" s="17">
        <f t="shared" si="26"/>
        <v>41019.793032407404</v>
      </c>
      <c r="T368" s="17">
        <f t="shared" si="27"/>
        <v>41049.793032407404</v>
      </c>
      <c r="U368">
        <f>MONTH(Table1[[#This Row],[Launched]])</f>
        <v>4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 s="8">
        <v>1367384340</v>
      </c>
      <c r="J369">
        <v>1363960278</v>
      </c>
      <c r="K369" t="b">
        <v>0</v>
      </c>
      <c r="L369" s="10">
        <v>119</v>
      </c>
      <c r="M369" t="b">
        <v>1</v>
      </c>
      <c r="N369" t="s">
        <v>8267</v>
      </c>
      <c r="O369" s="11">
        <f t="shared" si="24"/>
        <v>103</v>
      </c>
      <c r="P369" s="12">
        <f t="shared" si="25"/>
        <v>87</v>
      </c>
      <c r="Q369" s="14" t="s">
        <v>8307</v>
      </c>
      <c r="R369" t="s">
        <v>8312</v>
      </c>
      <c r="S369" s="17">
        <f t="shared" si="26"/>
        <v>41355.577291666668</v>
      </c>
      <c r="T369" s="17">
        <f t="shared" si="27"/>
        <v>41395.207638888889</v>
      </c>
      <c r="U369">
        <f>MONTH(Table1[[#This Row],[Launched]])</f>
        <v>3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8218</v>
      </c>
      <c r="G370" t="s">
        <v>8223</v>
      </c>
      <c r="H370" t="s">
        <v>8245</v>
      </c>
      <c r="I370" s="8">
        <v>1426426322</v>
      </c>
      <c r="J370">
        <v>1423405922</v>
      </c>
      <c r="K370" t="b">
        <v>0</v>
      </c>
      <c r="L370" s="10">
        <v>159</v>
      </c>
      <c r="M370" t="b">
        <v>1</v>
      </c>
      <c r="N370" t="s">
        <v>8267</v>
      </c>
      <c r="O370" s="11">
        <f t="shared" si="24"/>
        <v>104</v>
      </c>
      <c r="P370" s="12">
        <f t="shared" si="25"/>
        <v>82</v>
      </c>
      <c r="Q370" s="14" t="s">
        <v>8307</v>
      </c>
      <c r="R370" t="s">
        <v>8312</v>
      </c>
      <c r="S370" s="17">
        <f t="shared" si="26"/>
        <v>42043.605578703704</v>
      </c>
      <c r="T370" s="17">
        <f t="shared" si="27"/>
        <v>42078.563912037032</v>
      </c>
      <c r="U370">
        <f>MONTH(Table1[[#This Row],[Launched]])</f>
        <v>2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8218</v>
      </c>
      <c r="G371" t="s">
        <v>8223</v>
      </c>
      <c r="H371" t="s">
        <v>8245</v>
      </c>
      <c r="I371" s="8">
        <v>1326633269</v>
      </c>
      <c r="J371">
        <v>1324041269</v>
      </c>
      <c r="K371" t="b">
        <v>0</v>
      </c>
      <c r="L371" s="10">
        <v>167</v>
      </c>
      <c r="M371" t="b">
        <v>1</v>
      </c>
      <c r="N371" t="s">
        <v>8267</v>
      </c>
      <c r="O371" s="11">
        <f t="shared" si="24"/>
        <v>110</v>
      </c>
      <c r="P371" s="12">
        <f t="shared" si="25"/>
        <v>43</v>
      </c>
      <c r="Q371" s="14" t="s">
        <v>8307</v>
      </c>
      <c r="R371" t="s">
        <v>8312</v>
      </c>
      <c r="S371" s="17">
        <f t="shared" si="26"/>
        <v>40893.551724537036</v>
      </c>
      <c r="T371" s="17">
        <f t="shared" si="27"/>
        <v>40923.551724537036</v>
      </c>
      <c r="U371">
        <f>MONTH(Table1[[#This Row],[Launched]])</f>
        <v>12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8218</v>
      </c>
      <c r="G372" t="s">
        <v>8223</v>
      </c>
      <c r="H372" t="s">
        <v>8245</v>
      </c>
      <c r="I372" s="8">
        <v>1483729500</v>
      </c>
      <c r="J372">
        <v>1481137500</v>
      </c>
      <c r="K372" t="b">
        <v>0</v>
      </c>
      <c r="L372" s="10">
        <v>43</v>
      </c>
      <c r="M372" t="b">
        <v>1</v>
      </c>
      <c r="N372" t="s">
        <v>8267</v>
      </c>
      <c r="O372" s="11">
        <f t="shared" si="24"/>
        <v>122</v>
      </c>
      <c r="P372" s="12">
        <f t="shared" si="25"/>
        <v>709</v>
      </c>
      <c r="Q372" s="14" t="s">
        <v>8307</v>
      </c>
      <c r="R372" t="s">
        <v>8312</v>
      </c>
      <c r="S372" s="17">
        <f t="shared" si="26"/>
        <v>42711.795138888891</v>
      </c>
      <c r="T372" s="17">
        <f t="shared" si="27"/>
        <v>42741.795138888891</v>
      </c>
      <c r="U372">
        <f>MONTH(Table1[[#This Row],[Launched]])</f>
        <v>12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8218</v>
      </c>
      <c r="G373" t="s">
        <v>8223</v>
      </c>
      <c r="H373" t="s">
        <v>8245</v>
      </c>
      <c r="I373" s="8">
        <v>1359743139</v>
      </c>
      <c r="J373">
        <v>1355855139</v>
      </c>
      <c r="K373" t="b">
        <v>0</v>
      </c>
      <c r="L373" s="10">
        <v>1062</v>
      </c>
      <c r="M373" t="b">
        <v>1</v>
      </c>
      <c r="N373" t="s">
        <v>8267</v>
      </c>
      <c r="O373" s="11">
        <f t="shared" si="24"/>
        <v>114</v>
      </c>
      <c r="P373" s="12">
        <f t="shared" si="25"/>
        <v>161</v>
      </c>
      <c r="Q373" s="14" t="s">
        <v>8307</v>
      </c>
      <c r="R373" t="s">
        <v>8312</v>
      </c>
      <c r="S373" s="17">
        <f t="shared" si="26"/>
        <v>41261.767812500002</v>
      </c>
      <c r="T373" s="17">
        <f t="shared" si="27"/>
        <v>41306.767812500002</v>
      </c>
      <c r="U373">
        <f>MONTH(Table1[[#This Row],[Launched]])</f>
        <v>12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8218</v>
      </c>
      <c r="G374" t="s">
        <v>8224</v>
      </c>
      <c r="H374" t="s">
        <v>8246</v>
      </c>
      <c r="I374" s="8">
        <v>1459872000</v>
      </c>
      <c r="J374">
        <v>1456408244</v>
      </c>
      <c r="K374" t="b">
        <v>0</v>
      </c>
      <c r="L374" s="10">
        <v>9</v>
      </c>
      <c r="M374" t="b">
        <v>1</v>
      </c>
      <c r="N374" t="s">
        <v>8267</v>
      </c>
      <c r="O374" s="11">
        <f t="shared" si="24"/>
        <v>125</v>
      </c>
      <c r="P374" s="12">
        <f t="shared" si="25"/>
        <v>42</v>
      </c>
      <c r="Q374" s="14" t="s">
        <v>8307</v>
      </c>
      <c r="R374" t="s">
        <v>8312</v>
      </c>
      <c r="S374" s="17">
        <f t="shared" si="26"/>
        <v>42425.576898148152</v>
      </c>
      <c r="T374" s="17">
        <f t="shared" si="27"/>
        <v>42465.666666666672</v>
      </c>
      <c r="U374">
        <f>MONTH(Table1[[#This Row],[Launched]])</f>
        <v>2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8218</v>
      </c>
      <c r="G375" t="s">
        <v>8223</v>
      </c>
      <c r="H375" t="s">
        <v>8245</v>
      </c>
      <c r="I375" s="8">
        <v>1342648398</v>
      </c>
      <c r="J375">
        <v>1340056398</v>
      </c>
      <c r="K375" t="b">
        <v>0</v>
      </c>
      <c r="L375" s="10">
        <v>89</v>
      </c>
      <c r="M375" t="b">
        <v>1</v>
      </c>
      <c r="N375" t="s">
        <v>8267</v>
      </c>
      <c r="O375" s="11">
        <f t="shared" si="24"/>
        <v>107</v>
      </c>
      <c r="P375" s="12">
        <f t="shared" si="25"/>
        <v>90</v>
      </c>
      <c r="Q375" s="14" t="s">
        <v>8307</v>
      </c>
      <c r="R375" t="s">
        <v>8312</v>
      </c>
      <c r="S375" s="17">
        <f t="shared" si="26"/>
        <v>41078.91201388889</v>
      </c>
      <c r="T375" s="17">
        <f t="shared" si="27"/>
        <v>41108.91201388889</v>
      </c>
      <c r="U375">
        <f>MONTH(Table1[[#This Row],[Launched]])</f>
        <v>6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8218</v>
      </c>
      <c r="G376" t="s">
        <v>8223</v>
      </c>
      <c r="H376" t="s">
        <v>8245</v>
      </c>
      <c r="I376" s="8">
        <v>1316208031</v>
      </c>
      <c r="J376">
        <v>1312320031</v>
      </c>
      <c r="K376" t="b">
        <v>0</v>
      </c>
      <c r="L376" s="10">
        <v>174</v>
      </c>
      <c r="M376" t="b">
        <v>1</v>
      </c>
      <c r="N376" t="s">
        <v>8267</v>
      </c>
      <c r="O376" s="11">
        <f t="shared" si="24"/>
        <v>131</v>
      </c>
      <c r="P376" s="12">
        <f t="shared" si="25"/>
        <v>45</v>
      </c>
      <c r="Q376" s="14" t="s">
        <v>8307</v>
      </c>
      <c r="R376" t="s">
        <v>8312</v>
      </c>
      <c r="S376" s="17">
        <f t="shared" si="26"/>
        <v>40757.889247685183</v>
      </c>
      <c r="T376" s="17">
        <f t="shared" si="27"/>
        <v>40802.889247685183</v>
      </c>
      <c r="U376">
        <f>MONTH(Table1[[#This Row],[Launched]])</f>
        <v>8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8218</v>
      </c>
      <c r="G377" t="s">
        <v>8223</v>
      </c>
      <c r="H377" t="s">
        <v>8245</v>
      </c>
      <c r="I377" s="8">
        <v>1393694280</v>
      </c>
      <c r="J377">
        <v>1390088311</v>
      </c>
      <c r="K377" t="b">
        <v>0</v>
      </c>
      <c r="L377" s="10">
        <v>14</v>
      </c>
      <c r="M377" t="b">
        <v>1</v>
      </c>
      <c r="N377" t="s">
        <v>8267</v>
      </c>
      <c r="O377" s="11">
        <f t="shared" si="24"/>
        <v>120</v>
      </c>
      <c r="P377" s="12">
        <f t="shared" si="25"/>
        <v>43</v>
      </c>
      <c r="Q377" s="14" t="s">
        <v>8307</v>
      </c>
      <c r="R377" t="s">
        <v>8312</v>
      </c>
      <c r="S377" s="17">
        <f t="shared" si="26"/>
        <v>41657.985081018516</v>
      </c>
      <c r="T377" s="17">
        <f t="shared" si="27"/>
        <v>41699.720833333333</v>
      </c>
      <c r="U377">
        <f>MONTH(Table1[[#This Row],[Launched]])</f>
        <v>1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8218</v>
      </c>
      <c r="G378" t="s">
        <v>8224</v>
      </c>
      <c r="H378" t="s">
        <v>8246</v>
      </c>
      <c r="I378" s="8">
        <v>1472122316</v>
      </c>
      <c r="J378">
        <v>1469443916</v>
      </c>
      <c r="K378" t="b">
        <v>0</v>
      </c>
      <c r="L378" s="10">
        <v>48</v>
      </c>
      <c r="M378" t="b">
        <v>1</v>
      </c>
      <c r="N378" t="s">
        <v>8267</v>
      </c>
      <c r="O378" s="11">
        <f t="shared" si="24"/>
        <v>106</v>
      </c>
      <c r="P378" s="12">
        <f t="shared" si="25"/>
        <v>54</v>
      </c>
      <c r="Q378" s="14" t="s">
        <v>8307</v>
      </c>
      <c r="R378" t="s">
        <v>8312</v>
      </c>
      <c r="S378" s="17">
        <f t="shared" si="26"/>
        <v>42576.452731481477</v>
      </c>
      <c r="T378" s="17">
        <f t="shared" si="27"/>
        <v>42607.452731481477</v>
      </c>
      <c r="U378">
        <f>MONTH(Table1[[#This Row],[Launched]])</f>
        <v>7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8218</v>
      </c>
      <c r="G379" t="s">
        <v>8223</v>
      </c>
      <c r="H379" t="s">
        <v>8245</v>
      </c>
      <c r="I379" s="8">
        <v>1447484460</v>
      </c>
      <c r="J379">
        <v>1444888868</v>
      </c>
      <c r="K379" t="b">
        <v>0</v>
      </c>
      <c r="L379" s="10">
        <v>133</v>
      </c>
      <c r="M379" t="b">
        <v>1</v>
      </c>
      <c r="N379" t="s">
        <v>8267</v>
      </c>
      <c r="O379" s="11">
        <f t="shared" si="24"/>
        <v>114</v>
      </c>
      <c r="P379" s="12">
        <f t="shared" si="25"/>
        <v>103</v>
      </c>
      <c r="Q379" s="14" t="s">
        <v>8307</v>
      </c>
      <c r="R379" t="s">
        <v>8312</v>
      </c>
      <c r="S379" s="17">
        <f t="shared" si="26"/>
        <v>42292.250787037032</v>
      </c>
      <c r="T379" s="17">
        <f t="shared" si="27"/>
        <v>42322.292361111111</v>
      </c>
      <c r="U379">
        <f>MONTH(Table1[[#This Row],[Launched]])</f>
        <v>10</v>
      </c>
    </row>
    <row r="380" spans="1:21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8218</v>
      </c>
      <c r="G380" t="s">
        <v>8228</v>
      </c>
      <c r="H380" t="s">
        <v>8250</v>
      </c>
      <c r="I380" s="8">
        <v>1453765920</v>
      </c>
      <c r="J380">
        <v>1451655808</v>
      </c>
      <c r="K380" t="b">
        <v>0</v>
      </c>
      <c r="L380" s="10">
        <v>83</v>
      </c>
      <c r="M380" t="b">
        <v>1</v>
      </c>
      <c r="N380" t="s">
        <v>8267</v>
      </c>
      <c r="O380" s="11">
        <f t="shared" si="24"/>
        <v>112</v>
      </c>
      <c r="P380" s="12">
        <f t="shared" si="25"/>
        <v>40</v>
      </c>
      <c r="Q380" s="14" t="s">
        <v>8307</v>
      </c>
      <c r="R380" t="s">
        <v>8312</v>
      </c>
      <c r="S380" s="17">
        <f t="shared" si="26"/>
        <v>42370.571851851855</v>
      </c>
      <c r="T380" s="17">
        <f t="shared" si="27"/>
        <v>42394.994444444441</v>
      </c>
      <c r="U380">
        <f>MONTH(Table1[[#This Row],[Launched]])</f>
        <v>1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8218</v>
      </c>
      <c r="G381" t="s">
        <v>8223</v>
      </c>
      <c r="H381" t="s">
        <v>8245</v>
      </c>
      <c r="I381" s="8">
        <v>1336062672</v>
      </c>
      <c r="J381">
        <v>1332174672</v>
      </c>
      <c r="K381" t="b">
        <v>0</v>
      </c>
      <c r="L381" s="10">
        <v>149</v>
      </c>
      <c r="M381" t="b">
        <v>1</v>
      </c>
      <c r="N381" t="s">
        <v>8267</v>
      </c>
      <c r="O381" s="11">
        <f t="shared" si="24"/>
        <v>116</v>
      </c>
      <c r="P381" s="12">
        <f t="shared" si="25"/>
        <v>117</v>
      </c>
      <c r="Q381" s="14" t="s">
        <v>8307</v>
      </c>
      <c r="R381" t="s">
        <v>8312</v>
      </c>
      <c r="S381" s="17">
        <f t="shared" si="26"/>
        <v>40987.688333333332</v>
      </c>
      <c r="T381" s="17">
        <f t="shared" si="27"/>
        <v>41032.688333333332</v>
      </c>
      <c r="U381">
        <f>MONTH(Table1[[#This Row],[Launched]])</f>
        <v>3</v>
      </c>
    </row>
    <row r="382" spans="1:21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8218</v>
      </c>
      <c r="G382" t="s">
        <v>8223</v>
      </c>
      <c r="H382" t="s">
        <v>8245</v>
      </c>
      <c r="I382" s="8">
        <v>1453569392</v>
      </c>
      <c r="J382">
        <v>1451409392</v>
      </c>
      <c r="K382" t="b">
        <v>0</v>
      </c>
      <c r="L382" s="10">
        <v>49</v>
      </c>
      <c r="M382" t="b">
        <v>1</v>
      </c>
      <c r="N382" t="s">
        <v>8267</v>
      </c>
      <c r="O382" s="11">
        <f t="shared" si="24"/>
        <v>142</v>
      </c>
      <c r="P382" s="12">
        <f t="shared" si="25"/>
        <v>116</v>
      </c>
      <c r="Q382" s="14" t="s">
        <v>8307</v>
      </c>
      <c r="R382" t="s">
        <v>8312</v>
      </c>
      <c r="S382" s="17">
        <f t="shared" si="26"/>
        <v>42367.719814814816</v>
      </c>
      <c r="T382" s="17">
        <f t="shared" si="27"/>
        <v>42392.719814814816</v>
      </c>
      <c r="U382">
        <f>MONTH(Table1[[#This Row],[Launched]])</f>
        <v>12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8218</v>
      </c>
      <c r="G383" t="s">
        <v>8223</v>
      </c>
      <c r="H383" t="s">
        <v>8245</v>
      </c>
      <c r="I383" s="8">
        <v>1343624400</v>
      </c>
      <c r="J383">
        <v>1340642717</v>
      </c>
      <c r="K383" t="b">
        <v>0</v>
      </c>
      <c r="L383" s="10">
        <v>251</v>
      </c>
      <c r="M383" t="b">
        <v>1</v>
      </c>
      <c r="N383" t="s">
        <v>8267</v>
      </c>
      <c r="O383" s="11">
        <f t="shared" si="24"/>
        <v>105</v>
      </c>
      <c r="P383" s="12">
        <f t="shared" si="25"/>
        <v>104</v>
      </c>
      <c r="Q383" s="14" t="s">
        <v>8307</v>
      </c>
      <c r="R383" t="s">
        <v>8312</v>
      </c>
      <c r="S383" s="17">
        <f t="shared" si="26"/>
        <v>41085.698113425926</v>
      </c>
      <c r="T383" s="17">
        <f t="shared" si="27"/>
        <v>41120.208333333336</v>
      </c>
      <c r="U383">
        <f>MONTH(Table1[[#This Row],[Launched]])</f>
        <v>6</v>
      </c>
    </row>
    <row r="384" spans="1:21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8218</v>
      </c>
      <c r="G384" t="s">
        <v>8223</v>
      </c>
      <c r="H384" t="s">
        <v>8245</v>
      </c>
      <c r="I384" s="8">
        <v>1346950900</v>
      </c>
      <c r="J384">
        <v>1345741300</v>
      </c>
      <c r="K384" t="b">
        <v>0</v>
      </c>
      <c r="L384" s="10">
        <v>22</v>
      </c>
      <c r="M384" t="b">
        <v>1</v>
      </c>
      <c r="N384" t="s">
        <v>8267</v>
      </c>
      <c r="O384" s="11">
        <f t="shared" si="24"/>
        <v>256</v>
      </c>
      <c r="P384" s="12">
        <f t="shared" si="25"/>
        <v>70</v>
      </c>
      <c r="Q384" s="14" t="s">
        <v>8307</v>
      </c>
      <c r="R384" t="s">
        <v>8312</v>
      </c>
      <c r="S384" s="17">
        <f t="shared" si="26"/>
        <v>41144.709490740745</v>
      </c>
      <c r="T384" s="17">
        <f t="shared" si="27"/>
        <v>41158.709490740745</v>
      </c>
      <c r="U384">
        <f>MONTH(Table1[[#This Row],[Launched]])</f>
        <v>8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8218</v>
      </c>
      <c r="G385" t="s">
        <v>8223</v>
      </c>
      <c r="H385" t="s">
        <v>8245</v>
      </c>
      <c r="I385" s="8">
        <v>1400467759</v>
      </c>
      <c r="J385">
        <v>1398480559</v>
      </c>
      <c r="K385" t="b">
        <v>0</v>
      </c>
      <c r="L385" s="10">
        <v>48</v>
      </c>
      <c r="M385" t="b">
        <v>1</v>
      </c>
      <c r="N385" t="s">
        <v>8267</v>
      </c>
      <c r="O385" s="11">
        <f t="shared" si="24"/>
        <v>207</v>
      </c>
      <c r="P385" s="12">
        <f t="shared" si="25"/>
        <v>43</v>
      </c>
      <c r="Q385" s="14" t="s">
        <v>8307</v>
      </c>
      <c r="R385" t="s">
        <v>8312</v>
      </c>
      <c r="S385" s="17">
        <f t="shared" si="26"/>
        <v>41755.117581018516</v>
      </c>
      <c r="T385" s="17">
        <f t="shared" si="27"/>
        <v>41778.117581018516</v>
      </c>
      <c r="U385">
        <f>MONTH(Table1[[#This Row],[Launched]])</f>
        <v>4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8218</v>
      </c>
      <c r="G386" t="s">
        <v>8223</v>
      </c>
      <c r="H386" t="s">
        <v>8245</v>
      </c>
      <c r="I386" s="8">
        <v>1420569947</v>
      </c>
      <c r="J386">
        <v>1417977947</v>
      </c>
      <c r="K386" t="b">
        <v>0</v>
      </c>
      <c r="L386" s="10">
        <v>383</v>
      </c>
      <c r="M386" t="b">
        <v>1</v>
      </c>
      <c r="N386" t="s">
        <v>8267</v>
      </c>
      <c r="O386" s="11">
        <f t="shared" ref="O386:O449" si="28">ROUND(E386/D386*100,0)</f>
        <v>112</v>
      </c>
      <c r="P386" s="12">
        <f t="shared" si="25"/>
        <v>59</v>
      </c>
      <c r="Q386" s="14" t="s">
        <v>8307</v>
      </c>
      <c r="R386" t="s">
        <v>8312</v>
      </c>
      <c r="S386" s="17">
        <f t="shared" si="26"/>
        <v>41980.781793981485</v>
      </c>
      <c r="T386" s="17">
        <f t="shared" si="27"/>
        <v>42010.781793981485</v>
      </c>
      <c r="U386">
        <f>MONTH(Table1[[#This Row],[Launched]])</f>
        <v>12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8218</v>
      </c>
      <c r="G387" t="s">
        <v>8223</v>
      </c>
      <c r="H387" t="s">
        <v>8245</v>
      </c>
      <c r="I387" s="8">
        <v>1416582101</v>
      </c>
      <c r="J387">
        <v>1413986501</v>
      </c>
      <c r="K387" t="b">
        <v>0</v>
      </c>
      <c r="L387" s="10">
        <v>237</v>
      </c>
      <c r="M387" t="b">
        <v>1</v>
      </c>
      <c r="N387" t="s">
        <v>8267</v>
      </c>
      <c r="O387" s="11">
        <f t="shared" si="28"/>
        <v>106</v>
      </c>
      <c r="P387" s="12">
        <f t="shared" ref="P387:P450" si="29">IFERROR(ROUND(E387/L387,),"No Backers")</f>
        <v>112</v>
      </c>
      <c r="Q387" s="14" t="s">
        <v>8307</v>
      </c>
      <c r="R387" t="s">
        <v>8312</v>
      </c>
      <c r="S387" s="17">
        <f t="shared" ref="S387:S450" si="30">(((J387/60)/60)/24)+DATE(1970,1,1)</f>
        <v>41934.584502314814</v>
      </c>
      <c r="T387" s="17">
        <f t="shared" ref="T387:T450" si="31">(((I387/60)/60)/24)+DATE(1970,1,1)</f>
        <v>41964.626168981486</v>
      </c>
      <c r="U387">
        <f>MONTH(Table1[[#This Row],[Launched]])</f>
        <v>10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8218</v>
      </c>
      <c r="G388" t="s">
        <v>8223</v>
      </c>
      <c r="H388" t="s">
        <v>8245</v>
      </c>
      <c r="I388" s="8">
        <v>1439246991</v>
      </c>
      <c r="J388">
        <v>1437950991</v>
      </c>
      <c r="K388" t="b">
        <v>0</v>
      </c>
      <c r="L388" s="10">
        <v>13</v>
      </c>
      <c r="M388" t="b">
        <v>1</v>
      </c>
      <c r="N388" t="s">
        <v>8267</v>
      </c>
      <c r="O388" s="11">
        <f t="shared" si="28"/>
        <v>100</v>
      </c>
      <c r="P388" s="12">
        <f t="shared" si="29"/>
        <v>46</v>
      </c>
      <c r="Q388" s="14" t="s">
        <v>8307</v>
      </c>
      <c r="R388" t="s">
        <v>8312</v>
      </c>
      <c r="S388" s="17">
        <f t="shared" si="30"/>
        <v>42211.951284722221</v>
      </c>
      <c r="T388" s="17">
        <f t="shared" si="31"/>
        <v>42226.951284722221</v>
      </c>
      <c r="U388">
        <f>MONTH(Table1[[#This Row],[Launched]])</f>
        <v>7</v>
      </c>
    </row>
    <row r="389" spans="1:21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8218</v>
      </c>
      <c r="G389" t="s">
        <v>8223</v>
      </c>
      <c r="H389" t="s">
        <v>8245</v>
      </c>
      <c r="I389" s="8">
        <v>1439618400</v>
      </c>
      <c r="J389">
        <v>1436976858</v>
      </c>
      <c r="K389" t="b">
        <v>0</v>
      </c>
      <c r="L389" s="10">
        <v>562</v>
      </c>
      <c r="M389" t="b">
        <v>1</v>
      </c>
      <c r="N389" t="s">
        <v>8267</v>
      </c>
      <c r="O389" s="11">
        <f t="shared" si="28"/>
        <v>214</v>
      </c>
      <c r="P389" s="12">
        <f t="shared" si="29"/>
        <v>145</v>
      </c>
      <c r="Q389" s="14" t="s">
        <v>8307</v>
      </c>
      <c r="R389" t="s">
        <v>8312</v>
      </c>
      <c r="S389" s="17">
        <f t="shared" si="30"/>
        <v>42200.67659722222</v>
      </c>
      <c r="T389" s="17">
        <f t="shared" si="31"/>
        <v>42231.25</v>
      </c>
      <c r="U389">
        <f>MONTH(Table1[[#This Row],[Launched]])</f>
        <v>7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8218</v>
      </c>
      <c r="G390" t="s">
        <v>8223</v>
      </c>
      <c r="H390" t="s">
        <v>8245</v>
      </c>
      <c r="I390" s="8">
        <v>1469670580</v>
      </c>
      <c r="J390">
        <v>1467078580</v>
      </c>
      <c r="K390" t="b">
        <v>0</v>
      </c>
      <c r="L390" s="10">
        <v>71</v>
      </c>
      <c r="M390" t="b">
        <v>1</v>
      </c>
      <c r="N390" t="s">
        <v>8267</v>
      </c>
      <c r="O390" s="11">
        <f t="shared" si="28"/>
        <v>126</v>
      </c>
      <c r="P390" s="12">
        <f t="shared" si="29"/>
        <v>89</v>
      </c>
      <c r="Q390" s="14" t="s">
        <v>8307</v>
      </c>
      <c r="R390" t="s">
        <v>8312</v>
      </c>
      <c r="S390" s="17">
        <f t="shared" si="30"/>
        <v>42549.076157407413</v>
      </c>
      <c r="T390" s="17">
        <f t="shared" si="31"/>
        <v>42579.076157407413</v>
      </c>
      <c r="U390">
        <f>MONTH(Table1[[#This Row],[Launched]])</f>
        <v>6</v>
      </c>
    </row>
    <row r="391" spans="1:21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 s="8">
        <v>1394233140</v>
      </c>
      <c r="J391">
        <v>1391477450</v>
      </c>
      <c r="K391" t="b">
        <v>0</v>
      </c>
      <c r="L391" s="10">
        <v>1510</v>
      </c>
      <c r="M391" t="b">
        <v>1</v>
      </c>
      <c r="N391" t="s">
        <v>8267</v>
      </c>
      <c r="O391" s="11">
        <f t="shared" si="28"/>
        <v>182</v>
      </c>
      <c r="P391" s="12">
        <f t="shared" si="29"/>
        <v>82</v>
      </c>
      <c r="Q391" s="14" t="s">
        <v>8307</v>
      </c>
      <c r="R391" t="s">
        <v>8312</v>
      </c>
      <c r="S391" s="17">
        <f t="shared" si="30"/>
        <v>41674.063078703701</v>
      </c>
      <c r="T391" s="17">
        <f t="shared" si="31"/>
        <v>41705.957638888889</v>
      </c>
      <c r="U391">
        <f>MONTH(Table1[[#This Row],[Launched]])</f>
        <v>2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8218</v>
      </c>
      <c r="G392" t="s">
        <v>8223</v>
      </c>
      <c r="H392" t="s">
        <v>8245</v>
      </c>
      <c r="I392" s="8">
        <v>1431046372</v>
      </c>
      <c r="J392">
        <v>1429318372</v>
      </c>
      <c r="K392" t="b">
        <v>0</v>
      </c>
      <c r="L392" s="10">
        <v>14</v>
      </c>
      <c r="M392" t="b">
        <v>1</v>
      </c>
      <c r="N392" t="s">
        <v>8267</v>
      </c>
      <c r="O392" s="11">
        <f t="shared" si="28"/>
        <v>100</v>
      </c>
      <c r="P392" s="12">
        <f t="shared" si="29"/>
        <v>71</v>
      </c>
      <c r="Q392" s="14" t="s">
        <v>8307</v>
      </c>
      <c r="R392" t="s">
        <v>8312</v>
      </c>
      <c r="S392" s="17">
        <f t="shared" si="30"/>
        <v>42112.036712962959</v>
      </c>
      <c r="T392" s="17">
        <f t="shared" si="31"/>
        <v>42132.036712962959</v>
      </c>
      <c r="U392">
        <f>MONTH(Table1[[#This Row],[Launched]])</f>
        <v>4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8218</v>
      </c>
      <c r="G393" t="s">
        <v>8223</v>
      </c>
      <c r="H393" t="s">
        <v>8245</v>
      </c>
      <c r="I393" s="8">
        <v>1324169940</v>
      </c>
      <c r="J393">
        <v>1321578051</v>
      </c>
      <c r="K393" t="b">
        <v>0</v>
      </c>
      <c r="L393" s="10">
        <v>193</v>
      </c>
      <c r="M393" t="b">
        <v>1</v>
      </c>
      <c r="N393" t="s">
        <v>8267</v>
      </c>
      <c r="O393" s="11">
        <f t="shared" si="28"/>
        <v>101</v>
      </c>
      <c r="P393" s="12">
        <f t="shared" si="29"/>
        <v>104</v>
      </c>
      <c r="Q393" s="14" t="s">
        <v>8307</v>
      </c>
      <c r="R393" t="s">
        <v>8312</v>
      </c>
      <c r="S393" s="17">
        <f t="shared" si="30"/>
        <v>40865.042256944449</v>
      </c>
      <c r="T393" s="17">
        <f t="shared" si="31"/>
        <v>40895.040972222225</v>
      </c>
      <c r="U393">
        <f>MONTH(Table1[[#This Row],[Launched]])</f>
        <v>11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8218</v>
      </c>
      <c r="G394" t="s">
        <v>8223</v>
      </c>
      <c r="H394" t="s">
        <v>8245</v>
      </c>
      <c r="I394" s="8">
        <v>1315450800</v>
      </c>
      <c r="J394">
        <v>1312823571</v>
      </c>
      <c r="K394" t="b">
        <v>0</v>
      </c>
      <c r="L394" s="10">
        <v>206</v>
      </c>
      <c r="M394" t="b">
        <v>1</v>
      </c>
      <c r="N394" t="s">
        <v>8267</v>
      </c>
      <c r="O394" s="11">
        <f t="shared" si="28"/>
        <v>101</v>
      </c>
      <c r="P394" s="12">
        <f t="shared" si="29"/>
        <v>91</v>
      </c>
      <c r="Q394" s="14" t="s">
        <v>8307</v>
      </c>
      <c r="R394" t="s">
        <v>8312</v>
      </c>
      <c r="S394" s="17">
        <f t="shared" si="30"/>
        <v>40763.717256944445</v>
      </c>
      <c r="T394" s="17">
        <f t="shared" si="31"/>
        <v>40794.125</v>
      </c>
      <c r="U394">
        <f>MONTH(Table1[[#This Row],[Launched]])</f>
        <v>8</v>
      </c>
    </row>
    <row r="395" spans="1:21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8218</v>
      </c>
      <c r="G395" t="s">
        <v>8223</v>
      </c>
      <c r="H395" t="s">
        <v>8245</v>
      </c>
      <c r="I395" s="8">
        <v>1381424452</v>
      </c>
      <c r="J395">
        <v>1378746052</v>
      </c>
      <c r="K395" t="b">
        <v>0</v>
      </c>
      <c r="L395" s="10">
        <v>351</v>
      </c>
      <c r="M395" t="b">
        <v>1</v>
      </c>
      <c r="N395" t="s">
        <v>8267</v>
      </c>
      <c r="O395" s="11">
        <f t="shared" si="28"/>
        <v>110</v>
      </c>
      <c r="P395" s="12">
        <f t="shared" si="29"/>
        <v>157</v>
      </c>
      <c r="Q395" s="14" t="s">
        <v>8307</v>
      </c>
      <c r="R395" t="s">
        <v>8312</v>
      </c>
      <c r="S395" s="17">
        <f t="shared" si="30"/>
        <v>41526.708935185183</v>
      </c>
      <c r="T395" s="17">
        <f t="shared" si="31"/>
        <v>41557.708935185183</v>
      </c>
      <c r="U395">
        <f>MONTH(Table1[[#This Row],[Launched]])</f>
        <v>9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8218</v>
      </c>
      <c r="G396" t="s">
        <v>8226</v>
      </c>
      <c r="H396" t="s">
        <v>8248</v>
      </c>
      <c r="I396" s="8">
        <v>1460918282</v>
      </c>
      <c r="J396">
        <v>1455737882</v>
      </c>
      <c r="K396" t="b">
        <v>0</v>
      </c>
      <c r="L396" s="10">
        <v>50</v>
      </c>
      <c r="M396" t="b">
        <v>1</v>
      </c>
      <c r="N396" t="s">
        <v>8267</v>
      </c>
      <c r="O396" s="11">
        <f t="shared" si="28"/>
        <v>112</v>
      </c>
      <c r="P396" s="12">
        <f t="shared" si="29"/>
        <v>105</v>
      </c>
      <c r="Q396" s="14" t="s">
        <v>8307</v>
      </c>
      <c r="R396" t="s">
        <v>8312</v>
      </c>
      <c r="S396" s="17">
        <f t="shared" si="30"/>
        <v>42417.818078703705</v>
      </c>
      <c r="T396" s="17">
        <f t="shared" si="31"/>
        <v>42477.776412037041</v>
      </c>
      <c r="U396">
        <f>MONTH(Table1[[#This Row],[Launched]])</f>
        <v>2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 s="8">
        <v>1335562320</v>
      </c>
      <c r="J397">
        <v>1332452960</v>
      </c>
      <c r="K397" t="b">
        <v>0</v>
      </c>
      <c r="L397" s="10">
        <v>184</v>
      </c>
      <c r="M397" t="b">
        <v>1</v>
      </c>
      <c r="N397" t="s">
        <v>8267</v>
      </c>
      <c r="O397" s="11">
        <f t="shared" si="28"/>
        <v>108</v>
      </c>
      <c r="P397" s="12">
        <f t="shared" si="29"/>
        <v>59</v>
      </c>
      <c r="Q397" s="14" t="s">
        <v>8307</v>
      </c>
      <c r="R397" t="s">
        <v>8312</v>
      </c>
      <c r="S397" s="17">
        <f t="shared" si="30"/>
        <v>40990.909259259257</v>
      </c>
      <c r="T397" s="17">
        <f t="shared" si="31"/>
        <v>41026.897222222222</v>
      </c>
      <c r="U397">
        <f>MONTH(Table1[[#This Row],[Launched]])</f>
        <v>3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8218</v>
      </c>
      <c r="G398" t="s">
        <v>8223</v>
      </c>
      <c r="H398" t="s">
        <v>8245</v>
      </c>
      <c r="I398" s="8">
        <v>1341668006</v>
      </c>
      <c r="J398">
        <v>1340372006</v>
      </c>
      <c r="K398" t="b">
        <v>0</v>
      </c>
      <c r="L398" s="10">
        <v>196</v>
      </c>
      <c r="M398" t="b">
        <v>1</v>
      </c>
      <c r="N398" t="s">
        <v>8267</v>
      </c>
      <c r="O398" s="11">
        <f t="shared" si="28"/>
        <v>107</v>
      </c>
      <c r="P398" s="12">
        <f t="shared" si="29"/>
        <v>82</v>
      </c>
      <c r="Q398" s="14" t="s">
        <v>8307</v>
      </c>
      <c r="R398" t="s">
        <v>8312</v>
      </c>
      <c r="S398" s="17">
        <f t="shared" si="30"/>
        <v>41082.564884259256</v>
      </c>
      <c r="T398" s="17">
        <f t="shared" si="31"/>
        <v>41097.564884259256</v>
      </c>
      <c r="U398">
        <f>MONTH(Table1[[#This Row],[Launched]])</f>
        <v>6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 s="8">
        <v>1283312640</v>
      </c>
      <c r="J399">
        <v>1279651084</v>
      </c>
      <c r="K399" t="b">
        <v>0</v>
      </c>
      <c r="L399" s="10">
        <v>229</v>
      </c>
      <c r="M399" t="b">
        <v>1</v>
      </c>
      <c r="N399" t="s">
        <v>8267</v>
      </c>
      <c r="O399" s="11">
        <f t="shared" si="28"/>
        <v>104</v>
      </c>
      <c r="P399" s="12">
        <f t="shared" si="29"/>
        <v>56</v>
      </c>
      <c r="Q399" s="14" t="s">
        <v>8307</v>
      </c>
      <c r="R399" t="s">
        <v>8312</v>
      </c>
      <c r="S399" s="17">
        <f t="shared" si="30"/>
        <v>40379.776435185187</v>
      </c>
      <c r="T399" s="17">
        <f t="shared" si="31"/>
        <v>40422.155555555553</v>
      </c>
      <c r="U399">
        <f>MONTH(Table1[[#This Row],[Launched]])</f>
        <v>7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8218</v>
      </c>
      <c r="G400" t="s">
        <v>8223</v>
      </c>
      <c r="H400" t="s">
        <v>8245</v>
      </c>
      <c r="I400" s="8">
        <v>1430334126</v>
      </c>
      <c r="J400">
        <v>1426446126</v>
      </c>
      <c r="K400" t="b">
        <v>0</v>
      </c>
      <c r="L400" s="10">
        <v>67</v>
      </c>
      <c r="M400" t="b">
        <v>1</v>
      </c>
      <c r="N400" t="s">
        <v>8267</v>
      </c>
      <c r="O400" s="11">
        <f t="shared" si="28"/>
        <v>125</v>
      </c>
      <c r="P400" s="12">
        <f t="shared" si="29"/>
        <v>140</v>
      </c>
      <c r="Q400" s="14" t="s">
        <v>8307</v>
      </c>
      <c r="R400" t="s">
        <v>8312</v>
      </c>
      <c r="S400" s="17">
        <f t="shared" si="30"/>
        <v>42078.793124999997</v>
      </c>
      <c r="T400" s="17">
        <f t="shared" si="31"/>
        <v>42123.793124999997</v>
      </c>
      <c r="U400">
        <f>MONTH(Table1[[#This Row],[Launched]])</f>
        <v>3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8218</v>
      </c>
      <c r="G401" t="s">
        <v>8224</v>
      </c>
      <c r="H401" t="s">
        <v>8246</v>
      </c>
      <c r="I401" s="8">
        <v>1481716800</v>
      </c>
      <c r="J401">
        <v>1479070867</v>
      </c>
      <c r="K401" t="b">
        <v>0</v>
      </c>
      <c r="L401" s="10">
        <v>95</v>
      </c>
      <c r="M401" t="b">
        <v>1</v>
      </c>
      <c r="N401" t="s">
        <v>8267</v>
      </c>
      <c r="O401" s="11">
        <f t="shared" si="28"/>
        <v>107</v>
      </c>
      <c r="P401" s="12">
        <f t="shared" si="29"/>
        <v>225</v>
      </c>
      <c r="Q401" s="14" t="s">
        <v>8307</v>
      </c>
      <c r="R401" t="s">
        <v>8312</v>
      </c>
      <c r="S401" s="17">
        <f t="shared" si="30"/>
        <v>42687.875775462962</v>
      </c>
      <c r="T401" s="17">
        <f t="shared" si="31"/>
        <v>42718.5</v>
      </c>
      <c r="U401">
        <f>MONTH(Table1[[#This Row],[Launched]])</f>
        <v>11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 s="8">
        <v>1400297400</v>
      </c>
      <c r="J402">
        <v>1397661347</v>
      </c>
      <c r="K402" t="b">
        <v>0</v>
      </c>
      <c r="L402" s="10">
        <v>62</v>
      </c>
      <c r="M402" t="b">
        <v>1</v>
      </c>
      <c r="N402" t="s">
        <v>8267</v>
      </c>
      <c r="O402" s="11">
        <f t="shared" si="28"/>
        <v>112</v>
      </c>
      <c r="P402" s="12">
        <f t="shared" si="29"/>
        <v>181</v>
      </c>
      <c r="Q402" s="14" t="s">
        <v>8307</v>
      </c>
      <c r="R402" t="s">
        <v>8312</v>
      </c>
      <c r="S402" s="17">
        <f t="shared" si="30"/>
        <v>41745.635960648149</v>
      </c>
      <c r="T402" s="17">
        <f t="shared" si="31"/>
        <v>41776.145833333336</v>
      </c>
      <c r="U402">
        <f>MONTH(Table1[[#This Row],[Launched]])</f>
        <v>4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8218</v>
      </c>
      <c r="G403" t="s">
        <v>8223</v>
      </c>
      <c r="H403" t="s">
        <v>8245</v>
      </c>
      <c r="I403" s="8">
        <v>1312747970</v>
      </c>
      <c r="J403">
        <v>1310155970</v>
      </c>
      <c r="K403" t="b">
        <v>0</v>
      </c>
      <c r="L403" s="10">
        <v>73</v>
      </c>
      <c r="M403" t="b">
        <v>1</v>
      </c>
      <c r="N403" t="s">
        <v>8267</v>
      </c>
      <c r="O403" s="11">
        <f t="shared" si="28"/>
        <v>104</v>
      </c>
      <c r="P403" s="12">
        <f t="shared" si="29"/>
        <v>711</v>
      </c>
      <c r="Q403" s="14" t="s">
        <v>8307</v>
      </c>
      <c r="R403" t="s">
        <v>8312</v>
      </c>
      <c r="S403" s="17">
        <f t="shared" si="30"/>
        <v>40732.842245370368</v>
      </c>
      <c r="T403" s="17">
        <f t="shared" si="31"/>
        <v>40762.842245370368</v>
      </c>
      <c r="U403">
        <f>MONTH(Table1[[#This Row],[Launched]])</f>
        <v>7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8218</v>
      </c>
      <c r="G404" t="s">
        <v>8223</v>
      </c>
      <c r="H404" t="s">
        <v>8245</v>
      </c>
      <c r="I404" s="8">
        <v>1446731817</v>
      </c>
      <c r="J404">
        <v>1444913817</v>
      </c>
      <c r="K404" t="b">
        <v>0</v>
      </c>
      <c r="L404" s="10">
        <v>43</v>
      </c>
      <c r="M404" t="b">
        <v>1</v>
      </c>
      <c r="N404" t="s">
        <v>8267</v>
      </c>
      <c r="O404" s="11">
        <f t="shared" si="28"/>
        <v>142</v>
      </c>
      <c r="P404" s="12">
        <f t="shared" si="29"/>
        <v>66</v>
      </c>
      <c r="Q404" s="14" t="s">
        <v>8307</v>
      </c>
      <c r="R404" t="s">
        <v>8312</v>
      </c>
      <c r="S404" s="17">
        <f t="shared" si="30"/>
        <v>42292.539548611108</v>
      </c>
      <c r="T404" s="17">
        <f t="shared" si="31"/>
        <v>42313.58121527778</v>
      </c>
      <c r="U404">
        <f>MONTH(Table1[[#This Row],[Launched]])</f>
        <v>10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8218</v>
      </c>
      <c r="G405" t="s">
        <v>8223</v>
      </c>
      <c r="H405" t="s">
        <v>8245</v>
      </c>
      <c r="I405" s="8">
        <v>1312960080</v>
      </c>
      <c r="J405">
        <v>1308900441</v>
      </c>
      <c r="K405" t="b">
        <v>0</v>
      </c>
      <c r="L405" s="10">
        <v>70</v>
      </c>
      <c r="M405" t="b">
        <v>1</v>
      </c>
      <c r="N405" t="s">
        <v>8267</v>
      </c>
      <c r="O405" s="11">
        <f t="shared" si="28"/>
        <v>105</v>
      </c>
      <c r="P405" s="12">
        <f t="shared" si="29"/>
        <v>75</v>
      </c>
      <c r="Q405" s="14" t="s">
        <v>8307</v>
      </c>
      <c r="R405" t="s">
        <v>8312</v>
      </c>
      <c r="S405" s="17">
        <f t="shared" si="30"/>
        <v>40718.310659722221</v>
      </c>
      <c r="T405" s="17">
        <f t="shared" si="31"/>
        <v>40765.297222222223</v>
      </c>
      <c r="U405">
        <f>MONTH(Table1[[#This Row],[Launched]])</f>
        <v>6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8218</v>
      </c>
      <c r="G406" t="s">
        <v>8223</v>
      </c>
      <c r="H406" t="s">
        <v>8245</v>
      </c>
      <c r="I406" s="8">
        <v>1391641440</v>
      </c>
      <c r="J406">
        <v>1389107062</v>
      </c>
      <c r="K406" t="b">
        <v>0</v>
      </c>
      <c r="L406" s="10">
        <v>271</v>
      </c>
      <c r="M406" t="b">
        <v>1</v>
      </c>
      <c r="N406" t="s">
        <v>8267</v>
      </c>
      <c r="O406" s="11">
        <f t="shared" si="28"/>
        <v>103</v>
      </c>
      <c r="P406" s="12">
        <f t="shared" si="29"/>
        <v>133</v>
      </c>
      <c r="Q406" s="14" t="s">
        <v>8307</v>
      </c>
      <c r="R406" t="s">
        <v>8312</v>
      </c>
      <c r="S406" s="17">
        <f t="shared" si="30"/>
        <v>41646.628032407411</v>
      </c>
      <c r="T406" s="17">
        <f t="shared" si="31"/>
        <v>41675.961111111108</v>
      </c>
      <c r="U406">
        <f>MONTH(Table1[[#This Row],[Launched]])</f>
        <v>1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8218</v>
      </c>
      <c r="G407" t="s">
        <v>8223</v>
      </c>
      <c r="H407" t="s">
        <v>8245</v>
      </c>
      <c r="I407" s="8">
        <v>1394071339</v>
      </c>
      <c r="J407">
        <v>1391479339</v>
      </c>
      <c r="K407" t="b">
        <v>0</v>
      </c>
      <c r="L407" s="10">
        <v>55</v>
      </c>
      <c r="M407" t="b">
        <v>1</v>
      </c>
      <c r="N407" t="s">
        <v>8267</v>
      </c>
      <c r="O407" s="11">
        <f t="shared" si="28"/>
        <v>108</v>
      </c>
      <c r="P407" s="12">
        <f t="shared" si="29"/>
        <v>55</v>
      </c>
      <c r="Q407" s="14" t="s">
        <v>8307</v>
      </c>
      <c r="R407" t="s">
        <v>8312</v>
      </c>
      <c r="S407" s="17">
        <f t="shared" si="30"/>
        <v>41674.08494212963</v>
      </c>
      <c r="T407" s="17">
        <f t="shared" si="31"/>
        <v>41704.08494212963</v>
      </c>
      <c r="U407">
        <f>MONTH(Table1[[#This Row],[Launched]])</f>
        <v>2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8218</v>
      </c>
      <c r="G408" t="s">
        <v>8223</v>
      </c>
      <c r="H408" t="s">
        <v>8245</v>
      </c>
      <c r="I408" s="8">
        <v>1304920740</v>
      </c>
      <c r="J408">
        <v>1301975637</v>
      </c>
      <c r="K408" t="b">
        <v>0</v>
      </c>
      <c r="L408" s="10">
        <v>35</v>
      </c>
      <c r="M408" t="b">
        <v>1</v>
      </c>
      <c r="N408" t="s">
        <v>8267</v>
      </c>
      <c r="O408" s="11">
        <f t="shared" si="28"/>
        <v>108</v>
      </c>
      <c r="P408" s="12">
        <f t="shared" si="29"/>
        <v>86</v>
      </c>
      <c r="Q408" s="14" t="s">
        <v>8307</v>
      </c>
      <c r="R408" t="s">
        <v>8312</v>
      </c>
      <c r="S408" s="17">
        <f t="shared" si="30"/>
        <v>40638.162465277775</v>
      </c>
      <c r="T408" s="17">
        <f t="shared" si="31"/>
        <v>40672.249305555553</v>
      </c>
      <c r="U408">
        <f>MONTH(Table1[[#This Row],[Launched]])</f>
        <v>4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8218</v>
      </c>
      <c r="G409" t="s">
        <v>8223</v>
      </c>
      <c r="H409" t="s">
        <v>8245</v>
      </c>
      <c r="I409" s="8">
        <v>1321739650</v>
      </c>
      <c r="J409">
        <v>1316552050</v>
      </c>
      <c r="K409" t="b">
        <v>0</v>
      </c>
      <c r="L409" s="10">
        <v>22</v>
      </c>
      <c r="M409" t="b">
        <v>1</v>
      </c>
      <c r="N409" t="s">
        <v>8267</v>
      </c>
      <c r="O409" s="11">
        <f t="shared" si="28"/>
        <v>102</v>
      </c>
      <c r="P409" s="12">
        <f t="shared" si="29"/>
        <v>92</v>
      </c>
      <c r="Q409" s="14" t="s">
        <v>8307</v>
      </c>
      <c r="R409" t="s">
        <v>8312</v>
      </c>
      <c r="S409" s="17">
        <f t="shared" si="30"/>
        <v>40806.870949074073</v>
      </c>
      <c r="T409" s="17">
        <f t="shared" si="31"/>
        <v>40866.912615740745</v>
      </c>
      <c r="U409">
        <f>MONTH(Table1[[#This Row],[Launched]])</f>
        <v>9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8218</v>
      </c>
      <c r="G410" t="s">
        <v>8223</v>
      </c>
      <c r="H410" t="s">
        <v>8245</v>
      </c>
      <c r="I410" s="8">
        <v>1383676790</v>
      </c>
      <c r="J410">
        <v>1380217190</v>
      </c>
      <c r="K410" t="b">
        <v>0</v>
      </c>
      <c r="L410" s="10">
        <v>38</v>
      </c>
      <c r="M410" t="b">
        <v>1</v>
      </c>
      <c r="N410" t="s">
        <v>8267</v>
      </c>
      <c r="O410" s="11">
        <f t="shared" si="28"/>
        <v>101</v>
      </c>
      <c r="P410" s="12">
        <f t="shared" si="29"/>
        <v>160</v>
      </c>
      <c r="Q410" s="14" t="s">
        <v>8307</v>
      </c>
      <c r="R410" t="s">
        <v>8312</v>
      </c>
      <c r="S410" s="17">
        <f t="shared" si="30"/>
        <v>41543.735995370371</v>
      </c>
      <c r="T410" s="17">
        <f t="shared" si="31"/>
        <v>41583.777662037035</v>
      </c>
      <c r="U410">
        <f>MONTH(Table1[[#This Row],[Launched]])</f>
        <v>9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8218</v>
      </c>
      <c r="G411" t="s">
        <v>8224</v>
      </c>
      <c r="H411" t="s">
        <v>8246</v>
      </c>
      <c r="I411" s="8">
        <v>1469220144</v>
      </c>
      <c r="J411">
        <v>1466628144</v>
      </c>
      <c r="K411" t="b">
        <v>0</v>
      </c>
      <c r="L411" s="10">
        <v>15</v>
      </c>
      <c r="M411" t="b">
        <v>1</v>
      </c>
      <c r="N411" t="s">
        <v>8267</v>
      </c>
      <c r="O411" s="11">
        <f t="shared" si="28"/>
        <v>137</v>
      </c>
      <c r="P411" s="12">
        <f t="shared" si="29"/>
        <v>46</v>
      </c>
      <c r="Q411" s="14" t="s">
        <v>8307</v>
      </c>
      <c r="R411" t="s">
        <v>8312</v>
      </c>
      <c r="S411" s="17">
        <f t="shared" si="30"/>
        <v>42543.862777777773</v>
      </c>
      <c r="T411" s="17">
        <f t="shared" si="31"/>
        <v>42573.862777777773</v>
      </c>
      <c r="U411">
        <f>MONTH(Table1[[#This Row],[Launched]])</f>
        <v>6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8218</v>
      </c>
      <c r="G412" t="s">
        <v>8228</v>
      </c>
      <c r="H412" t="s">
        <v>8250</v>
      </c>
      <c r="I412" s="8">
        <v>1434670397</v>
      </c>
      <c r="J412">
        <v>1429486397</v>
      </c>
      <c r="K412" t="b">
        <v>0</v>
      </c>
      <c r="L412" s="10">
        <v>7</v>
      </c>
      <c r="M412" t="b">
        <v>1</v>
      </c>
      <c r="N412" t="s">
        <v>8267</v>
      </c>
      <c r="O412" s="11">
        <f t="shared" si="28"/>
        <v>128</v>
      </c>
      <c r="P412" s="12">
        <f t="shared" si="29"/>
        <v>183</v>
      </c>
      <c r="Q412" s="14" t="s">
        <v>8307</v>
      </c>
      <c r="R412" t="s">
        <v>8312</v>
      </c>
      <c r="S412" s="17">
        <f t="shared" si="30"/>
        <v>42113.981446759266</v>
      </c>
      <c r="T412" s="17">
        <f t="shared" si="31"/>
        <v>42173.981446759266</v>
      </c>
      <c r="U412">
        <f>MONTH(Table1[[#This Row],[Launched]])</f>
        <v>4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8218</v>
      </c>
      <c r="G413" t="s">
        <v>8223</v>
      </c>
      <c r="H413" t="s">
        <v>8245</v>
      </c>
      <c r="I413" s="8">
        <v>1387688400</v>
      </c>
      <c r="J413">
        <v>1384920804</v>
      </c>
      <c r="K413" t="b">
        <v>0</v>
      </c>
      <c r="L413" s="10">
        <v>241</v>
      </c>
      <c r="M413" t="b">
        <v>1</v>
      </c>
      <c r="N413" t="s">
        <v>8267</v>
      </c>
      <c r="O413" s="11">
        <f t="shared" si="28"/>
        <v>101</v>
      </c>
      <c r="P413" s="12">
        <f t="shared" si="29"/>
        <v>126</v>
      </c>
      <c r="Q413" s="14" t="s">
        <v>8307</v>
      </c>
      <c r="R413" t="s">
        <v>8312</v>
      </c>
      <c r="S413" s="17">
        <f t="shared" si="30"/>
        <v>41598.17597222222</v>
      </c>
      <c r="T413" s="17">
        <f t="shared" si="31"/>
        <v>41630.208333333336</v>
      </c>
      <c r="U413">
        <f>MONTH(Table1[[#This Row],[Launched]])</f>
        <v>11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8218</v>
      </c>
      <c r="G414" t="s">
        <v>8223</v>
      </c>
      <c r="H414" t="s">
        <v>8245</v>
      </c>
      <c r="I414" s="8">
        <v>1343238578</v>
      </c>
      <c r="J414">
        <v>1341856178</v>
      </c>
      <c r="K414" t="b">
        <v>0</v>
      </c>
      <c r="L414" s="10">
        <v>55</v>
      </c>
      <c r="M414" t="b">
        <v>1</v>
      </c>
      <c r="N414" t="s">
        <v>8267</v>
      </c>
      <c r="O414" s="11">
        <f t="shared" si="28"/>
        <v>127</v>
      </c>
      <c r="P414" s="12">
        <f t="shared" si="29"/>
        <v>58</v>
      </c>
      <c r="Q414" s="14" t="s">
        <v>8307</v>
      </c>
      <c r="R414" t="s">
        <v>8312</v>
      </c>
      <c r="S414" s="17">
        <f t="shared" si="30"/>
        <v>41099.742800925924</v>
      </c>
      <c r="T414" s="17">
        <f t="shared" si="31"/>
        <v>41115.742800925924</v>
      </c>
      <c r="U414">
        <f>MONTH(Table1[[#This Row],[Launched]])</f>
        <v>7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8218</v>
      </c>
      <c r="G415" t="s">
        <v>8223</v>
      </c>
      <c r="H415" t="s">
        <v>8245</v>
      </c>
      <c r="I415" s="8">
        <v>1342731811</v>
      </c>
      <c r="J415">
        <v>1340139811</v>
      </c>
      <c r="K415" t="b">
        <v>0</v>
      </c>
      <c r="L415" s="10">
        <v>171</v>
      </c>
      <c r="M415" t="b">
        <v>1</v>
      </c>
      <c r="N415" t="s">
        <v>8267</v>
      </c>
      <c r="O415" s="11">
        <f t="shared" si="28"/>
        <v>105</v>
      </c>
      <c r="P415" s="12">
        <f t="shared" si="29"/>
        <v>79</v>
      </c>
      <c r="Q415" s="14" t="s">
        <v>8307</v>
      </c>
      <c r="R415" t="s">
        <v>8312</v>
      </c>
      <c r="S415" s="17">
        <f t="shared" si="30"/>
        <v>41079.877442129626</v>
      </c>
      <c r="T415" s="17">
        <f t="shared" si="31"/>
        <v>41109.877442129626</v>
      </c>
      <c r="U415">
        <f>MONTH(Table1[[#This Row],[Launched]])</f>
        <v>6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8218</v>
      </c>
      <c r="G416" t="s">
        <v>8223</v>
      </c>
      <c r="H416" t="s">
        <v>8245</v>
      </c>
      <c r="I416" s="8">
        <v>1381541465</v>
      </c>
      <c r="J416">
        <v>1378949465</v>
      </c>
      <c r="K416" t="b">
        <v>0</v>
      </c>
      <c r="L416" s="10">
        <v>208</v>
      </c>
      <c r="M416" t="b">
        <v>1</v>
      </c>
      <c r="N416" t="s">
        <v>8267</v>
      </c>
      <c r="O416" s="11">
        <f t="shared" si="28"/>
        <v>103</v>
      </c>
      <c r="P416" s="12">
        <f t="shared" si="29"/>
        <v>91</v>
      </c>
      <c r="Q416" s="14" t="s">
        <v>8307</v>
      </c>
      <c r="R416" t="s">
        <v>8312</v>
      </c>
      <c r="S416" s="17">
        <f t="shared" si="30"/>
        <v>41529.063252314816</v>
      </c>
      <c r="T416" s="17">
        <f t="shared" si="31"/>
        <v>41559.063252314816</v>
      </c>
      <c r="U416">
        <f>MONTH(Table1[[#This Row],[Launched]])</f>
        <v>9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8218</v>
      </c>
      <c r="G417" t="s">
        <v>8228</v>
      </c>
      <c r="H417" t="s">
        <v>8250</v>
      </c>
      <c r="I417" s="8">
        <v>1413547200</v>
      </c>
      <c r="J417">
        <v>1411417602</v>
      </c>
      <c r="K417" t="b">
        <v>0</v>
      </c>
      <c r="L417" s="10">
        <v>21</v>
      </c>
      <c r="M417" t="b">
        <v>1</v>
      </c>
      <c r="N417" t="s">
        <v>8267</v>
      </c>
      <c r="O417" s="11">
        <f t="shared" si="28"/>
        <v>102</v>
      </c>
      <c r="P417" s="12">
        <f t="shared" si="29"/>
        <v>68</v>
      </c>
      <c r="Q417" s="14" t="s">
        <v>8307</v>
      </c>
      <c r="R417" t="s">
        <v>8312</v>
      </c>
      <c r="S417" s="17">
        <f t="shared" si="30"/>
        <v>41904.851875</v>
      </c>
      <c r="T417" s="17">
        <f t="shared" si="31"/>
        <v>41929.5</v>
      </c>
      <c r="U417">
        <f>MONTH(Table1[[#This Row],[Launched]])</f>
        <v>9</v>
      </c>
    </row>
    <row r="418" spans="1:21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8218</v>
      </c>
      <c r="G418" t="s">
        <v>8223</v>
      </c>
      <c r="H418" t="s">
        <v>8245</v>
      </c>
      <c r="I418" s="8">
        <v>1391851831</v>
      </c>
      <c r="J418">
        <v>1389259831</v>
      </c>
      <c r="K418" t="b">
        <v>0</v>
      </c>
      <c r="L418" s="10">
        <v>25</v>
      </c>
      <c r="M418" t="b">
        <v>1</v>
      </c>
      <c r="N418" t="s">
        <v>8267</v>
      </c>
      <c r="O418" s="11">
        <f t="shared" si="28"/>
        <v>120</v>
      </c>
      <c r="P418" s="12">
        <f t="shared" si="29"/>
        <v>48</v>
      </c>
      <c r="Q418" s="14" t="s">
        <v>8307</v>
      </c>
      <c r="R418" t="s">
        <v>8312</v>
      </c>
      <c r="S418" s="17">
        <f t="shared" si="30"/>
        <v>41648.396192129629</v>
      </c>
      <c r="T418" s="17">
        <f t="shared" si="31"/>
        <v>41678.396192129629</v>
      </c>
      <c r="U418">
        <f>MONTH(Table1[[#This Row],[Launched]])</f>
        <v>1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8218</v>
      </c>
      <c r="G419" t="s">
        <v>8223</v>
      </c>
      <c r="H419" t="s">
        <v>8245</v>
      </c>
      <c r="I419" s="8">
        <v>1365395580</v>
      </c>
      <c r="J419">
        <v>1364426260</v>
      </c>
      <c r="K419" t="b">
        <v>0</v>
      </c>
      <c r="L419" s="10">
        <v>52</v>
      </c>
      <c r="M419" t="b">
        <v>1</v>
      </c>
      <c r="N419" t="s">
        <v>8267</v>
      </c>
      <c r="O419" s="11">
        <f t="shared" si="28"/>
        <v>100</v>
      </c>
      <c r="P419" s="12">
        <f t="shared" si="29"/>
        <v>202</v>
      </c>
      <c r="Q419" s="14" t="s">
        <v>8307</v>
      </c>
      <c r="R419" t="s">
        <v>8312</v>
      </c>
      <c r="S419" s="17">
        <f t="shared" si="30"/>
        <v>41360.970601851855</v>
      </c>
      <c r="T419" s="17">
        <f t="shared" si="31"/>
        <v>41372.189583333333</v>
      </c>
      <c r="U419">
        <f>MONTH(Table1[[#This Row],[Launched]])</f>
        <v>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8218</v>
      </c>
      <c r="G420" t="s">
        <v>8223</v>
      </c>
      <c r="H420" t="s">
        <v>8245</v>
      </c>
      <c r="I420" s="8">
        <v>1437633997</v>
      </c>
      <c r="J420">
        <v>1435041997</v>
      </c>
      <c r="K420" t="b">
        <v>0</v>
      </c>
      <c r="L420" s="10">
        <v>104</v>
      </c>
      <c r="M420" t="b">
        <v>1</v>
      </c>
      <c r="N420" t="s">
        <v>8267</v>
      </c>
      <c r="O420" s="11">
        <f t="shared" si="28"/>
        <v>101</v>
      </c>
      <c r="P420" s="12">
        <f t="shared" si="29"/>
        <v>217</v>
      </c>
      <c r="Q420" s="14" t="s">
        <v>8307</v>
      </c>
      <c r="R420" t="s">
        <v>8312</v>
      </c>
      <c r="S420" s="17">
        <f t="shared" si="30"/>
        <v>42178.282372685186</v>
      </c>
      <c r="T420" s="17">
        <f t="shared" si="31"/>
        <v>42208.282372685186</v>
      </c>
      <c r="U420">
        <f>MONTH(Table1[[#This Row],[Launched]])</f>
        <v>6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8218</v>
      </c>
      <c r="G421" t="s">
        <v>8223</v>
      </c>
      <c r="H421" t="s">
        <v>8245</v>
      </c>
      <c r="I421" s="8">
        <v>1372536787</v>
      </c>
      <c r="J421">
        <v>1367352787</v>
      </c>
      <c r="K421" t="b">
        <v>0</v>
      </c>
      <c r="L421" s="10">
        <v>73</v>
      </c>
      <c r="M421" t="b">
        <v>1</v>
      </c>
      <c r="N421" t="s">
        <v>8267</v>
      </c>
      <c r="O421" s="11">
        <f t="shared" si="28"/>
        <v>100</v>
      </c>
      <c r="P421" s="12">
        <f t="shared" si="29"/>
        <v>110</v>
      </c>
      <c r="Q421" s="14" t="s">
        <v>8307</v>
      </c>
      <c r="R421" t="s">
        <v>8312</v>
      </c>
      <c r="S421" s="17">
        <f t="shared" si="30"/>
        <v>41394.842442129629</v>
      </c>
      <c r="T421" s="17">
        <f t="shared" si="31"/>
        <v>41454.842442129629</v>
      </c>
      <c r="U421">
        <f>MONTH(Table1[[#This Row],[Launched]])</f>
        <v>4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8220</v>
      </c>
      <c r="G422" t="s">
        <v>8223</v>
      </c>
      <c r="H422" t="s">
        <v>8245</v>
      </c>
      <c r="I422" s="8">
        <v>1394772031</v>
      </c>
      <c r="J422">
        <v>1392183631</v>
      </c>
      <c r="K422" t="b">
        <v>0</v>
      </c>
      <c r="L422" s="10">
        <v>3</v>
      </c>
      <c r="M422" t="b">
        <v>0</v>
      </c>
      <c r="N422" t="s">
        <v>8268</v>
      </c>
      <c r="O422" s="11">
        <f t="shared" si="28"/>
        <v>0</v>
      </c>
      <c r="P422" s="12">
        <f t="shared" si="29"/>
        <v>5</v>
      </c>
      <c r="Q422" s="14" t="s">
        <v>8307</v>
      </c>
      <c r="R422" t="s">
        <v>8313</v>
      </c>
      <c r="S422" s="17">
        <f t="shared" si="30"/>
        <v>41682.23646990741</v>
      </c>
      <c r="T422" s="17">
        <f t="shared" si="31"/>
        <v>41712.194803240738</v>
      </c>
      <c r="U422">
        <f>MONTH(Table1[[#This Row],[Launched]])</f>
        <v>2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8220</v>
      </c>
      <c r="G423" t="s">
        <v>8223</v>
      </c>
      <c r="H423" t="s">
        <v>8245</v>
      </c>
      <c r="I423" s="8">
        <v>1440157656</v>
      </c>
      <c r="J423">
        <v>1434973656</v>
      </c>
      <c r="K423" t="b">
        <v>0</v>
      </c>
      <c r="L423" s="10">
        <v>6</v>
      </c>
      <c r="M423" t="b">
        <v>0</v>
      </c>
      <c r="N423" t="s">
        <v>8268</v>
      </c>
      <c r="O423" s="11">
        <f t="shared" si="28"/>
        <v>2</v>
      </c>
      <c r="P423" s="12">
        <f t="shared" si="29"/>
        <v>50</v>
      </c>
      <c r="Q423" s="14" t="s">
        <v>8307</v>
      </c>
      <c r="R423" t="s">
        <v>8313</v>
      </c>
      <c r="S423" s="17">
        <f t="shared" si="30"/>
        <v>42177.491388888884</v>
      </c>
      <c r="T423" s="17">
        <f t="shared" si="31"/>
        <v>42237.491388888884</v>
      </c>
      <c r="U423">
        <f>MONTH(Table1[[#This Row],[Launched]])</f>
        <v>6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8220</v>
      </c>
      <c r="G424" t="s">
        <v>8223</v>
      </c>
      <c r="H424" t="s">
        <v>8245</v>
      </c>
      <c r="I424" s="8">
        <v>1410416097</v>
      </c>
      <c r="J424">
        <v>1407824097</v>
      </c>
      <c r="K424" t="b">
        <v>0</v>
      </c>
      <c r="L424" s="10">
        <v>12</v>
      </c>
      <c r="M424" t="b">
        <v>0</v>
      </c>
      <c r="N424" t="s">
        <v>8268</v>
      </c>
      <c r="O424" s="11">
        <f t="shared" si="28"/>
        <v>1</v>
      </c>
      <c r="P424" s="12">
        <f t="shared" si="29"/>
        <v>36</v>
      </c>
      <c r="Q424" s="14" t="s">
        <v>8307</v>
      </c>
      <c r="R424" t="s">
        <v>8313</v>
      </c>
      <c r="S424" s="17">
        <f t="shared" si="30"/>
        <v>41863.260381944441</v>
      </c>
      <c r="T424" s="17">
        <f t="shared" si="31"/>
        <v>41893.260381944441</v>
      </c>
      <c r="U424">
        <f>MONTH(Table1[[#This Row],[Launched]])</f>
        <v>8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8220</v>
      </c>
      <c r="G425" t="s">
        <v>8223</v>
      </c>
      <c r="H425" t="s">
        <v>8245</v>
      </c>
      <c r="I425" s="8">
        <v>1370470430</v>
      </c>
      <c r="J425">
        <v>1367878430</v>
      </c>
      <c r="K425" t="b">
        <v>0</v>
      </c>
      <c r="L425" s="10">
        <v>13</v>
      </c>
      <c r="M425" t="b">
        <v>0</v>
      </c>
      <c r="N425" t="s">
        <v>8268</v>
      </c>
      <c r="O425" s="11">
        <f t="shared" si="28"/>
        <v>1</v>
      </c>
      <c r="P425" s="12">
        <f t="shared" si="29"/>
        <v>12</v>
      </c>
      <c r="Q425" s="14" t="s">
        <v>8307</v>
      </c>
      <c r="R425" t="s">
        <v>8313</v>
      </c>
      <c r="S425" s="17">
        <f t="shared" si="30"/>
        <v>41400.92627314815</v>
      </c>
      <c r="T425" s="17">
        <f t="shared" si="31"/>
        <v>41430.92627314815</v>
      </c>
      <c r="U425">
        <f>MONTH(Table1[[#This Row],[Launched]])</f>
        <v>5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8220</v>
      </c>
      <c r="G426" t="s">
        <v>8223</v>
      </c>
      <c r="H426" t="s">
        <v>8245</v>
      </c>
      <c r="I426" s="8">
        <v>1332748899</v>
      </c>
      <c r="J426">
        <v>1327568499</v>
      </c>
      <c r="K426" t="b">
        <v>0</v>
      </c>
      <c r="L426" s="10">
        <v>5</v>
      </c>
      <c r="M426" t="b">
        <v>0</v>
      </c>
      <c r="N426" t="s">
        <v>8268</v>
      </c>
      <c r="O426" s="11">
        <f t="shared" si="28"/>
        <v>7</v>
      </c>
      <c r="P426" s="12">
        <f t="shared" si="29"/>
        <v>41</v>
      </c>
      <c r="Q426" s="14" t="s">
        <v>8307</v>
      </c>
      <c r="R426" t="s">
        <v>8313</v>
      </c>
      <c r="S426" s="17">
        <f t="shared" si="30"/>
        <v>40934.376145833332</v>
      </c>
      <c r="T426" s="17">
        <f t="shared" si="31"/>
        <v>40994.334479166668</v>
      </c>
      <c r="U426">
        <f>MONTH(Table1[[#This Row],[Launched]])</f>
        <v>1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8220</v>
      </c>
      <c r="G427" t="s">
        <v>8223</v>
      </c>
      <c r="H427" t="s">
        <v>8245</v>
      </c>
      <c r="I427" s="8">
        <v>1448660404</v>
      </c>
      <c r="J427">
        <v>1443472804</v>
      </c>
      <c r="K427" t="b">
        <v>0</v>
      </c>
      <c r="L427" s="10">
        <v>2</v>
      </c>
      <c r="M427" t="b">
        <v>0</v>
      </c>
      <c r="N427" t="s">
        <v>8268</v>
      </c>
      <c r="O427" s="11">
        <f t="shared" si="28"/>
        <v>0</v>
      </c>
      <c r="P427" s="12">
        <f t="shared" si="29"/>
        <v>3</v>
      </c>
      <c r="Q427" s="14" t="s">
        <v>8307</v>
      </c>
      <c r="R427" t="s">
        <v>8313</v>
      </c>
      <c r="S427" s="17">
        <f t="shared" si="30"/>
        <v>42275.861157407402</v>
      </c>
      <c r="T427" s="17">
        <f t="shared" si="31"/>
        <v>42335.902824074074</v>
      </c>
      <c r="U427">
        <f>MONTH(Table1[[#This Row],[Launched]])</f>
        <v>9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8220</v>
      </c>
      <c r="G428" t="s">
        <v>8223</v>
      </c>
      <c r="H428" t="s">
        <v>8245</v>
      </c>
      <c r="I428" s="8">
        <v>1456851914</v>
      </c>
      <c r="J428">
        <v>1454259914</v>
      </c>
      <c r="K428" t="b">
        <v>0</v>
      </c>
      <c r="L428" s="10">
        <v>8</v>
      </c>
      <c r="M428" t="b">
        <v>0</v>
      </c>
      <c r="N428" t="s">
        <v>8268</v>
      </c>
      <c r="O428" s="11">
        <f t="shared" si="28"/>
        <v>1</v>
      </c>
      <c r="P428" s="12">
        <f t="shared" si="29"/>
        <v>17</v>
      </c>
      <c r="Q428" s="14" t="s">
        <v>8307</v>
      </c>
      <c r="R428" t="s">
        <v>8313</v>
      </c>
      <c r="S428" s="17">
        <f t="shared" si="30"/>
        <v>42400.711967592593</v>
      </c>
      <c r="T428" s="17">
        <f t="shared" si="31"/>
        <v>42430.711967592593</v>
      </c>
      <c r="U428">
        <f>MONTH(Table1[[#This Row],[Launched]])</f>
        <v>1</v>
      </c>
    </row>
    <row r="429" spans="1:21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8220</v>
      </c>
      <c r="G429" t="s">
        <v>8223</v>
      </c>
      <c r="H429" t="s">
        <v>8245</v>
      </c>
      <c r="I429" s="8">
        <v>1445540340</v>
      </c>
      <c r="J429">
        <v>1444340940</v>
      </c>
      <c r="K429" t="b">
        <v>0</v>
      </c>
      <c r="L429" s="10">
        <v>0</v>
      </c>
      <c r="M429" t="b">
        <v>0</v>
      </c>
      <c r="N429" t="s">
        <v>8268</v>
      </c>
      <c r="O429" s="11">
        <f t="shared" si="28"/>
        <v>0</v>
      </c>
      <c r="P429" s="12" t="str">
        <f t="shared" si="29"/>
        <v>No Backers</v>
      </c>
      <c r="Q429" s="14" t="s">
        <v>8307</v>
      </c>
      <c r="R429" t="s">
        <v>8313</v>
      </c>
      <c r="S429" s="17">
        <f t="shared" si="30"/>
        <v>42285.909027777772</v>
      </c>
      <c r="T429" s="17">
        <f t="shared" si="31"/>
        <v>42299.790972222225</v>
      </c>
      <c r="U429">
        <f>MONTH(Table1[[#This Row],[Launched]])</f>
        <v>10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8220</v>
      </c>
      <c r="G430" t="s">
        <v>8223</v>
      </c>
      <c r="H430" t="s">
        <v>8245</v>
      </c>
      <c r="I430" s="8">
        <v>1402956000</v>
      </c>
      <c r="J430">
        <v>1400523845</v>
      </c>
      <c r="K430" t="b">
        <v>0</v>
      </c>
      <c r="L430" s="10">
        <v>13</v>
      </c>
      <c r="M430" t="b">
        <v>0</v>
      </c>
      <c r="N430" t="s">
        <v>8268</v>
      </c>
      <c r="O430" s="11">
        <f t="shared" si="28"/>
        <v>6</v>
      </c>
      <c r="P430" s="12">
        <f t="shared" si="29"/>
        <v>52</v>
      </c>
      <c r="Q430" s="14" t="s">
        <v>8307</v>
      </c>
      <c r="R430" t="s">
        <v>8313</v>
      </c>
      <c r="S430" s="17">
        <f t="shared" si="30"/>
        <v>41778.766724537039</v>
      </c>
      <c r="T430" s="17">
        <f t="shared" si="31"/>
        <v>41806.916666666664</v>
      </c>
      <c r="U430">
        <f>MONTH(Table1[[#This Row],[Launched]])</f>
        <v>5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8220</v>
      </c>
      <c r="G431" t="s">
        <v>8223</v>
      </c>
      <c r="H431" t="s">
        <v>8245</v>
      </c>
      <c r="I431" s="8">
        <v>1259297940</v>
      </c>
      <c r="J431">
        <v>1252964282</v>
      </c>
      <c r="K431" t="b">
        <v>0</v>
      </c>
      <c r="L431" s="10">
        <v>0</v>
      </c>
      <c r="M431" t="b">
        <v>0</v>
      </c>
      <c r="N431" t="s">
        <v>8268</v>
      </c>
      <c r="O431" s="11">
        <f t="shared" si="28"/>
        <v>0</v>
      </c>
      <c r="P431" s="12" t="str">
        <f t="shared" si="29"/>
        <v>No Backers</v>
      </c>
      <c r="Q431" s="14" t="s">
        <v>8307</v>
      </c>
      <c r="R431" t="s">
        <v>8313</v>
      </c>
      <c r="S431" s="17">
        <f t="shared" si="30"/>
        <v>40070.901412037041</v>
      </c>
      <c r="T431" s="17">
        <f t="shared" si="31"/>
        <v>40144.207638888889</v>
      </c>
      <c r="U431">
        <f>MONTH(Table1[[#This Row],[Launched]])</f>
        <v>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8220</v>
      </c>
      <c r="G432" t="s">
        <v>8223</v>
      </c>
      <c r="H432" t="s">
        <v>8245</v>
      </c>
      <c r="I432" s="8">
        <v>1378866867</v>
      </c>
      <c r="J432">
        <v>1377570867</v>
      </c>
      <c r="K432" t="b">
        <v>0</v>
      </c>
      <c r="L432" s="10">
        <v>5</v>
      </c>
      <c r="M432" t="b">
        <v>0</v>
      </c>
      <c r="N432" t="s">
        <v>8268</v>
      </c>
      <c r="O432" s="11">
        <f t="shared" si="28"/>
        <v>2</v>
      </c>
      <c r="P432" s="12">
        <f t="shared" si="29"/>
        <v>5</v>
      </c>
      <c r="Q432" s="14" t="s">
        <v>8307</v>
      </c>
      <c r="R432" t="s">
        <v>8313</v>
      </c>
      <c r="S432" s="17">
        <f t="shared" si="30"/>
        <v>41513.107256944444</v>
      </c>
      <c r="T432" s="17">
        <f t="shared" si="31"/>
        <v>41528.107256944444</v>
      </c>
      <c r="U432">
        <f>MONTH(Table1[[#This Row],[Launched]])</f>
        <v>8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8220</v>
      </c>
      <c r="G433" t="s">
        <v>8224</v>
      </c>
      <c r="H433" t="s">
        <v>8246</v>
      </c>
      <c r="I433" s="8">
        <v>1467752083</v>
      </c>
      <c r="J433">
        <v>1465160083</v>
      </c>
      <c r="K433" t="b">
        <v>0</v>
      </c>
      <c r="L433" s="10">
        <v>8</v>
      </c>
      <c r="M433" t="b">
        <v>0</v>
      </c>
      <c r="N433" t="s">
        <v>8268</v>
      </c>
      <c r="O433" s="11">
        <f t="shared" si="28"/>
        <v>14</v>
      </c>
      <c r="P433" s="12">
        <f t="shared" si="29"/>
        <v>52</v>
      </c>
      <c r="Q433" s="14" t="s">
        <v>8307</v>
      </c>
      <c r="R433" t="s">
        <v>8313</v>
      </c>
      <c r="S433" s="17">
        <f t="shared" si="30"/>
        <v>42526.871331018512</v>
      </c>
      <c r="T433" s="17">
        <f t="shared" si="31"/>
        <v>42556.871331018512</v>
      </c>
      <c r="U433">
        <f>MONTH(Table1[[#This Row],[Launched]])</f>
        <v>6</v>
      </c>
    </row>
    <row r="434" spans="1:21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8220</v>
      </c>
      <c r="G434" t="s">
        <v>8223</v>
      </c>
      <c r="H434" t="s">
        <v>8245</v>
      </c>
      <c r="I434" s="8">
        <v>1445448381</v>
      </c>
      <c r="J434">
        <v>1440264381</v>
      </c>
      <c r="K434" t="b">
        <v>0</v>
      </c>
      <c r="L434" s="10">
        <v>8</v>
      </c>
      <c r="M434" t="b">
        <v>0</v>
      </c>
      <c r="N434" t="s">
        <v>8268</v>
      </c>
      <c r="O434" s="11">
        <f t="shared" si="28"/>
        <v>10</v>
      </c>
      <c r="P434" s="12">
        <f t="shared" si="29"/>
        <v>71</v>
      </c>
      <c r="Q434" s="14" t="s">
        <v>8307</v>
      </c>
      <c r="R434" t="s">
        <v>8313</v>
      </c>
      <c r="S434" s="17">
        <f t="shared" si="30"/>
        <v>42238.726631944446</v>
      </c>
      <c r="T434" s="17">
        <f t="shared" si="31"/>
        <v>42298.726631944446</v>
      </c>
      <c r="U434">
        <f>MONTH(Table1[[#This Row],[Launched]])</f>
        <v>8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8220</v>
      </c>
      <c r="G435" t="s">
        <v>8223</v>
      </c>
      <c r="H435" t="s">
        <v>8245</v>
      </c>
      <c r="I435" s="8">
        <v>1444576022</v>
      </c>
      <c r="J435">
        <v>1439392022</v>
      </c>
      <c r="K435" t="b">
        <v>0</v>
      </c>
      <c r="L435" s="10">
        <v>0</v>
      </c>
      <c r="M435" t="b">
        <v>0</v>
      </c>
      <c r="N435" t="s">
        <v>8268</v>
      </c>
      <c r="O435" s="11">
        <f t="shared" si="28"/>
        <v>0</v>
      </c>
      <c r="P435" s="12" t="str">
        <f t="shared" si="29"/>
        <v>No Backers</v>
      </c>
      <c r="Q435" s="14" t="s">
        <v>8307</v>
      </c>
      <c r="R435" t="s">
        <v>8313</v>
      </c>
      <c r="S435" s="17">
        <f t="shared" si="30"/>
        <v>42228.629884259266</v>
      </c>
      <c r="T435" s="17">
        <f t="shared" si="31"/>
        <v>42288.629884259266</v>
      </c>
      <c r="U435">
        <f>MONTH(Table1[[#This Row],[Launched]])</f>
        <v>8</v>
      </c>
    </row>
    <row r="436" spans="1:21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8220</v>
      </c>
      <c r="G436" t="s">
        <v>8223</v>
      </c>
      <c r="H436" t="s">
        <v>8245</v>
      </c>
      <c r="I436" s="8">
        <v>1385931702</v>
      </c>
      <c r="J436">
        <v>1383076902</v>
      </c>
      <c r="K436" t="b">
        <v>0</v>
      </c>
      <c r="L436" s="10">
        <v>2</v>
      </c>
      <c r="M436" t="b">
        <v>0</v>
      </c>
      <c r="N436" t="s">
        <v>8268</v>
      </c>
      <c r="O436" s="11">
        <f t="shared" si="28"/>
        <v>5</v>
      </c>
      <c r="P436" s="12">
        <f t="shared" si="29"/>
        <v>63</v>
      </c>
      <c r="Q436" s="14" t="s">
        <v>8307</v>
      </c>
      <c r="R436" t="s">
        <v>8313</v>
      </c>
      <c r="S436" s="17">
        <f t="shared" si="30"/>
        <v>41576.834513888891</v>
      </c>
      <c r="T436" s="17">
        <f t="shared" si="31"/>
        <v>41609.876180555555</v>
      </c>
      <c r="U436">
        <f>MONTH(Table1[[#This Row],[Launched]])</f>
        <v>10</v>
      </c>
    </row>
    <row r="437" spans="1:21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8220</v>
      </c>
      <c r="G437" t="s">
        <v>8223</v>
      </c>
      <c r="H437" t="s">
        <v>8245</v>
      </c>
      <c r="I437" s="8">
        <v>1379094980</v>
      </c>
      <c r="J437">
        <v>1376502980</v>
      </c>
      <c r="K437" t="b">
        <v>0</v>
      </c>
      <c r="L437" s="10">
        <v>3</v>
      </c>
      <c r="M437" t="b">
        <v>0</v>
      </c>
      <c r="N437" t="s">
        <v>8268</v>
      </c>
      <c r="O437" s="11">
        <f t="shared" si="28"/>
        <v>0</v>
      </c>
      <c r="P437" s="12">
        <f t="shared" si="29"/>
        <v>1</v>
      </c>
      <c r="Q437" s="14" t="s">
        <v>8307</v>
      </c>
      <c r="R437" t="s">
        <v>8313</v>
      </c>
      <c r="S437" s="17">
        <f t="shared" si="30"/>
        <v>41500.747453703705</v>
      </c>
      <c r="T437" s="17">
        <f t="shared" si="31"/>
        <v>41530.747453703705</v>
      </c>
      <c r="U437">
        <f>MONTH(Table1[[#This Row],[Launched]])</f>
        <v>8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8220</v>
      </c>
      <c r="G438" t="s">
        <v>8223</v>
      </c>
      <c r="H438" t="s">
        <v>8245</v>
      </c>
      <c r="I438" s="8">
        <v>1375260113</v>
      </c>
      <c r="J438">
        <v>1372668113</v>
      </c>
      <c r="K438" t="b">
        <v>0</v>
      </c>
      <c r="L438" s="10">
        <v>0</v>
      </c>
      <c r="M438" t="b">
        <v>0</v>
      </c>
      <c r="N438" t="s">
        <v>8268</v>
      </c>
      <c r="O438" s="11">
        <f t="shared" si="28"/>
        <v>0</v>
      </c>
      <c r="P438" s="12" t="str">
        <f t="shared" si="29"/>
        <v>No Backers</v>
      </c>
      <c r="Q438" s="14" t="s">
        <v>8307</v>
      </c>
      <c r="R438" t="s">
        <v>8313</v>
      </c>
      <c r="S438" s="17">
        <f t="shared" si="30"/>
        <v>41456.36241898148</v>
      </c>
      <c r="T438" s="17">
        <f t="shared" si="31"/>
        <v>41486.36241898148</v>
      </c>
      <c r="U438">
        <f>MONTH(Table1[[#This Row],[Launched]])</f>
        <v>7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8220</v>
      </c>
      <c r="G439" t="s">
        <v>8228</v>
      </c>
      <c r="H439" t="s">
        <v>8250</v>
      </c>
      <c r="I439" s="8">
        <v>1475912326</v>
      </c>
      <c r="J439">
        <v>1470728326</v>
      </c>
      <c r="K439" t="b">
        <v>0</v>
      </c>
      <c r="L439" s="10">
        <v>0</v>
      </c>
      <c r="M439" t="b">
        <v>0</v>
      </c>
      <c r="N439" t="s">
        <v>8268</v>
      </c>
      <c r="O439" s="11">
        <f t="shared" si="28"/>
        <v>0</v>
      </c>
      <c r="P439" s="12" t="str">
        <f t="shared" si="29"/>
        <v>No Backers</v>
      </c>
      <c r="Q439" s="14" t="s">
        <v>8307</v>
      </c>
      <c r="R439" t="s">
        <v>8313</v>
      </c>
      <c r="S439" s="17">
        <f t="shared" si="30"/>
        <v>42591.31858796296</v>
      </c>
      <c r="T439" s="17">
        <f t="shared" si="31"/>
        <v>42651.31858796296</v>
      </c>
      <c r="U439">
        <f>MONTH(Table1[[#This Row],[Launched]])</f>
        <v>8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8220</v>
      </c>
      <c r="G440" t="s">
        <v>8223</v>
      </c>
      <c r="H440" t="s">
        <v>8245</v>
      </c>
      <c r="I440" s="8">
        <v>1447830958</v>
      </c>
      <c r="J440">
        <v>1445235358</v>
      </c>
      <c r="K440" t="b">
        <v>0</v>
      </c>
      <c r="L440" s="10">
        <v>11</v>
      </c>
      <c r="M440" t="b">
        <v>0</v>
      </c>
      <c r="N440" t="s">
        <v>8268</v>
      </c>
      <c r="O440" s="11">
        <f t="shared" si="28"/>
        <v>9</v>
      </c>
      <c r="P440" s="12">
        <f t="shared" si="29"/>
        <v>171</v>
      </c>
      <c r="Q440" s="14" t="s">
        <v>8307</v>
      </c>
      <c r="R440" t="s">
        <v>8313</v>
      </c>
      <c r="S440" s="17">
        <f t="shared" si="30"/>
        <v>42296.261087962965</v>
      </c>
      <c r="T440" s="17">
        <f t="shared" si="31"/>
        <v>42326.302754629629</v>
      </c>
      <c r="U440">
        <f>MONTH(Table1[[#This Row],[Launched]])</f>
        <v>10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8220</v>
      </c>
      <c r="G441" t="s">
        <v>8223</v>
      </c>
      <c r="H441" t="s">
        <v>8245</v>
      </c>
      <c r="I441" s="8">
        <v>1413569818</v>
      </c>
      <c r="J441">
        <v>1412705818</v>
      </c>
      <c r="K441" t="b">
        <v>0</v>
      </c>
      <c r="L441" s="10">
        <v>0</v>
      </c>
      <c r="M441" t="b">
        <v>0</v>
      </c>
      <c r="N441" t="s">
        <v>8268</v>
      </c>
      <c r="O441" s="11">
        <f t="shared" si="28"/>
        <v>0</v>
      </c>
      <c r="P441" s="12" t="str">
        <f t="shared" si="29"/>
        <v>No Backers</v>
      </c>
      <c r="Q441" s="14" t="s">
        <v>8307</v>
      </c>
      <c r="R441" t="s">
        <v>8313</v>
      </c>
      <c r="S441" s="17">
        <f t="shared" si="30"/>
        <v>41919.761782407404</v>
      </c>
      <c r="T441" s="17">
        <f t="shared" si="31"/>
        <v>41929.761782407404</v>
      </c>
      <c r="U441">
        <f>MONTH(Table1[[#This Row],[Launched]])</f>
        <v>10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8220</v>
      </c>
      <c r="G442" t="s">
        <v>8223</v>
      </c>
      <c r="H442" t="s">
        <v>8245</v>
      </c>
      <c r="I442" s="8">
        <v>1458859153</v>
      </c>
      <c r="J442">
        <v>1456270753</v>
      </c>
      <c r="K442" t="b">
        <v>0</v>
      </c>
      <c r="L442" s="10">
        <v>1</v>
      </c>
      <c r="M442" t="b">
        <v>0</v>
      </c>
      <c r="N442" t="s">
        <v>8268</v>
      </c>
      <c r="O442" s="11">
        <f t="shared" si="28"/>
        <v>0</v>
      </c>
      <c r="P442" s="12">
        <f t="shared" si="29"/>
        <v>5</v>
      </c>
      <c r="Q442" s="14" t="s">
        <v>8307</v>
      </c>
      <c r="R442" t="s">
        <v>8313</v>
      </c>
      <c r="S442" s="17">
        <f t="shared" si="30"/>
        <v>42423.985567129625</v>
      </c>
      <c r="T442" s="17">
        <f t="shared" si="31"/>
        <v>42453.943900462968</v>
      </c>
      <c r="U442">
        <f>MONTH(Table1[[#This Row],[Launched]])</f>
        <v>2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8220</v>
      </c>
      <c r="G443" t="s">
        <v>8224</v>
      </c>
      <c r="H443" t="s">
        <v>8246</v>
      </c>
      <c r="I443" s="8">
        <v>1383418996</v>
      </c>
      <c r="J443">
        <v>1380826996</v>
      </c>
      <c r="K443" t="b">
        <v>0</v>
      </c>
      <c r="L443" s="10">
        <v>0</v>
      </c>
      <c r="M443" t="b">
        <v>0</v>
      </c>
      <c r="N443" t="s">
        <v>8268</v>
      </c>
      <c r="O443" s="11">
        <f t="shared" si="28"/>
        <v>0</v>
      </c>
      <c r="P443" s="12" t="str">
        <f t="shared" si="29"/>
        <v>No Backers</v>
      </c>
      <c r="Q443" s="14" t="s">
        <v>8307</v>
      </c>
      <c r="R443" t="s">
        <v>8313</v>
      </c>
      <c r="S443" s="17">
        <f t="shared" si="30"/>
        <v>41550.793935185182</v>
      </c>
      <c r="T443" s="17">
        <f t="shared" si="31"/>
        <v>41580.793935185182</v>
      </c>
      <c r="U443">
        <f>MONTH(Table1[[#This Row],[Launched]])</f>
        <v>10</v>
      </c>
    </row>
    <row r="444" spans="1:21" ht="15.6" x14ac:dyDescent="0.3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8220</v>
      </c>
      <c r="G444" t="s">
        <v>8223</v>
      </c>
      <c r="H444" t="s">
        <v>8245</v>
      </c>
      <c r="I444" s="8">
        <v>1424380783</v>
      </c>
      <c r="J444">
        <v>1421788783</v>
      </c>
      <c r="K444" t="b">
        <v>0</v>
      </c>
      <c r="L444" s="10">
        <v>17</v>
      </c>
      <c r="M444" t="b">
        <v>0</v>
      </c>
      <c r="N444" t="s">
        <v>8268</v>
      </c>
      <c r="O444" s="11">
        <f t="shared" si="28"/>
        <v>39</v>
      </c>
      <c r="P444" s="12">
        <f t="shared" si="29"/>
        <v>394</v>
      </c>
      <c r="Q444" s="14" t="s">
        <v>8307</v>
      </c>
      <c r="R444" t="s">
        <v>8313</v>
      </c>
      <c r="S444" s="17">
        <f t="shared" si="30"/>
        <v>42024.888692129629</v>
      </c>
      <c r="T444" s="17">
        <f t="shared" si="31"/>
        <v>42054.888692129629</v>
      </c>
      <c r="U444">
        <f>MONTH(Table1[[#This Row],[Launched]])</f>
        <v>1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8220</v>
      </c>
      <c r="G445" t="s">
        <v>8228</v>
      </c>
      <c r="H445" t="s">
        <v>8250</v>
      </c>
      <c r="I445" s="8">
        <v>1391991701</v>
      </c>
      <c r="J445">
        <v>1389399701</v>
      </c>
      <c r="K445" t="b">
        <v>0</v>
      </c>
      <c r="L445" s="10">
        <v>2</v>
      </c>
      <c r="M445" t="b">
        <v>0</v>
      </c>
      <c r="N445" t="s">
        <v>8268</v>
      </c>
      <c r="O445" s="11">
        <f t="shared" si="28"/>
        <v>0</v>
      </c>
      <c r="P445" s="12">
        <f t="shared" si="29"/>
        <v>5</v>
      </c>
      <c r="Q445" s="14" t="s">
        <v>8307</v>
      </c>
      <c r="R445" t="s">
        <v>8313</v>
      </c>
      <c r="S445" s="17">
        <f t="shared" si="30"/>
        <v>41650.015057870369</v>
      </c>
      <c r="T445" s="17">
        <f t="shared" si="31"/>
        <v>41680.015057870369</v>
      </c>
      <c r="U445">
        <f>MONTH(Table1[[#This Row],[Launched]])</f>
        <v>1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8220</v>
      </c>
      <c r="G446" t="s">
        <v>8223</v>
      </c>
      <c r="H446" t="s">
        <v>8245</v>
      </c>
      <c r="I446" s="8">
        <v>1329342361</v>
      </c>
      <c r="J446">
        <v>1324158361</v>
      </c>
      <c r="K446" t="b">
        <v>0</v>
      </c>
      <c r="L446" s="10">
        <v>1</v>
      </c>
      <c r="M446" t="b">
        <v>0</v>
      </c>
      <c r="N446" t="s">
        <v>8268</v>
      </c>
      <c r="O446" s="11">
        <f t="shared" si="28"/>
        <v>5</v>
      </c>
      <c r="P446" s="12">
        <f t="shared" si="29"/>
        <v>50</v>
      </c>
      <c r="Q446" s="14" t="s">
        <v>8307</v>
      </c>
      <c r="R446" t="s">
        <v>8313</v>
      </c>
      <c r="S446" s="17">
        <f t="shared" si="30"/>
        <v>40894.906956018516</v>
      </c>
      <c r="T446" s="17">
        <f t="shared" si="31"/>
        <v>40954.906956018516</v>
      </c>
      <c r="U446">
        <f>MONTH(Table1[[#This Row],[Launched]])</f>
        <v>12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8220</v>
      </c>
      <c r="G447" t="s">
        <v>8223</v>
      </c>
      <c r="H447" t="s">
        <v>8245</v>
      </c>
      <c r="I447" s="8">
        <v>1432195375</v>
      </c>
      <c r="J447">
        <v>1430899375</v>
      </c>
      <c r="K447" t="b">
        <v>0</v>
      </c>
      <c r="L447" s="10">
        <v>2</v>
      </c>
      <c r="M447" t="b">
        <v>0</v>
      </c>
      <c r="N447" t="s">
        <v>8268</v>
      </c>
      <c r="O447" s="11">
        <f t="shared" si="28"/>
        <v>0</v>
      </c>
      <c r="P447" s="12">
        <f t="shared" si="29"/>
        <v>1</v>
      </c>
      <c r="Q447" s="14" t="s">
        <v>8307</v>
      </c>
      <c r="R447" t="s">
        <v>8313</v>
      </c>
      <c r="S447" s="17">
        <f t="shared" si="30"/>
        <v>42130.335358796292</v>
      </c>
      <c r="T447" s="17">
        <f t="shared" si="31"/>
        <v>42145.335358796292</v>
      </c>
      <c r="U447">
        <f>MONTH(Table1[[#This Row],[Launched]])</f>
        <v>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8220</v>
      </c>
      <c r="G448" t="s">
        <v>8223</v>
      </c>
      <c r="H448" t="s">
        <v>8245</v>
      </c>
      <c r="I448" s="8">
        <v>1425434420</v>
      </c>
      <c r="J448">
        <v>1422842420</v>
      </c>
      <c r="K448" t="b">
        <v>0</v>
      </c>
      <c r="L448" s="10">
        <v>16</v>
      </c>
      <c r="M448" t="b">
        <v>0</v>
      </c>
      <c r="N448" t="s">
        <v>8268</v>
      </c>
      <c r="O448" s="11">
        <f t="shared" si="28"/>
        <v>7</v>
      </c>
      <c r="P448" s="12">
        <f t="shared" si="29"/>
        <v>48</v>
      </c>
      <c r="Q448" s="14" t="s">
        <v>8307</v>
      </c>
      <c r="R448" t="s">
        <v>8313</v>
      </c>
      <c r="S448" s="17">
        <f t="shared" si="30"/>
        <v>42037.083564814813</v>
      </c>
      <c r="T448" s="17">
        <f t="shared" si="31"/>
        <v>42067.083564814813</v>
      </c>
      <c r="U448">
        <f>MONTH(Table1[[#This Row],[Launched]])</f>
        <v>2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8220</v>
      </c>
      <c r="G449" t="s">
        <v>8224</v>
      </c>
      <c r="H449" t="s">
        <v>8246</v>
      </c>
      <c r="I449" s="8">
        <v>1364041163</v>
      </c>
      <c r="J449">
        <v>1361884763</v>
      </c>
      <c r="K449" t="b">
        <v>0</v>
      </c>
      <c r="L449" s="10">
        <v>1</v>
      </c>
      <c r="M449" t="b">
        <v>0</v>
      </c>
      <c r="N449" t="s">
        <v>8268</v>
      </c>
      <c r="O449" s="11">
        <f t="shared" si="28"/>
        <v>0</v>
      </c>
      <c r="P449" s="12">
        <f t="shared" si="29"/>
        <v>5</v>
      </c>
      <c r="Q449" s="14" t="s">
        <v>8307</v>
      </c>
      <c r="R449" t="s">
        <v>8313</v>
      </c>
      <c r="S449" s="17">
        <f t="shared" si="30"/>
        <v>41331.555127314816</v>
      </c>
      <c r="T449" s="17">
        <f t="shared" si="31"/>
        <v>41356.513460648144</v>
      </c>
      <c r="U449">
        <f>MONTH(Table1[[#This Row],[Launched]])</f>
        <v>2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8220</v>
      </c>
      <c r="G450" t="s">
        <v>8223</v>
      </c>
      <c r="H450" t="s">
        <v>8245</v>
      </c>
      <c r="I450" s="8">
        <v>1400091095</v>
      </c>
      <c r="J450">
        <v>1398363095</v>
      </c>
      <c r="K450" t="b">
        <v>0</v>
      </c>
      <c r="L450" s="10">
        <v>4</v>
      </c>
      <c r="M450" t="b">
        <v>0</v>
      </c>
      <c r="N450" t="s">
        <v>8268</v>
      </c>
      <c r="O450" s="11">
        <f t="shared" ref="O450:O513" si="32">ROUND(E450/D450*100,0)</f>
        <v>3</v>
      </c>
      <c r="P450" s="12">
        <f t="shared" si="29"/>
        <v>21</v>
      </c>
      <c r="Q450" s="14" t="s">
        <v>8307</v>
      </c>
      <c r="R450" t="s">
        <v>8313</v>
      </c>
      <c r="S450" s="17">
        <f t="shared" si="30"/>
        <v>41753.758043981477</v>
      </c>
      <c r="T450" s="17">
        <f t="shared" si="31"/>
        <v>41773.758043981477</v>
      </c>
      <c r="U450">
        <f>MONTH(Table1[[#This Row],[Launched]])</f>
        <v>4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8220</v>
      </c>
      <c r="G451" t="s">
        <v>8224</v>
      </c>
      <c r="H451" t="s">
        <v>8246</v>
      </c>
      <c r="I451" s="8">
        <v>1382017085</v>
      </c>
      <c r="J451">
        <v>1379425085</v>
      </c>
      <c r="K451" t="b">
        <v>0</v>
      </c>
      <c r="L451" s="10">
        <v>5</v>
      </c>
      <c r="M451" t="b">
        <v>0</v>
      </c>
      <c r="N451" t="s">
        <v>8268</v>
      </c>
      <c r="O451" s="11">
        <f t="shared" si="32"/>
        <v>2</v>
      </c>
      <c r="P451" s="12">
        <f t="shared" ref="P451:P514" si="33">IFERROR(ROUND(E451/L451,),"No Backers")</f>
        <v>9</v>
      </c>
      <c r="Q451" s="14" t="s">
        <v>8307</v>
      </c>
      <c r="R451" t="s">
        <v>8313</v>
      </c>
      <c r="S451" s="17">
        <f t="shared" ref="S451:S514" si="34">(((J451/60)/60)/24)+DATE(1970,1,1)</f>
        <v>41534.568113425928</v>
      </c>
      <c r="T451" s="17">
        <f t="shared" ref="T451:T514" si="35">(((I451/60)/60)/24)+DATE(1970,1,1)</f>
        <v>41564.568113425928</v>
      </c>
      <c r="U451">
        <f>MONTH(Table1[[#This Row],[Launched]])</f>
        <v>9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8220</v>
      </c>
      <c r="G452" t="s">
        <v>8223</v>
      </c>
      <c r="H452" t="s">
        <v>8245</v>
      </c>
      <c r="I452" s="8">
        <v>1392417800</v>
      </c>
      <c r="J452">
        <v>1389825800</v>
      </c>
      <c r="K452" t="b">
        <v>0</v>
      </c>
      <c r="L452" s="10">
        <v>7</v>
      </c>
      <c r="M452" t="b">
        <v>0</v>
      </c>
      <c r="N452" t="s">
        <v>8268</v>
      </c>
      <c r="O452" s="11">
        <f t="shared" si="32"/>
        <v>1</v>
      </c>
      <c r="P452" s="12">
        <f t="shared" si="33"/>
        <v>57</v>
      </c>
      <c r="Q452" s="14" t="s">
        <v>8307</v>
      </c>
      <c r="R452" t="s">
        <v>8313</v>
      </c>
      <c r="S452" s="17">
        <f t="shared" si="34"/>
        <v>41654.946759259255</v>
      </c>
      <c r="T452" s="17">
        <f t="shared" si="35"/>
        <v>41684.946759259255</v>
      </c>
      <c r="U452">
        <f>MONTH(Table1[[#This Row],[Launched]])</f>
        <v>1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8220</v>
      </c>
      <c r="G453" t="s">
        <v>8223</v>
      </c>
      <c r="H453" t="s">
        <v>8245</v>
      </c>
      <c r="I453" s="8">
        <v>1390669791</v>
      </c>
      <c r="J453">
        <v>1388077791</v>
      </c>
      <c r="K453" t="b">
        <v>0</v>
      </c>
      <c r="L453" s="10">
        <v>0</v>
      </c>
      <c r="M453" t="b">
        <v>0</v>
      </c>
      <c r="N453" t="s">
        <v>8268</v>
      </c>
      <c r="O453" s="11">
        <f t="shared" si="32"/>
        <v>0</v>
      </c>
      <c r="P453" s="12" t="str">
        <f t="shared" si="33"/>
        <v>No Backers</v>
      </c>
      <c r="Q453" s="14" t="s">
        <v>8307</v>
      </c>
      <c r="R453" t="s">
        <v>8313</v>
      </c>
      <c r="S453" s="17">
        <f t="shared" si="34"/>
        <v>41634.715173611112</v>
      </c>
      <c r="T453" s="17">
        <f t="shared" si="35"/>
        <v>41664.715173611112</v>
      </c>
      <c r="U453">
        <f>MONTH(Table1[[#This Row],[Launched]])</f>
        <v>12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8220</v>
      </c>
      <c r="G454" t="s">
        <v>8223</v>
      </c>
      <c r="H454" t="s">
        <v>8245</v>
      </c>
      <c r="I454" s="8">
        <v>1431536015</v>
      </c>
      <c r="J454">
        <v>1428944015</v>
      </c>
      <c r="K454" t="b">
        <v>0</v>
      </c>
      <c r="L454" s="10">
        <v>12</v>
      </c>
      <c r="M454" t="b">
        <v>0</v>
      </c>
      <c r="N454" t="s">
        <v>8268</v>
      </c>
      <c r="O454" s="11">
        <f t="shared" si="32"/>
        <v>64</v>
      </c>
      <c r="P454" s="12">
        <f t="shared" si="33"/>
        <v>40</v>
      </c>
      <c r="Q454" s="14" t="s">
        <v>8307</v>
      </c>
      <c r="R454" t="s">
        <v>8313</v>
      </c>
      <c r="S454" s="17">
        <f t="shared" si="34"/>
        <v>42107.703877314809</v>
      </c>
      <c r="T454" s="17">
        <f t="shared" si="35"/>
        <v>42137.703877314809</v>
      </c>
      <c r="U454">
        <f>MONTH(Table1[[#This Row],[Launched]])</f>
        <v>4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8220</v>
      </c>
      <c r="G455" t="s">
        <v>8223</v>
      </c>
      <c r="H455" t="s">
        <v>8245</v>
      </c>
      <c r="I455" s="8">
        <v>1424375279</v>
      </c>
      <c r="J455">
        <v>1422992879</v>
      </c>
      <c r="K455" t="b">
        <v>0</v>
      </c>
      <c r="L455" s="10">
        <v>2</v>
      </c>
      <c r="M455" t="b">
        <v>0</v>
      </c>
      <c r="N455" t="s">
        <v>8268</v>
      </c>
      <c r="O455" s="11">
        <f t="shared" si="32"/>
        <v>0</v>
      </c>
      <c r="P455" s="12">
        <f t="shared" si="33"/>
        <v>13</v>
      </c>
      <c r="Q455" s="14" t="s">
        <v>8307</v>
      </c>
      <c r="R455" t="s">
        <v>8313</v>
      </c>
      <c r="S455" s="17">
        <f t="shared" si="34"/>
        <v>42038.824988425928</v>
      </c>
      <c r="T455" s="17">
        <f t="shared" si="35"/>
        <v>42054.824988425928</v>
      </c>
      <c r="U455">
        <f>MONTH(Table1[[#This Row],[Launched]])</f>
        <v>2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8220</v>
      </c>
      <c r="G456" t="s">
        <v>8223</v>
      </c>
      <c r="H456" t="s">
        <v>8245</v>
      </c>
      <c r="I456" s="8">
        <v>1417007640</v>
      </c>
      <c r="J456">
        <v>1414343571</v>
      </c>
      <c r="K456" t="b">
        <v>0</v>
      </c>
      <c r="L456" s="10">
        <v>5</v>
      </c>
      <c r="M456" t="b">
        <v>0</v>
      </c>
      <c r="N456" t="s">
        <v>8268</v>
      </c>
      <c r="O456" s="11">
        <f t="shared" si="32"/>
        <v>1</v>
      </c>
      <c r="P456" s="12">
        <f t="shared" si="33"/>
        <v>16</v>
      </c>
      <c r="Q456" s="14" t="s">
        <v>8307</v>
      </c>
      <c r="R456" t="s">
        <v>8313</v>
      </c>
      <c r="S456" s="17">
        <f t="shared" si="34"/>
        <v>41938.717256944445</v>
      </c>
      <c r="T456" s="17">
        <f t="shared" si="35"/>
        <v>41969.551388888889</v>
      </c>
      <c r="U456">
        <f>MONTH(Table1[[#This Row],[Launched]])</f>
        <v>10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8220</v>
      </c>
      <c r="G457" t="s">
        <v>8223</v>
      </c>
      <c r="H457" t="s">
        <v>8245</v>
      </c>
      <c r="I457" s="8">
        <v>1334622660</v>
      </c>
      <c r="J457">
        <v>1330733022</v>
      </c>
      <c r="K457" t="b">
        <v>0</v>
      </c>
      <c r="L457" s="10">
        <v>2</v>
      </c>
      <c r="M457" t="b">
        <v>0</v>
      </c>
      <c r="N457" t="s">
        <v>8268</v>
      </c>
      <c r="O457" s="11">
        <f t="shared" si="32"/>
        <v>0</v>
      </c>
      <c r="P457" s="12">
        <f t="shared" si="33"/>
        <v>23</v>
      </c>
      <c r="Q457" s="14" t="s">
        <v>8307</v>
      </c>
      <c r="R457" t="s">
        <v>8313</v>
      </c>
      <c r="S457" s="17">
        <f t="shared" si="34"/>
        <v>40971.002569444441</v>
      </c>
      <c r="T457" s="17">
        <f t="shared" si="35"/>
        <v>41016.021527777775</v>
      </c>
      <c r="U457">
        <f>MONTH(Table1[[#This Row],[Launched]])</f>
        <v>3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8220</v>
      </c>
      <c r="G458" t="s">
        <v>8223</v>
      </c>
      <c r="H458" t="s">
        <v>8245</v>
      </c>
      <c r="I458" s="8">
        <v>1382414340</v>
      </c>
      <c r="J458">
        <v>1380559201</v>
      </c>
      <c r="K458" t="b">
        <v>0</v>
      </c>
      <c r="L458" s="10">
        <v>3</v>
      </c>
      <c r="M458" t="b">
        <v>0</v>
      </c>
      <c r="N458" t="s">
        <v>8268</v>
      </c>
      <c r="O458" s="11">
        <f t="shared" si="32"/>
        <v>1</v>
      </c>
      <c r="P458" s="12">
        <f t="shared" si="33"/>
        <v>20</v>
      </c>
      <c r="Q458" s="14" t="s">
        <v>8307</v>
      </c>
      <c r="R458" t="s">
        <v>8313</v>
      </c>
      <c r="S458" s="17">
        <f t="shared" si="34"/>
        <v>41547.694456018515</v>
      </c>
      <c r="T458" s="17">
        <f t="shared" si="35"/>
        <v>41569.165972222225</v>
      </c>
      <c r="U458">
        <f>MONTH(Table1[[#This Row],[Launched]])</f>
        <v>9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8220</v>
      </c>
      <c r="G459" t="s">
        <v>8228</v>
      </c>
      <c r="H459" t="s">
        <v>8250</v>
      </c>
      <c r="I459" s="8">
        <v>1408213512</v>
      </c>
      <c r="J459">
        <v>1405621512</v>
      </c>
      <c r="K459" t="b">
        <v>0</v>
      </c>
      <c r="L459" s="10">
        <v>0</v>
      </c>
      <c r="M459" t="b">
        <v>0</v>
      </c>
      <c r="N459" t="s">
        <v>8268</v>
      </c>
      <c r="O459" s="11">
        <f t="shared" si="32"/>
        <v>0</v>
      </c>
      <c r="P459" s="12" t="str">
        <f t="shared" si="33"/>
        <v>No Backers</v>
      </c>
      <c r="Q459" s="14" t="s">
        <v>8307</v>
      </c>
      <c r="R459" t="s">
        <v>8313</v>
      </c>
      <c r="S459" s="17">
        <f t="shared" si="34"/>
        <v>41837.767500000002</v>
      </c>
      <c r="T459" s="17">
        <f t="shared" si="35"/>
        <v>41867.767500000002</v>
      </c>
      <c r="U459">
        <f>MONTH(Table1[[#This Row],[Launched]])</f>
        <v>7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8220</v>
      </c>
      <c r="G460" t="s">
        <v>8224</v>
      </c>
      <c r="H460" t="s">
        <v>8246</v>
      </c>
      <c r="I460" s="8">
        <v>1368550060</v>
      </c>
      <c r="J460">
        <v>1365958060</v>
      </c>
      <c r="K460" t="b">
        <v>0</v>
      </c>
      <c r="L460" s="10">
        <v>49</v>
      </c>
      <c r="M460" t="b">
        <v>0</v>
      </c>
      <c r="N460" t="s">
        <v>8268</v>
      </c>
      <c r="O460" s="11">
        <f t="shared" si="32"/>
        <v>8</v>
      </c>
      <c r="P460" s="12">
        <f t="shared" si="33"/>
        <v>17</v>
      </c>
      <c r="Q460" s="14" t="s">
        <v>8307</v>
      </c>
      <c r="R460" t="s">
        <v>8313</v>
      </c>
      <c r="S460" s="17">
        <f t="shared" si="34"/>
        <v>41378.69976851852</v>
      </c>
      <c r="T460" s="17">
        <f t="shared" si="35"/>
        <v>41408.69976851852</v>
      </c>
      <c r="U460">
        <f>MONTH(Table1[[#This Row],[Launched]])</f>
        <v>4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8220</v>
      </c>
      <c r="G461" t="s">
        <v>8223</v>
      </c>
      <c r="H461" t="s">
        <v>8245</v>
      </c>
      <c r="I461" s="8">
        <v>1321201327</v>
      </c>
      <c r="J461">
        <v>1316013727</v>
      </c>
      <c r="K461" t="b">
        <v>0</v>
      </c>
      <c r="L461" s="10">
        <v>1</v>
      </c>
      <c r="M461" t="b">
        <v>0</v>
      </c>
      <c r="N461" t="s">
        <v>8268</v>
      </c>
      <c r="O461" s="11">
        <f t="shared" si="32"/>
        <v>0</v>
      </c>
      <c r="P461" s="12">
        <f t="shared" si="33"/>
        <v>25</v>
      </c>
      <c r="Q461" s="14" t="s">
        <v>8307</v>
      </c>
      <c r="R461" t="s">
        <v>8313</v>
      </c>
      <c r="S461" s="17">
        <f t="shared" si="34"/>
        <v>40800.6403587963</v>
      </c>
      <c r="T461" s="17">
        <f t="shared" si="35"/>
        <v>40860.682025462964</v>
      </c>
      <c r="U461">
        <f>MONTH(Table1[[#This Row],[Launched]])</f>
        <v>9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8220</v>
      </c>
      <c r="G462" t="s">
        <v>8223</v>
      </c>
      <c r="H462" t="s">
        <v>8245</v>
      </c>
      <c r="I462" s="8">
        <v>1401595200</v>
      </c>
      <c r="J462">
        <v>1398862875</v>
      </c>
      <c r="K462" t="b">
        <v>0</v>
      </c>
      <c r="L462" s="10">
        <v>2</v>
      </c>
      <c r="M462" t="b">
        <v>0</v>
      </c>
      <c r="N462" t="s">
        <v>8268</v>
      </c>
      <c r="O462" s="11">
        <f t="shared" si="32"/>
        <v>0</v>
      </c>
      <c r="P462" s="12">
        <f t="shared" si="33"/>
        <v>13</v>
      </c>
      <c r="Q462" s="14" t="s">
        <v>8307</v>
      </c>
      <c r="R462" t="s">
        <v>8313</v>
      </c>
      <c r="S462" s="17">
        <f t="shared" si="34"/>
        <v>41759.542534722219</v>
      </c>
      <c r="T462" s="17">
        <f t="shared" si="35"/>
        <v>41791.166666666664</v>
      </c>
      <c r="U462">
        <f>MONTH(Table1[[#This Row],[Launched]])</f>
        <v>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8220</v>
      </c>
      <c r="G463" t="s">
        <v>8224</v>
      </c>
      <c r="H463" t="s">
        <v>8246</v>
      </c>
      <c r="I463" s="8">
        <v>1370204367</v>
      </c>
      <c r="J463">
        <v>1368476367</v>
      </c>
      <c r="K463" t="b">
        <v>0</v>
      </c>
      <c r="L463" s="10">
        <v>0</v>
      </c>
      <c r="M463" t="b">
        <v>0</v>
      </c>
      <c r="N463" t="s">
        <v>8268</v>
      </c>
      <c r="O463" s="11">
        <f t="shared" si="32"/>
        <v>0</v>
      </c>
      <c r="P463" s="12" t="str">
        <f t="shared" si="33"/>
        <v>No Backers</v>
      </c>
      <c r="Q463" s="14" t="s">
        <v>8307</v>
      </c>
      <c r="R463" t="s">
        <v>8313</v>
      </c>
      <c r="S463" s="17">
        <f t="shared" si="34"/>
        <v>41407.84684027778</v>
      </c>
      <c r="T463" s="17">
        <f t="shared" si="35"/>
        <v>41427.84684027778</v>
      </c>
      <c r="U463">
        <f>MONTH(Table1[[#This Row],[Launched]])</f>
        <v>5</v>
      </c>
    </row>
    <row r="464" spans="1:21" ht="57.6" x14ac:dyDescent="0.3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8220</v>
      </c>
      <c r="G464" t="s">
        <v>8223</v>
      </c>
      <c r="H464" t="s">
        <v>8245</v>
      </c>
      <c r="I464" s="8">
        <v>1312945341</v>
      </c>
      <c r="J464">
        <v>1307761341</v>
      </c>
      <c r="K464" t="b">
        <v>0</v>
      </c>
      <c r="L464" s="10">
        <v>0</v>
      </c>
      <c r="M464" t="b">
        <v>0</v>
      </c>
      <c r="N464" t="s">
        <v>8268</v>
      </c>
      <c r="O464" s="11">
        <f t="shared" si="32"/>
        <v>0</v>
      </c>
      <c r="P464" s="12" t="str">
        <f t="shared" si="33"/>
        <v>No Backers</v>
      </c>
      <c r="Q464" s="14" t="s">
        <v>8307</v>
      </c>
      <c r="R464" t="s">
        <v>8313</v>
      </c>
      <c r="S464" s="17">
        <f t="shared" si="34"/>
        <v>40705.126631944448</v>
      </c>
      <c r="T464" s="17">
        <f t="shared" si="35"/>
        <v>40765.126631944448</v>
      </c>
      <c r="U464">
        <f>MONTH(Table1[[#This Row],[Launched]])</f>
        <v>6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8220</v>
      </c>
      <c r="G465" t="s">
        <v>8223</v>
      </c>
      <c r="H465" t="s">
        <v>8245</v>
      </c>
      <c r="I465" s="8">
        <v>1316883753</v>
      </c>
      <c r="J465">
        <v>1311699753</v>
      </c>
      <c r="K465" t="b">
        <v>0</v>
      </c>
      <c r="L465" s="10">
        <v>11</v>
      </c>
      <c r="M465" t="b">
        <v>0</v>
      </c>
      <c r="N465" t="s">
        <v>8268</v>
      </c>
      <c r="O465" s="11">
        <f t="shared" si="32"/>
        <v>2</v>
      </c>
      <c r="P465" s="12">
        <f t="shared" si="33"/>
        <v>114</v>
      </c>
      <c r="Q465" s="14" t="s">
        <v>8307</v>
      </c>
      <c r="R465" t="s">
        <v>8313</v>
      </c>
      <c r="S465" s="17">
        <f t="shared" si="34"/>
        <v>40750.710104166668</v>
      </c>
      <c r="T465" s="17">
        <f t="shared" si="35"/>
        <v>40810.710104166668</v>
      </c>
      <c r="U465">
        <f>MONTH(Table1[[#This Row],[Launched]])</f>
        <v>7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8220</v>
      </c>
      <c r="G466" t="s">
        <v>8235</v>
      </c>
      <c r="H466" t="s">
        <v>8248</v>
      </c>
      <c r="I466" s="8">
        <v>1463602935</v>
      </c>
      <c r="J466">
        <v>1461874935</v>
      </c>
      <c r="K466" t="b">
        <v>0</v>
      </c>
      <c r="L466" s="10">
        <v>1</v>
      </c>
      <c r="M466" t="b">
        <v>0</v>
      </c>
      <c r="N466" t="s">
        <v>8268</v>
      </c>
      <c r="O466" s="11">
        <f t="shared" si="32"/>
        <v>0</v>
      </c>
      <c r="P466" s="12">
        <f t="shared" si="33"/>
        <v>1</v>
      </c>
      <c r="Q466" s="14" t="s">
        <v>8307</v>
      </c>
      <c r="R466" t="s">
        <v>8313</v>
      </c>
      <c r="S466" s="17">
        <f t="shared" si="34"/>
        <v>42488.848784722228</v>
      </c>
      <c r="T466" s="17">
        <f t="shared" si="35"/>
        <v>42508.848784722228</v>
      </c>
      <c r="U466">
        <f>MONTH(Table1[[#This Row],[Launched]])</f>
        <v>4</v>
      </c>
    </row>
    <row r="467" spans="1:21" ht="15.6" x14ac:dyDescent="0.3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8220</v>
      </c>
      <c r="G467" t="s">
        <v>8223</v>
      </c>
      <c r="H467" t="s">
        <v>8245</v>
      </c>
      <c r="I467" s="8">
        <v>1403837574</v>
      </c>
      <c r="J467">
        <v>1402455174</v>
      </c>
      <c r="K467" t="b">
        <v>0</v>
      </c>
      <c r="L467" s="10">
        <v>8</v>
      </c>
      <c r="M467" t="b">
        <v>0</v>
      </c>
      <c r="N467" t="s">
        <v>8268</v>
      </c>
      <c r="O467" s="11">
        <f t="shared" si="32"/>
        <v>27</v>
      </c>
      <c r="P467" s="12">
        <f t="shared" si="33"/>
        <v>17</v>
      </c>
      <c r="Q467" s="14" t="s">
        <v>8307</v>
      </c>
      <c r="R467" t="s">
        <v>8313</v>
      </c>
      <c r="S467" s="17">
        <f t="shared" si="34"/>
        <v>41801.120069444441</v>
      </c>
      <c r="T467" s="17">
        <f t="shared" si="35"/>
        <v>41817.120069444441</v>
      </c>
      <c r="U467">
        <f>MONTH(Table1[[#This Row],[Launched]])</f>
        <v>6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8220</v>
      </c>
      <c r="G468" t="s">
        <v>8223</v>
      </c>
      <c r="H468" t="s">
        <v>8245</v>
      </c>
      <c r="I468" s="8">
        <v>1347057464</v>
      </c>
      <c r="J468">
        <v>1344465464</v>
      </c>
      <c r="K468" t="b">
        <v>0</v>
      </c>
      <c r="L468" s="10">
        <v>5</v>
      </c>
      <c r="M468" t="b">
        <v>0</v>
      </c>
      <c r="N468" t="s">
        <v>8268</v>
      </c>
      <c r="O468" s="11">
        <f t="shared" si="32"/>
        <v>1</v>
      </c>
      <c r="P468" s="12">
        <f t="shared" si="33"/>
        <v>15</v>
      </c>
      <c r="Q468" s="14" t="s">
        <v>8307</v>
      </c>
      <c r="R468" t="s">
        <v>8313</v>
      </c>
      <c r="S468" s="17">
        <f t="shared" si="34"/>
        <v>41129.942870370374</v>
      </c>
      <c r="T468" s="17">
        <f t="shared" si="35"/>
        <v>41159.942870370374</v>
      </c>
      <c r="U468">
        <f>MONTH(Table1[[#This Row],[Launched]])</f>
        <v>8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8220</v>
      </c>
      <c r="G469" t="s">
        <v>8223</v>
      </c>
      <c r="H469" t="s">
        <v>8245</v>
      </c>
      <c r="I469" s="8">
        <v>1348849134</v>
      </c>
      <c r="J469">
        <v>1344961134</v>
      </c>
      <c r="K469" t="b">
        <v>0</v>
      </c>
      <c r="L469" s="10">
        <v>39</v>
      </c>
      <c r="M469" t="b">
        <v>0</v>
      </c>
      <c r="N469" t="s">
        <v>8268</v>
      </c>
      <c r="O469" s="11">
        <f t="shared" si="32"/>
        <v>22</v>
      </c>
      <c r="P469" s="12">
        <f t="shared" si="33"/>
        <v>111</v>
      </c>
      <c r="Q469" s="14" t="s">
        <v>8307</v>
      </c>
      <c r="R469" t="s">
        <v>8313</v>
      </c>
      <c r="S469" s="17">
        <f t="shared" si="34"/>
        <v>41135.679791666669</v>
      </c>
      <c r="T469" s="17">
        <f t="shared" si="35"/>
        <v>41180.679791666669</v>
      </c>
      <c r="U469">
        <f>MONTH(Table1[[#This Row],[Launched]])</f>
        <v>8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8220</v>
      </c>
      <c r="G470" t="s">
        <v>8223</v>
      </c>
      <c r="H470" t="s">
        <v>8245</v>
      </c>
      <c r="I470" s="8">
        <v>1341978665</v>
      </c>
      <c r="J470">
        <v>1336795283</v>
      </c>
      <c r="K470" t="b">
        <v>0</v>
      </c>
      <c r="L470" s="10">
        <v>0</v>
      </c>
      <c r="M470" t="b">
        <v>0</v>
      </c>
      <c r="N470" t="s">
        <v>8268</v>
      </c>
      <c r="O470" s="11">
        <f t="shared" si="32"/>
        <v>0</v>
      </c>
      <c r="P470" s="12" t="str">
        <f t="shared" si="33"/>
        <v>No Backers</v>
      </c>
      <c r="Q470" s="14" t="s">
        <v>8307</v>
      </c>
      <c r="R470" t="s">
        <v>8313</v>
      </c>
      <c r="S470" s="17">
        <f t="shared" si="34"/>
        <v>41041.167627314811</v>
      </c>
      <c r="T470" s="17">
        <f t="shared" si="35"/>
        <v>41101.160474537035</v>
      </c>
      <c r="U470">
        <f>MONTH(Table1[[#This Row],[Launched]])</f>
        <v>5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8220</v>
      </c>
      <c r="G471" t="s">
        <v>8224</v>
      </c>
      <c r="H471" t="s">
        <v>8246</v>
      </c>
      <c r="I471" s="8">
        <v>1409960724</v>
      </c>
      <c r="J471">
        <v>1404776724</v>
      </c>
      <c r="K471" t="b">
        <v>0</v>
      </c>
      <c r="L471" s="10">
        <v>0</v>
      </c>
      <c r="M471" t="b">
        <v>0</v>
      </c>
      <c r="N471" t="s">
        <v>8268</v>
      </c>
      <c r="O471" s="11">
        <f t="shared" si="32"/>
        <v>0</v>
      </c>
      <c r="P471" s="12" t="str">
        <f t="shared" si="33"/>
        <v>No Backers</v>
      </c>
      <c r="Q471" s="14" t="s">
        <v>8307</v>
      </c>
      <c r="R471" t="s">
        <v>8313</v>
      </c>
      <c r="S471" s="17">
        <f t="shared" si="34"/>
        <v>41827.989861111113</v>
      </c>
      <c r="T471" s="17">
        <f t="shared" si="35"/>
        <v>41887.989861111113</v>
      </c>
      <c r="U471">
        <f>MONTH(Table1[[#This Row],[Launched]])</f>
        <v>7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8220</v>
      </c>
      <c r="G472" t="s">
        <v>8223</v>
      </c>
      <c r="H472" t="s">
        <v>8245</v>
      </c>
      <c r="I472" s="8">
        <v>1389844800</v>
      </c>
      <c r="J472">
        <v>1385524889</v>
      </c>
      <c r="K472" t="b">
        <v>0</v>
      </c>
      <c r="L472" s="10">
        <v>2</v>
      </c>
      <c r="M472" t="b">
        <v>0</v>
      </c>
      <c r="N472" t="s">
        <v>8268</v>
      </c>
      <c r="O472" s="11">
        <f t="shared" si="32"/>
        <v>1</v>
      </c>
      <c r="P472" s="12">
        <f t="shared" si="33"/>
        <v>26</v>
      </c>
      <c r="Q472" s="14" t="s">
        <v>8307</v>
      </c>
      <c r="R472" t="s">
        <v>8313</v>
      </c>
      <c r="S472" s="17">
        <f t="shared" si="34"/>
        <v>41605.167696759258</v>
      </c>
      <c r="T472" s="17">
        <f t="shared" si="35"/>
        <v>41655.166666666664</v>
      </c>
      <c r="U472">
        <f>MONTH(Table1[[#This Row],[Launched]])</f>
        <v>11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8220</v>
      </c>
      <c r="G473" t="s">
        <v>8223</v>
      </c>
      <c r="H473" t="s">
        <v>8245</v>
      </c>
      <c r="I473" s="8">
        <v>1397924379</v>
      </c>
      <c r="J473">
        <v>1394039979</v>
      </c>
      <c r="K473" t="b">
        <v>0</v>
      </c>
      <c r="L473" s="10">
        <v>170</v>
      </c>
      <c r="M473" t="b">
        <v>0</v>
      </c>
      <c r="N473" t="s">
        <v>8268</v>
      </c>
      <c r="O473" s="11">
        <f t="shared" si="32"/>
        <v>12</v>
      </c>
      <c r="P473" s="12">
        <f t="shared" si="33"/>
        <v>38</v>
      </c>
      <c r="Q473" s="14" t="s">
        <v>8307</v>
      </c>
      <c r="R473" t="s">
        <v>8313</v>
      </c>
      <c r="S473" s="17">
        <f t="shared" si="34"/>
        <v>41703.721979166665</v>
      </c>
      <c r="T473" s="17">
        <f t="shared" si="35"/>
        <v>41748.680312500001</v>
      </c>
      <c r="U473">
        <f>MONTH(Table1[[#This Row],[Launched]])</f>
        <v>3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8220</v>
      </c>
      <c r="G474" t="s">
        <v>8223</v>
      </c>
      <c r="H474" t="s">
        <v>8245</v>
      </c>
      <c r="I474" s="8">
        <v>1408831718</v>
      </c>
      <c r="J474">
        <v>1406239718</v>
      </c>
      <c r="K474" t="b">
        <v>0</v>
      </c>
      <c r="L474" s="10">
        <v>5</v>
      </c>
      <c r="M474" t="b">
        <v>0</v>
      </c>
      <c r="N474" t="s">
        <v>8268</v>
      </c>
      <c r="O474" s="11">
        <f t="shared" si="32"/>
        <v>18</v>
      </c>
      <c r="P474" s="12">
        <f t="shared" si="33"/>
        <v>28</v>
      </c>
      <c r="Q474" s="14" t="s">
        <v>8307</v>
      </c>
      <c r="R474" t="s">
        <v>8313</v>
      </c>
      <c r="S474" s="17">
        <f t="shared" si="34"/>
        <v>41844.922662037039</v>
      </c>
      <c r="T474" s="17">
        <f t="shared" si="35"/>
        <v>41874.922662037039</v>
      </c>
      <c r="U474">
        <f>MONTH(Table1[[#This Row],[Launched]])</f>
        <v>7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8220</v>
      </c>
      <c r="G475" t="s">
        <v>8223</v>
      </c>
      <c r="H475" t="s">
        <v>8245</v>
      </c>
      <c r="I475" s="8">
        <v>1410972319</v>
      </c>
      <c r="J475">
        <v>1408380319</v>
      </c>
      <c r="K475" t="b">
        <v>0</v>
      </c>
      <c r="L475" s="10">
        <v>14</v>
      </c>
      <c r="M475" t="b">
        <v>0</v>
      </c>
      <c r="N475" t="s">
        <v>8268</v>
      </c>
      <c r="O475" s="11">
        <f t="shared" si="32"/>
        <v>3</v>
      </c>
      <c r="P475" s="12">
        <f t="shared" si="33"/>
        <v>62</v>
      </c>
      <c r="Q475" s="14" t="s">
        <v>8307</v>
      </c>
      <c r="R475" t="s">
        <v>8313</v>
      </c>
      <c r="S475" s="17">
        <f t="shared" si="34"/>
        <v>41869.698136574072</v>
      </c>
      <c r="T475" s="17">
        <f t="shared" si="35"/>
        <v>41899.698136574072</v>
      </c>
      <c r="U475">
        <f>MONTH(Table1[[#This Row],[Launched]])</f>
        <v>8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8220</v>
      </c>
      <c r="G476" t="s">
        <v>8223</v>
      </c>
      <c r="H476" t="s">
        <v>8245</v>
      </c>
      <c r="I476" s="8">
        <v>1487318029</v>
      </c>
      <c r="J476">
        <v>1484726029</v>
      </c>
      <c r="K476" t="b">
        <v>0</v>
      </c>
      <c r="L476" s="10">
        <v>1</v>
      </c>
      <c r="M476" t="b">
        <v>0</v>
      </c>
      <c r="N476" t="s">
        <v>8268</v>
      </c>
      <c r="O476" s="11">
        <f t="shared" si="32"/>
        <v>0</v>
      </c>
      <c r="P476" s="12">
        <f t="shared" si="33"/>
        <v>1</v>
      </c>
      <c r="Q476" s="14" t="s">
        <v>8307</v>
      </c>
      <c r="R476" t="s">
        <v>8313</v>
      </c>
      <c r="S476" s="17">
        <f t="shared" si="34"/>
        <v>42753.329039351855</v>
      </c>
      <c r="T476" s="17">
        <f t="shared" si="35"/>
        <v>42783.329039351855</v>
      </c>
      <c r="U476">
        <f>MONTH(Table1[[#This Row],[Launched]])</f>
        <v>1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8220</v>
      </c>
      <c r="G477" t="s">
        <v>8223</v>
      </c>
      <c r="H477" t="s">
        <v>8245</v>
      </c>
      <c r="I477" s="8">
        <v>1430877843</v>
      </c>
      <c r="J477">
        <v>1428285843</v>
      </c>
      <c r="K477" t="b">
        <v>0</v>
      </c>
      <c r="L477" s="10">
        <v>0</v>
      </c>
      <c r="M477" t="b">
        <v>0</v>
      </c>
      <c r="N477" t="s">
        <v>8268</v>
      </c>
      <c r="O477" s="11">
        <f t="shared" si="32"/>
        <v>0</v>
      </c>
      <c r="P477" s="12" t="str">
        <f t="shared" si="33"/>
        <v>No Backers</v>
      </c>
      <c r="Q477" s="14" t="s">
        <v>8307</v>
      </c>
      <c r="R477" t="s">
        <v>8313</v>
      </c>
      <c r="S477" s="17">
        <f t="shared" si="34"/>
        <v>42100.086145833338</v>
      </c>
      <c r="T477" s="17">
        <f t="shared" si="35"/>
        <v>42130.086145833338</v>
      </c>
      <c r="U477">
        <f>MONTH(Table1[[#This Row],[Launched]])</f>
        <v>4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 s="8">
        <v>1401767940</v>
      </c>
      <c r="J478">
        <v>1398727441</v>
      </c>
      <c r="K478" t="b">
        <v>0</v>
      </c>
      <c r="L478" s="10">
        <v>124</v>
      </c>
      <c r="M478" t="b">
        <v>0</v>
      </c>
      <c r="N478" t="s">
        <v>8268</v>
      </c>
      <c r="O478" s="11">
        <f t="shared" si="32"/>
        <v>2</v>
      </c>
      <c r="P478" s="12">
        <f t="shared" si="33"/>
        <v>40</v>
      </c>
      <c r="Q478" s="14" t="s">
        <v>8307</v>
      </c>
      <c r="R478" t="s">
        <v>8313</v>
      </c>
      <c r="S478" s="17">
        <f t="shared" si="34"/>
        <v>41757.975011574075</v>
      </c>
      <c r="T478" s="17">
        <f t="shared" si="35"/>
        <v>41793.165972222225</v>
      </c>
      <c r="U478">
        <f>MONTH(Table1[[#This Row],[Launched]])</f>
        <v>4</v>
      </c>
    </row>
    <row r="479" spans="1:21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8220</v>
      </c>
      <c r="G479" t="s">
        <v>8223</v>
      </c>
      <c r="H479" t="s">
        <v>8245</v>
      </c>
      <c r="I479" s="8">
        <v>1337371334</v>
      </c>
      <c r="J479">
        <v>1332187334</v>
      </c>
      <c r="K479" t="b">
        <v>0</v>
      </c>
      <c r="L479" s="10">
        <v>0</v>
      </c>
      <c r="M479" t="b">
        <v>0</v>
      </c>
      <c r="N479" t="s">
        <v>8268</v>
      </c>
      <c r="O479" s="11">
        <f t="shared" si="32"/>
        <v>0</v>
      </c>
      <c r="P479" s="12" t="str">
        <f t="shared" si="33"/>
        <v>No Backers</v>
      </c>
      <c r="Q479" s="14" t="s">
        <v>8307</v>
      </c>
      <c r="R479" t="s">
        <v>8313</v>
      </c>
      <c r="S479" s="17">
        <f t="shared" si="34"/>
        <v>40987.83488425926</v>
      </c>
      <c r="T479" s="17">
        <f t="shared" si="35"/>
        <v>41047.83488425926</v>
      </c>
      <c r="U479">
        <f>MONTH(Table1[[#This Row],[Launched]])</f>
        <v>3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8220</v>
      </c>
      <c r="G480" t="s">
        <v>8223</v>
      </c>
      <c r="H480" t="s">
        <v>8245</v>
      </c>
      <c r="I480" s="8">
        <v>1427921509</v>
      </c>
      <c r="J480">
        <v>1425333109</v>
      </c>
      <c r="K480" t="b">
        <v>0</v>
      </c>
      <c r="L480" s="10">
        <v>0</v>
      </c>
      <c r="M480" t="b">
        <v>0</v>
      </c>
      <c r="N480" t="s">
        <v>8268</v>
      </c>
      <c r="O480" s="11">
        <f t="shared" si="32"/>
        <v>0</v>
      </c>
      <c r="P480" s="12" t="str">
        <f t="shared" si="33"/>
        <v>No Backers</v>
      </c>
      <c r="Q480" s="14" t="s">
        <v>8307</v>
      </c>
      <c r="R480" t="s">
        <v>8313</v>
      </c>
      <c r="S480" s="17">
        <f t="shared" si="34"/>
        <v>42065.910983796297</v>
      </c>
      <c r="T480" s="17">
        <f t="shared" si="35"/>
        <v>42095.869317129633</v>
      </c>
      <c r="U480">
        <f>MONTH(Table1[[#This Row],[Launched]])</f>
        <v>3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8220</v>
      </c>
      <c r="G481" t="s">
        <v>8223</v>
      </c>
      <c r="H481" t="s">
        <v>8245</v>
      </c>
      <c r="I481" s="8">
        <v>1416566835</v>
      </c>
      <c r="J481">
        <v>1411379235</v>
      </c>
      <c r="K481" t="b">
        <v>0</v>
      </c>
      <c r="L481" s="10">
        <v>55</v>
      </c>
      <c r="M481" t="b">
        <v>0</v>
      </c>
      <c r="N481" t="s">
        <v>8268</v>
      </c>
      <c r="O481" s="11">
        <f t="shared" si="32"/>
        <v>33</v>
      </c>
      <c r="P481" s="12">
        <f t="shared" si="33"/>
        <v>89</v>
      </c>
      <c r="Q481" s="14" t="s">
        <v>8307</v>
      </c>
      <c r="R481" t="s">
        <v>8313</v>
      </c>
      <c r="S481" s="17">
        <f t="shared" si="34"/>
        <v>41904.407812500001</v>
      </c>
      <c r="T481" s="17">
        <f t="shared" si="35"/>
        <v>41964.449479166666</v>
      </c>
      <c r="U481">
        <f>MONTH(Table1[[#This Row],[Launched]])</f>
        <v>9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8220</v>
      </c>
      <c r="G482" t="s">
        <v>8223</v>
      </c>
      <c r="H482" t="s">
        <v>8245</v>
      </c>
      <c r="I482" s="8">
        <v>1376049615</v>
      </c>
      <c r="J482">
        <v>1373457615</v>
      </c>
      <c r="K482" t="b">
        <v>0</v>
      </c>
      <c r="L482" s="10">
        <v>140</v>
      </c>
      <c r="M482" t="b">
        <v>0</v>
      </c>
      <c r="N482" t="s">
        <v>8268</v>
      </c>
      <c r="O482" s="11">
        <f t="shared" si="32"/>
        <v>19</v>
      </c>
      <c r="P482" s="12">
        <f t="shared" si="33"/>
        <v>55</v>
      </c>
      <c r="Q482" s="14" t="s">
        <v>8307</v>
      </c>
      <c r="R482" t="s">
        <v>8313</v>
      </c>
      <c r="S482" s="17">
        <f t="shared" si="34"/>
        <v>41465.500173611108</v>
      </c>
      <c r="T482" s="17">
        <f t="shared" si="35"/>
        <v>41495.500173611108</v>
      </c>
      <c r="U482">
        <f>MONTH(Table1[[#This Row],[Launched]])</f>
        <v>7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8220</v>
      </c>
      <c r="G483" t="s">
        <v>8223</v>
      </c>
      <c r="H483" t="s">
        <v>8245</v>
      </c>
      <c r="I483" s="8">
        <v>1349885289</v>
      </c>
      <c r="J483">
        <v>1347293289</v>
      </c>
      <c r="K483" t="b">
        <v>0</v>
      </c>
      <c r="L483" s="10">
        <v>21</v>
      </c>
      <c r="M483" t="b">
        <v>0</v>
      </c>
      <c r="N483" t="s">
        <v>8268</v>
      </c>
      <c r="O483" s="11">
        <f t="shared" si="32"/>
        <v>6</v>
      </c>
      <c r="P483" s="12">
        <f t="shared" si="33"/>
        <v>87</v>
      </c>
      <c r="Q483" s="14" t="s">
        <v>8307</v>
      </c>
      <c r="R483" t="s">
        <v>8313</v>
      </c>
      <c r="S483" s="17">
        <f t="shared" si="34"/>
        <v>41162.672326388885</v>
      </c>
      <c r="T483" s="17">
        <f t="shared" si="35"/>
        <v>41192.672326388885</v>
      </c>
      <c r="U483">
        <f>MONTH(Table1[[#This Row],[Launched]])</f>
        <v>9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8220</v>
      </c>
      <c r="G484" t="s">
        <v>8223</v>
      </c>
      <c r="H484" t="s">
        <v>8245</v>
      </c>
      <c r="I484" s="8">
        <v>1460644440</v>
      </c>
      <c r="J484">
        <v>1458336690</v>
      </c>
      <c r="K484" t="b">
        <v>0</v>
      </c>
      <c r="L484" s="10">
        <v>1</v>
      </c>
      <c r="M484" t="b">
        <v>0</v>
      </c>
      <c r="N484" t="s">
        <v>8268</v>
      </c>
      <c r="O484" s="11">
        <f t="shared" si="32"/>
        <v>0</v>
      </c>
      <c r="P484" s="12">
        <f t="shared" si="33"/>
        <v>10</v>
      </c>
      <c r="Q484" s="14" t="s">
        <v>8307</v>
      </c>
      <c r="R484" t="s">
        <v>8313</v>
      </c>
      <c r="S484" s="17">
        <f t="shared" si="34"/>
        <v>42447.896875000006</v>
      </c>
      <c r="T484" s="17">
        <f t="shared" si="35"/>
        <v>42474.606944444444</v>
      </c>
      <c r="U484">
        <f>MONTH(Table1[[#This Row],[Launched]])</f>
        <v>3</v>
      </c>
    </row>
    <row r="485" spans="1:21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8220</v>
      </c>
      <c r="G485" t="s">
        <v>8224</v>
      </c>
      <c r="H485" t="s">
        <v>8246</v>
      </c>
      <c r="I485" s="8">
        <v>1359434672</v>
      </c>
      <c r="J485">
        <v>1354250672</v>
      </c>
      <c r="K485" t="b">
        <v>0</v>
      </c>
      <c r="L485" s="10">
        <v>147</v>
      </c>
      <c r="M485" t="b">
        <v>0</v>
      </c>
      <c r="N485" t="s">
        <v>8268</v>
      </c>
      <c r="O485" s="11">
        <f t="shared" si="32"/>
        <v>50</v>
      </c>
      <c r="P485" s="12">
        <f t="shared" si="33"/>
        <v>51</v>
      </c>
      <c r="Q485" s="14" t="s">
        <v>8307</v>
      </c>
      <c r="R485" t="s">
        <v>8313</v>
      </c>
      <c r="S485" s="17">
        <f t="shared" si="34"/>
        <v>41243.197592592594</v>
      </c>
      <c r="T485" s="17">
        <f t="shared" si="35"/>
        <v>41303.197592592594</v>
      </c>
      <c r="U485">
        <f>MONTH(Table1[[#This Row],[Launched]])</f>
        <v>11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8220</v>
      </c>
      <c r="G486" t="s">
        <v>8224</v>
      </c>
      <c r="H486" t="s">
        <v>8246</v>
      </c>
      <c r="I486" s="8">
        <v>1446766372</v>
      </c>
      <c r="J486">
        <v>1443220372</v>
      </c>
      <c r="K486" t="b">
        <v>0</v>
      </c>
      <c r="L486" s="10">
        <v>11</v>
      </c>
      <c r="M486" t="b">
        <v>0</v>
      </c>
      <c r="N486" t="s">
        <v>8268</v>
      </c>
      <c r="O486" s="11">
        <f t="shared" si="32"/>
        <v>0</v>
      </c>
      <c r="P486" s="12">
        <f t="shared" si="33"/>
        <v>14</v>
      </c>
      <c r="Q486" s="14" t="s">
        <v>8307</v>
      </c>
      <c r="R486" t="s">
        <v>8313</v>
      </c>
      <c r="S486" s="17">
        <f t="shared" si="34"/>
        <v>42272.93949074074</v>
      </c>
      <c r="T486" s="17">
        <f t="shared" si="35"/>
        <v>42313.981157407412</v>
      </c>
      <c r="U486">
        <f>MONTH(Table1[[#This Row],[Launched]])</f>
        <v>9</v>
      </c>
    </row>
    <row r="487" spans="1:21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8220</v>
      </c>
      <c r="G487" t="s">
        <v>8224</v>
      </c>
      <c r="H487" t="s">
        <v>8246</v>
      </c>
      <c r="I487" s="8">
        <v>1368792499</v>
      </c>
      <c r="J487">
        <v>1366200499</v>
      </c>
      <c r="K487" t="b">
        <v>0</v>
      </c>
      <c r="L487" s="10">
        <v>125</v>
      </c>
      <c r="M487" t="b">
        <v>0</v>
      </c>
      <c r="N487" t="s">
        <v>8268</v>
      </c>
      <c r="O487" s="11">
        <f t="shared" si="32"/>
        <v>22</v>
      </c>
      <c r="P487" s="12">
        <f t="shared" si="33"/>
        <v>67</v>
      </c>
      <c r="Q487" s="14" t="s">
        <v>8307</v>
      </c>
      <c r="R487" t="s">
        <v>8313</v>
      </c>
      <c r="S487" s="17">
        <f t="shared" si="34"/>
        <v>41381.50577546296</v>
      </c>
      <c r="T487" s="17">
        <f t="shared" si="35"/>
        <v>41411.50577546296</v>
      </c>
      <c r="U487">
        <f>MONTH(Table1[[#This Row],[Launched]])</f>
        <v>4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8220</v>
      </c>
      <c r="G488" t="s">
        <v>8225</v>
      </c>
      <c r="H488" t="s">
        <v>8247</v>
      </c>
      <c r="I488" s="8">
        <v>1401662239</v>
      </c>
      <c r="J488">
        <v>1399070239</v>
      </c>
      <c r="K488" t="b">
        <v>0</v>
      </c>
      <c r="L488" s="10">
        <v>1</v>
      </c>
      <c r="M488" t="b">
        <v>0</v>
      </c>
      <c r="N488" t="s">
        <v>8268</v>
      </c>
      <c r="O488" s="11">
        <f t="shared" si="32"/>
        <v>0</v>
      </c>
      <c r="P488" s="12">
        <f t="shared" si="33"/>
        <v>50</v>
      </c>
      <c r="Q488" s="14" t="s">
        <v>8307</v>
      </c>
      <c r="R488" t="s">
        <v>8313</v>
      </c>
      <c r="S488" s="17">
        <f t="shared" si="34"/>
        <v>41761.94258101852</v>
      </c>
      <c r="T488" s="17">
        <f t="shared" si="35"/>
        <v>41791.94258101852</v>
      </c>
      <c r="U488">
        <f>MONTH(Table1[[#This Row],[Launched]])</f>
        <v>5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8220</v>
      </c>
      <c r="G489" t="s">
        <v>8228</v>
      </c>
      <c r="H489" t="s">
        <v>8250</v>
      </c>
      <c r="I489" s="8">
        <v>1482678994</v>
      </c>
      <c r="J489">
        <v>1477491394</v>
      </c>
      <c r="K489" t="b">
        <v>0</v>
      </c>
      <c r="L489" s="10">
        <v>0</v>
      </c>
      <c r="M489" t="b">
        <v>0</v>
      </c>
      <c r="N489" t="s">
        <v>8268</v>
      </c>
      <c r="O489" s="11">
        <f t="shared" si="32"/>
        <v>0</v>
      </c>
      <c r="P489" s="12" t="str">
        <f t="shared" si="33"/>
        <v>No Backers</v>
      </c>
      <c r="Q489" s="14" t="s">
        <v>8307</v>
      </c>
      <c r="R489" t="s">
        <v>8313</v>
      </c>
      <c r="S489" s="17">
        <f t="shared" si="34"/>
        <v>42669.594837962963</v>
      </c>
      <c r="T489" s="17">
        <f t="shared" si="35"/>
        <v>42729.636504629627</v>
      </c>
      <c r="U489">
        <f>MONTH(Table1[[#This Row],[Launched]])</f>
        <v>10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8220</v>
      </c>
      <c r="G490" t="s">
        <v>8223</v>
      </c>
      <c r="H490" t="s">
        <v>8245</v>
      </c>
      <c r="I490" s="8">
        <v>1483924700</v>
      </c>
      <c r="J490">
        <v>1481332700</v>
      </c>
      <c r="K490" t="b">
        <v>0</v>
      </c>
      <c r="L490" s="10">
        <v>0</v>
      </c>
      <c r="M490" t="b">
        <v>0</v>
      </c>
      <c r="N490" t="s">
        <v>8268</v>
      </c>
      <c r="O490" s="11">
        <f t="shared" si="32"/>
        <v>0</v>
      </c>
      <c r="P490" s="12" t="str">
        <f t="shared" si="33"/>
        <v>No Backers</v>
      </c>
      <c r="Q490" s="14" t="s">
        <v>8307</v>
      </c>
      <c r="R490" t="s">
        <v>8313</v>
      </c>
      <c r="S490" s="17">
        <f t="shared" si="34"/>
        <v>42714.054398148146</v>
      </c>
      <c r="T490" s="17">
        <f t="shared" si="35"/>
        <v>42744.054398148146</v>
      </c>
      <c r="U490">
        <f>MONTH(Table1[[#This Row],[Launched]])</f>
        <v>12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8220</v>
      </c>
      <c r="G491" t="s">
        <v>8223</v>
      </c>
      <c r="H491" t="s">
        <v>8245</v>
      </c>
      <c r="I491" s="8">
        <v>1325763180</v>
      </c>
      <c r="J491">
        <v>1323084816</v>
      </c>
      <c r="K491" t="b">
        <v>0</v>
      </c>
      <c r="L491" s="10">
        <v>3</v>
      </c>
      <c r="M491" t="b">
        <v>0</v>
      </c>
      <c r="N491" t="s">
        <v>8268</v>
      </c>
      <c r="O491" s="11">
        <f t="shared" si="32"/>
        <v>0</v>
      </c>
      <c r="P491" s="12">
        <f t="shared" si="33"/>
        <v>72</v>
      </c>
      <c r="Q491" s="14" t="s">
        <v>8307</v>
      </c>
      <c r="R491" t="s">
        <v>8313</v>
      </c>
      <c r="S491" s="17">
        <f t="shared" si="34"/>
        <v>40882.481666666667</v>
      </c>
      <c r="T491" s="17">
        <f t="shared" si="35"/>
        <v>40913.481249999997</v>
      </c>
      <c r="U491">
        <f>MONTH(Table1[[#This Row],[Launched]])</f>
        <v>12</v>
      </c>
    </row>
    <row r="492" spans="1:21" ht="15.6" x14ac:dyDescent="0.3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8220</v>
      </c>
      <c r="G492" t="s">
        <v>8223</v>
      </c>
      <c r="H492" t="s">
        <v>8245</v>
      </c>
      <c r="I492" s="8">
        <v>1345677285</v>
      </c>
      <c r="J492">
        <v>1343085285</v>
      </c>
      <c r="K492" t="b">
        <v>0</v>
      </c>
      <c r="L492" s="10">
        <v>0</v>
      </c>
      <c r="M492" t="b">
        <v>0</v>
      </c>
      <c r="N492" t="s">
        <v>8268</v>
      </c>
      <c r="O492" s="11">
        <f t="shared" si="32"/>
        <v>0</v>
      </c>
      <c r="P492" s="12" t="str">
        <f t="shared" si="33"/>
        <v>No Backers</v>
      </c>
      <c r="Q492" s="14" t="s">
        <v>8307</v>
      </c>
      <c r="R492" t="s">
        <v>8313</v>
      </c>
      <c r="S492" s="17">
        <f t="shared" si="34"/>
        <v>41113.968576388892</v>
      </c>
      <c r="T492" s="17">
        <f t="shared" si="35"/>
        <v>41143.968576388892</v>
      </c>
      <c r="U492">
        <f>MONTH(Table1[[#This Row],[Launched]])</f>
        <v>7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8220</v>
      </c>
      <c r="G493" t="s">
        <v>8223</v>
      </c>
      <c r="H493" t="s">
        <v>8245</v>
      </c>
      <c r="I493" s="8">
        <v>1453937699</v>
      </c>
      <c r="J493">
        <v>1451345699</v>
      </c>
      <c r="K493" t="b">
        <v>0</v>
      </c>
      <c r="L493" s="10">
        <v>0</v>
      </c>
      <c r="M493" t="b">
        <v>0</v>
      </c>
      <c r="N493" t="s">
        <v>8268</v>
      </c>
      <c r="O493" s="11">
        <f t="shared" si="32"/>
        <v>0</v>
      </c>
      <c r="P493" s="12" t="str">
        <f t="shared" si="33"/>
        <v>No Backers</v>
      </c>
      <c r="Q493" s="14" t="s">
        <v>8307</v>
      </c>
      <c r="R493" t="s">
        <v>8313</v>
      </c>
      <c r="S493" s="17">
        <f t="shared" si="34"/>
        <v>42366.982627314821</v>
      </c>
      <c r="T493" s="17">
        <f t="shared" si="35"/>
        <v>42396.982627314821</v>
      </c>
      <c r="U493">
        <f>MONTH(Table1[[#This Row],[Launched]])</f>
        <v>12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8220</v>
      </c>
      <c r="G494" t="s">
        <v>8234</v>
      </c>
      <c r="H494" t="s">
        <v>8254</v>
      </c>
      <c r="I494" s="8">
        <v>1476319830</v>
      </c>
      <c r="J494">
        <v>1471135830</v>
      </c>
      <c r="K494" t="b">
        <v>0</v>
      </c>
      <c r="L494" s="10">
        <v>0</v>
      </c>
      <c r="M494" t="b">
        <v>0</v>
      </c>
      <c r="N494" t="s">
        <v>8268</v>
      </c>
      <c r="O494" s="11">
        <f t="shared" si="32"/>
        <v>0</v>
      </c>
      <c r="P494" s="12" t="str">
        <f t="shared" si="33"/>
        <v>No Backers</v>
      </c>
      <c r="Q494" s="14" t="s">
        <v>8307</v>
      </c>
      <c r="R494" t="s">
        <v>8313</v>
      </c>
      <c r="S494" s="17">
        <f t="shared" si="34"/>
        <v>42596.03506944445</v>
      </c>
      <c r="T494" s="17">
        <f t="shared" si="35"/>
        <v>42656.03506944445</v>
      </c>
      <c r="U494">
        <f>MONTH(Table1[[#This Row],[Launched]])</f>
        <v>8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8220</v>
      </c>
      <c r="G495" t="s">
        <v>8224</v>
      </c>
      <c r="H495" t="s">
        <v>8246</v>
      </c>
      <c r="I495" s="8">
        <v>1432142738</v>
      </c>
      <c r="J495">
        <v>1429550738</v>
      </c>
      <c r="K495" t="b">
        <v>0</v>
      </c>
      <c r="L495" s="10">
        <v>0</v>
      </c>
      <c r="M495" t="b">
        <v>0</v>
      </c>
      <c r="N495" t="s">
        <v>8268</v>
      </c>
      <c r="O495" s="11">
        <f t="shared" si="32"/>
        <v>0</v>
      </c>
      <c r="P495" s="12" t="str">
        <f t="shared" si="33"/>
        <v>No Backers</v>
      </c>
      <c r="Q495" s="14" t="s">
        <v>8307</v>
      </c>
      <c r="R495" t="s">
        <v>8313</v>
      </c>
      <c r="S495" s="17">
        <f t="shared" si="34"/>
        <v>42114.726134259254</v>
      </c>
      <c r="T495" s="17">
        <f t="shared" si="35"/>
        <v>42144.726134259254</v>
      </c>
      <c r="U495">
        <f>MONTH(Table1[[#This Row],[Launched]])</f>
        <v>4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8220</v>
      </c>
      <c r="G496" t="s">
        <v>8223</v>
      </c>
      <c r="H496" t="s">
        <v>8245</v>
      </c>
      <c r="I496" s="8">
        <v>1404356400</v>
      </c>
      <c r="J496">
        <v>1402343765</v>
      </c>
      <c r="K496" t="b">
        <v>0</v>
      </c>
      <c r="L496" s="10">
        <v>3</v>
      </c>
      <c r="M496" t="b">
        <v>0</v>
      </c>
      <c r="N496" t="s">
        <v>8268</v>
      </c>
      <c r="O496" s="11">
        <f t="shared" si="32"/>
        <v>0</v>
      </c>
      <c r="P496" s="12">
        <f t="shared" si="33"/>
        <v>10</v>
      </c>
      <c r="Q496" s="14" t="s">
        <v>8307</v>
      </c>
      <c r="R496" t="s">
        <v>8313</v>
      </c>
      <c r="S496" s="17">
        <f t="shared" si="34"/>
        <v>41799.830613425926</v>
      </c>
      <c r="T496" s="17">
        <f t="shared" si="35"/>
        <v>41823.125</v>
      </c>
      <c r="U496">
        <f>MONTH(Table1[[#This Row],[Launched]])</f>
        <v>6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8220</v>
      </c>
      <c r="G497" t="s">
        <v>8223</v>
      </c>
      <c r="H497" t="s">
        <v>8245</v>
      </c>
      <c r="I497" s="8">
        <v>1437076305</v>
      </c>
      <c r="J497">
        <v>1434484305</v>
      </c>
      <c r="K497" t="b">
        <v>0</v>
      </c>
      <c r="L497" s="10">
        <v>0</v>
      </c>
      <c r="M497" t="b">
        <v>0</v>
      </c>
      <c r="N497" t="s">
        <v>8268</v>
      </c>
      <c r="O497" s="11">
        <f t="shared" si="32"/>
        <v>0</v>
      </c>
      <c r="P497" s="12" t="str">
        <f t="shared" si="33"/>
        <v>No Backers</v>
      </c>
      <c r="Q497" s="14" t="s">
        <v>8307</v>
      </c>
      <c r="R497" t="s">
        <v>8313</v>
      </c>
      <c r="S497" s="17">
        <f t="shared" si="34"/>
        <v>42171.827604166669</v>
      </c>
      <c r="T497" s="17">
        <f t="shared" si="35"/>
        <v>42201.827604166669</v>
      </c>
      <c r="U497">
        <f>MONTH(Table1[[#This Row],[Launched]])</f>
        <v>6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8220</v>
      </c>
      <c r="G498" t="s">
        <v>8223</v>
      </c>
      <c r="H498" t="s">
        <v>8245</v>
      </c>
      <c r="I498" s="8">
        <v>1392070874</v>
      </c>
      <c r="J498">
        <v>1386886874</v>
      </c>
      <c r="K498" t="b">
        <v>0</v>
      </c>
      <c r="L498" s="10">
        <v>1</v>
      </c>
      <c r="M498" t="b">
        <v>0</v>
      </c>
      <c r="N498" t="s">
        <v>8268</v>
      </c>
      <c r="O498" s="11">
        <f t="shared" si="32"/>
        <v>0</v>
      </c>
      <c r="P498" s="12">
        <f t="shared" si="33"/>
        <v>1</v>
      </c>
      <c r="Q498" s="14" t="s">
        <v>8307</v>
      </c>
      <c r="R498" t="s">
        <v>8313</v>
      </c>
      <c r="S498" s="17">
        <f t="shared" si="34"/>
        <v>41620.93141203704</v>
      </c>
      <c r="T498" s="17">
        <f t="shared" si="35"/>
        <v>41680.93141203704</v>
      </c>
      <c r="U498">
        <f>MONTH(Table1[[#This Row],[Launched]])</f>
        <v>12</v>
      </c>
    </row>
    <row r="499" spans="1:21" ht="15.6" x14ac:dyDescent="0.3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8220</v>
      </c>
      <c r="G499" t="s">
        <v>8223</v>
      </c>
      <c r="H499" t="s">
        <v>8245</v>
      </c>
      <c r="I499" s="8">
        <v>1419483600</v>
      </c>
      <c r="J499">
        <v>1414889665</v>
      </c>
      <c r="K499" t="b">
        <v>0</v>
      </c>
      <c r="L499" s="10">
        <v>3</v>
      </c>
      <c r="M499" t="b">
        <v>0</v>
      </c>
      <c r="N499" t="s">
        <v>8268</v>
      </c>
      <c r="O499" s="11">
        <f t="shared" si="32"/>
        <v>1</v>
      </c>
      <c r="P499" s="12">
        <f t="shared" si="33"/>
        <v>10</v>
      </c>
      <c r="Q499" s="14" t="s">
        <v>8307</v>
      </c>
      <c r="R499" t="s">
        <v>8313</v>
      </c>
      <c r="S499" s="17">
        <f t="shared" si="34"/>
        <v>41945.037789351853</v>
      </c>
      <c r="T499" s="17">
        <f t="shared" si="35"/>
        <v>41998.208333333328</v>
      </c>
      <c r="U499">
        <f>MONTH(Table1[[#This Row],[Launched]])</f>
        <v>11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8220</v>
      </c>
      <c r="G500" t="s">
        <v>8223</v>
      </c>
      <c r="H500" t="s">
        <v>8245</v>
      </c>
      <c r="I500" s="8">
        <v>1324664249</v>
      </c>
      <c r="J500">
        <v>1321035449</v>
      </c>
      <c r="K500" t="b">
        <v>0</v>
      </c>
      <c r="L500" s="10">
        <v>22</v>
      </c>
      <c r="M500" t="b">
        <v>0</v>
      </c>
      <c r="N500" t="s">
        <v>8268</v>
      </c>
      <c r="O500" s="11">
        <f t="shared" si="32"/>
        <v>5</v>
      </c>
      <c r="P500" s="12">
        <f t="shared" si="33"/>
        <v>136</v>
      </c>
      <c r="Q500" s="14" t="s">
        <v>8307</v>
      </c>
      <c r="R500" t="s">
        <v>8313</v>
      </c>
      <c r="S500" s="17">
        <f t="shared" si="34"/>
        <v>40858.762141203704</v>
      </c>
      <c r="T500" s="17">
        <f t="shared" si="35"/>
        <v>40900.762141203704</v>
      </c>
      <c r="U500">
        <f>MONTH(Table1[[#This Row],[Launched]])</f>
        <v>11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8220</v>
      </c>
      <c r="G501" t="s">
        <v>8223</v>
      </c>
      <c r="H501" t="s">
        <v>8245</v>
      </c>
      <c r="I501" s="8">
        <v>1255381140</v>
      </c>
      <c r="J501">
        <v>1250630968</v>
      </c>
      <c r="K501" t="b">
        <v>0</v>
      </c>
      <c r="L501" s="10">
        <v>26</v>
      </c>
      <c r="M501" t="b">
        <v>0</v>
      </c>
      <c r="N501" t="s">
        <v>8268</v>
      </c>
      <c r="O501" s="11">
        <f t="shared" si="32"/>
        <v>10</v>
      </c>
      <c r="P501" s="12">
        <f t="shared" si="33"/>
        <v>73</v>
      </c>
      <c r="Q501" s="14" t="s">
        <v>8307</v>
      </c>
      <c r="R501" t="s">
        <v>8313</v>
      </c>
      <c r="S501" s="17">
        <f t="shared" si="34"/>
        <v>40043.895462962959</v>
      </c>
      <c r="T501" s="17">
        <f t="shared" si="35"/>
        <v>40098.874305555553</v>
      </c>
      <c r="U501">
        <f>MONTH(Table1[[#This Row],[Launched]])</f>
        <v>8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8220</v>
      </c>
      <c r="G502" t="s">
        <v>8223</v>
      </c>
      <c r="H502" t="s">
        <v>8245</v>
      </c>
      <c r="I502" s="8">
        <v>1273356960</v>
      </c>
      <c r="J502">
        <v>1268255751</v>
      </c>
      <c r="K502" t="b">
        <v>0</v>
      </c>
      <c r="L502" s="10">
        <v>4</v>
      </c>
      <c r="M502" t="b">
        <v>0</v>
      </c>
      <c r="N502" t="s">
        <v>8268</v>
      </c>
      <c r="O502" s="11">
        <f t="shared" si="32"/>
        <v>3</v>
      </c>
      <c r="P502" s="12">
        <f t="shared" si="33"/>
        <v>54</v>
      </c>
      <c r="Q502" s="14" t="s">
        <v>8307</v>
      </c>
      <c r="R502" t="s">
        <v>8313</v>
      </c>
      <c r="S502" s="17">
        <f t="shared" si="34"/>
        <v>40247.886006944449</v>
      </c>
      <c r="T502" s="17">
        <f t="shared" si="35"/>
        <v>40306.927777777775</v>
      </c>
      <c r="U502">
        <f>MONTH(Table1[[#This Row],[Launched]])</f>
        <v>3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8220</v>
      </c>
      <c r="G503" t="s">
        <v>8223</v>
      </c>
      <c r="H503" t="s">
        <v>8245</v>
      </c>
      <c r="I503" s="8">
        <v>1310189851</v>
      </c>
      <c r="J503">
        <v>1307597851</v>
      </c>
      <c r="K503" t="b">
        <v>0</v>
      </c>
      <c r="L503" s="10">
        <v>0</v>
      </c>
      <c r="M503" t="b">
        <v>0</v>
      </c>
      <c r="N503" t="s">
        <v>8268</v>
      </c>
      <c r="O503" s="11">
        <f t="shared" si="32"/>
        <v>0</v>
      </c>
      <c r="P503" s="12" t="str">
        <f t="shared" si="33"/>
        <v>No Backers</v>
      </c>
      <c r="Q503" s="14" t="s">
        <v>8307</v>
      </c>
      <c r="R503" t="s">
        <v>8313</v>
      </c>
      <c r="S503" s="17">
        <f t="shared" si="34"/>
        <v>40703.234386574077</v>
      </c>
      <c r="T503" s="17">
        <f t="shared" si="35"/>
        <v>40733.234386574077</v>
      </c>
      <c r="U503">
        <f>MONTH(Table1[[#This Row],[Launched]])</f>
        <v>6</v>
      </c>
    </row>
    <row r="504" spans="1:21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8220</v>
      </c>
      <c r="G504" t="s">
        <v>8223</v>
      </c>
      <c r="H504" t="s">
        <v>8245</v>
      </c>
      <c r="I504" s="8">
        <v>1332073025</v>
      </c>
      <c r="J504">
        <v>1329484625</v>
      </c>
      <c r="K504" t="b">
        <v>0</v>
      </c>
      <c r="L504" s="10">
        <v>4</v>
      </c>
      <c r="M504" t="b">
        <v>0</v>
      </c>
      <c r="N504" t="s">
        <v>8268</v>
      </c>
      <c r="O504" s="11">
        <f t="shared" si="32"/>
        <v>1</v>
      </c>
      <c r="P504" s="12">
        <f t="shared" si="33"/>
        <v>58</v>
      </c>
      <c r="Q504" s="14" t="s">
        <v>8307</v>
      </c>
      <c r="R504" t="s">
        <v>8313</v>
      </c>
      <c r="S504" s="17">
        <f t="shared" si="34"/>
        <v>40956.553530092591</v>
      </c>
      <c r="T504" s="17">
        <f t="shared" si="35"/>
        <v>40986.511863425927</v>
      </c>
      <c r="U504">
        <f>MONTH(Table1[[#This Row],[Launched]])</f>
        <v>2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8220</v>
      </c>
      <c r="G505" t="s">
        <v>8224</v>
      </c>
      <c r="H505" t="s">
        <v>8246</v>
      </c>
      <c r="I505" s="8">
        <v>1421498303</v>
      </c>
      <c r="J505">
        <v>1418906303</v>
      </c>
      <c r="K505" t="b">
        <v>0</v>
      </c>
      <c r="L505" s="10">
        <v>9</v>
      </c>
      <c r="M505" t="b">
        <v>0</v>
      </c>
      <c r="N505" t="s">
        <v>8268</v>
      </c>
      <c r="O505" s="11">
        <f t="shared" si="32"/>
        <v>2</v>
      </c>
      <c r="P505" s="12">
        <f t="shared" si="33"/>
        <v>13</v>
      </c>
      <c r="Q505" s="14" t="s">
        <v>8307</v>
      </c>
      <c r="R505" t="s">
        <v>8313</v>
      </c>
      <c r="S505" s="17">
        <f t="shared" si="34"/>
        <v>41991.526655092588</v>
      </c>
      <c r="T505" s="17">
        <f t="shared" si="35"/>
        <v>42021.526655092588</v>
      </c>
      <c r="U505">
        <f>MONTH(Table1[[#This Row],[Launched]])</f>
        <v>12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8220</v>
      </c>
      <c r="G506" t="s">
        <v>8223</v>
      </c>
      <c r="H506" t="s">
        <v>8245</v>
      </c>
      <c r="I506" s="8">
        <v>1334097387</v>
      </c>
      <c r="J506">
        <v>1328916987</v>
      </c>
      <c r="K506" t="b">
        <v>0</v>
      </c>
      <c r="L506" s="10">
        <v>5</v>
      </c>
      <c r="M506" t="b">
        <v>0</v>
      </c>
      <c r="N506" t="s">
        <v>8268</v>
      </c>
      <c r="O506" s="11">
        <f t="shared" si="32"/>
        <v>1</v>
      </c>
      <c r="P506" s="12">
        <f t="shared" si="33"/>
        <v>67</v>
      </c>
      <c r="Q506" s="14" t="s">
        <v>8307</v>
      </c>
      <c r="R506" t="s">
        <v>8313</v>
      </c>
      <c r="S506" s="17">
        <f t="shared" si="34"/>
        <v>40949.98364583333</v>
      </c>
      <c r="T506" s="17">
        <f t="shared" si="35"/>
        <v>41009.941979166666</v>
      </c>
      <c r="U506">
        <f>MONTH(Table1[[#This Row],[Launched]])</f>
        <v>2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8220</v>
      </c>
      <c r="G507" t="s">
        <v>8223</v>
      </c>
      <c r="H507" t="s">
        <v>8245</v>
      </c>
      <c r="I507" s="8">
        <v>1451010086</v>
      </c>
      <c r="J507">
        <v>1447122086</v>
      </c>
      <c r="K507" t="b">
        <v>0</v>
      </c>
      <c r="L507" s="10">
        <v>14</v>
      </c>
      <c r="M507" t="b">
        <v>0</v>
      </c>
      <c r="N507" t="s">
        <v>8268</v>
      </c>
      <c r="O507" s="11">
        <f t="shared" si="32"/>
        <v>0</v>
      </c>
      <c r="P507" s="12">
        <f t="shared" si="33"/>
        <v>4</v>
      </c>
      <c r="Q507" s="14" t="s">
        <v>8307</v>
      </c>
      <c r="R507" t="s">
        <v>8313</v>
      </c>
      <c r="S507" s="17">
        <f t="shared" si="34"/>
        <v>42318.098217592589</v>
      </c>
      <c r="T507" s="17">
        <f t="shared" si="35"/>
        <v>42363.098217592589</v>
      </c>
      <c r="U507">
        <f>MONTH(Table1[[#This Row],[Launched]])</f>
        <v>11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8220</v>
      </c>
      <c r="G508" t="s">
        <v>8223</v>
      </c>
      <c r="H508" t="s">
        <v>8245</v>
      </c>
      <c r="I508" s="8">
        <v>1376140520</v>
      </c>
      <c r="J508">
        <v>1373548520</v>
      </c>
      <c r="K508" t="b">
        <v>0</v>
      </c>
      <c r="L508" s="10">
        <v>1</v>
      </c>
      <c r="M508" t="b">
        <v>0</v>
      </c>
      <c r="N508" t="s">
        <v>8268</v>
      </c>
      <c r="O508" s="11">
        <f t="shared" si="32"/>
        <v>0</v>
      </c>
      <c r="P508" s="12">
        <f t="shared" si="33"/>
        <v>250</v>
      </c>
      <c r="Q508" s="14" t="s">
        <v>8307</v>
      </c>
      <c r="R508" t="s">
        <v>8313</v>
      </c>
      <c r="S508" s="17">
        <f t="shared" si="34"/>
        <v>41466.552314814813</v>
      </c>
      <c r="T508" s="17">
        <f t="shared" si="35"/>
        <v>41496.552314814813</v>
      </c>
      <c r="U508">
        <f>MONTH(Table1[[#This Row],[Launched]])</f>
        <v>7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8220</v>
      </c>
      <c r="G509" t="s">
        <v>8223</v>
      </c>
      <c r="H509" t="s">
        <v>8245</v>
      </c>
      <c r="I509" s="8">
        <v>1350687657</v>
      </c>
      <c r="J509">
        <v>1346799657</v>
      </c>
      <c r="K509" t="b">
        <v>0</v>
      </c>
      <c r="L509" s="10">
        <v>10</v>
      </c>
      <c r="M509" t="b">
        <v>0</v>
      </c>
      <c r="N509" t="s">
        <v>8268</v>
      </c>
      <c r="O509" s="11">
        <f t="shared" si="32"/>
        <v>3</v>
      </c>
      <c r="P509" s="12">
        <f t="shared" si="33"/>
        <v>64</v>
      </c>
      <c r="Q509" s="14" t="s">
        <v>8307</v>
      </c>
      <c r="R509" t="s">
        <v>8313</v>
      </c>
      <c r="S509" s="17">
        <f t="shared" si="34"/>
        <v>41156.958993055552</v>
      </c>
      <c r="T509" s="17">
        <f t="shared" si="35"/>
        <v>41201.958993055552</v>
      </c>
      <c r="U509">
        <f>MONTH(Table1[[#This Row],[Launched]])</f>
        <v>9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8220</v>
      </c>
      <c r="G510" t="s">
        <v>8223</v>
      </c>
      <c r="H510" t="s">
        <v>8245</v>
      </c>
      <c r="I510" s="8">
        <v>1337955240</v>
      </c>
      <c r="J510">
        <v>1332808501</v>
      </c>
      <c r="K510" t="b">
        <v>0</v>
      </c>
      <c r="L510" s="10">
        <v>3</v>
      </c>
      <c r="M510" t="b">
        <v>0</v>
      </c>
      <c r="N510" t="s">
        <v>8268</v>
      </c>
      <c r="O510" s="11">
        <f t="shared" si="32"/>
        <v>1</v>
      </c>
      <c r="P510" s="12">
        <f t="shared" si="33"/>
        <v>133</v>
      </c>
      <c r="Q510" s="14" t="s">
        <v>8307</v>
      </c>
      <c r="R510" t="s">
        <v>8313</v>
      </c>
      <c r="S510" s="17">
        <f t="shared" si="34"/>
        <v>40995.024317129632</v>
      </c>
      <c r="T510" s="17">
        <f t="shared" si="35"/>
        <v>41054.593055555553</v>
      </c>
      <c r="U510">
        <f>MONTH(Table1[[#This Row],[Launched]])</f>
        <v>3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8220</v>
      </c>
      <c r="G511" t="s">
        <v>8224</v>
      </c>
      <c r="H511" t="s">
        <v>8246</v>
      </c>
      <c r="I511" s="8">
        <v>1435504170</v>
      </c>
      <c r="J511">
        <v>1432912170</v>
      </c>
      <c r="K511" t="b">
        <v>0</v>
      </c>
      <c r="L511" s="10">
        <v>1</v>
      </c>
      <c r="M511" t="b">
        <v>0</v>
      </c>
      <c r="N511" t="s">
        <v>8268</v>
      </c>
      <c r="O511" s="11">
        <f t="shared" si="32"/>
        <v>0</v>
      </c>
      <c r="P511" s="12">
        <f t="shared" si="33"/>
        <v>10</v>
      </c>
      <c r="Q511" s="14" t="s">
        <v>8307</v>
      </c>
      <c r="R511" t="s">
        <v>8313</v>
      </c>
      <c r="S511" s="17">
        <f t="shared" si="34"/>
        <v>42153.631597222222</v>
      </c>
      <c r="T511" s="17">
        <f t="shared" si="35"/>
        <v>42183.631597222222</v>
      </c>
      <c r="U511">
        <f>MONTH(Table1[[#This Row],[Launched]])</f>
        <v>5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8220</v>
      </c>
      <c r="G512" t="s">
        <v>8223</v>
      </c>
      <c r="H512" t="s">
        <v>8245</v>
      </c>
      <c r="I512" s="8">
        <v>1456805639</v>
      </c>
      <c r="J512">
        <v>1454213639</v>
      </c>
      <c r="K512" t="b">
        <v>0</v>
      </c>
      <c r="L512" s="10">
        <v>0</v>
      </c>
      <c r="M512" t="b">
        <v>0</v>
      </c>
      <c r="N512" t="s">
        <v>8268</v>
      </c>
      <c r="O512" s="11">
        <f t="shared" si="32"/>
        <v>0</v>
      </c>
      <c r="P512" s="12" t="str">
        <f t="shared" si="33"/>
        <v>No Backers</v>
      </c>
      <c r="Q512" s="14" t="s">
        <v>8307</v>
      </c>
      <c r="R512" t="s">
        <v>8313</v>
      </c>
      <c r="S512" s="17">
        <f t="shared" si="34"/>
        <v>42400.176377314812</v>
      </c>
      <c r="T512" s="17">
        <f t="shared" si="35"/>
        <v>42430.176377314812</v>
      </c>
      <c r="U512">
        <f>MONTH(Table1[[#This Row],[Launched]])</f>
        <v>1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8220</v>
      </c>
      <c r="G513" t="s">
        <v>8223</v>
      </c>
      <c r="H513" t="s">
        <v>8245</v>
      </c>
      <c r="I513" s="8">
        <v>1365228982</v>
      </c>
      <c r="J513">
        <v>1362640582</v>
      </c>
      <c r="K513" t="b">
        <v>0</v>
      </c>
      <c r="L513" s="10">
        <v>5</v>
      </c>
      <c r="M513" t="b">
        <v>0</v>
      </c>
      <c r="N513" t="s">
        <v>8268</v>
      </c>
      <c r="O513" s="11">
        <f t="shared" si="32"/>
        <v>3</v>
      </c>
      <c r="P513" s="12">
        <f t="shared" si="33"/>
        <v>30</v>
      </c>
      <c r="Q513" s="14" t="s">
        <v>8307</v>
      </c>
      <c r="R513" t="s">
        <v>8313</v>
      </c>
      <c r="S513" s="17">
        <f t="shared" si="34"/>
        <v>41340.303032407406</v>
      </c>
      <c r="T513" s="17">
        <f t="shared" si="35"/>
        <v>41370.261365740742</v>
      </c>
      <c r="U513">
        <f>MONTH(Table1[[#This Row],[Launched]])</f>
        <v>3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8220</v>
      </c>
      <c r="G514" t="s">
        <v>8223</v>
      </c>
      <c r="H514" t="s">
        <v>8245</v>
      </c>
      <c r="I514" s="8">
        <v>1479667727</v>
      </c>
      <c r="J514">
        <v>1475776127</v>
      </c>
      <c r="K514" t="b">
        <v>0</v>
      </c>
      <c r="L514" s="10">
        <v>2</v>
      </c>
      <c r="M514" t="b">
        <v>0</v>
      </c>
      <c r="N514" t="s">
        <v>8268</v>
      </c>
      <c r="O514" s="11">
        <f t="shared" ref="O514:O577" si="36">ROUND(E514/D514*100,0)</f>
        <v>0</v>
      </c>
      <c r="P514" s="12">
        <f t="shared" si="33"/>
        <v>6</v>
      </c>
      <c r="Q514" s="14" t="s">
        <v>8307</v>
      </c>
      <c r="R514" t="s">
        <v>8313</v>
      </c>
      <c r="S514" s="17">
        <f t="shared" si="34"/>
        <v>42649.742210648154</v>
      </c>
      <c r="T514" s="17">
        <f t="shared" si="35"/>
        <v>42694.783877314811</v>
      </c>
      <c r="U514">
        <f>MONTH(Table1[[#This Row],[Launched]])</f>
        <v>10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8220</v>
      </c>
      <c r="G515" t="s">
        <v>8223</v>
      </c>
      <c r="H515" t="s">
        <v>8245</v>
      </c>
      <c r="I515" s="8">
        <v>1471244400</v>
      </c>
      <c r="J515">
        <v>1467387705</v>
      </c>
      <c r="K515" t="b">
        <v>0</v>
      </c>
      <c r="L515" s="10">
        <v>68</v>
      </c>
      <c r="M515" t="b">
        <v>0</v>
      </c>
      <c r="N515" t="s">
        <v>8268</v>
      </c>
      <c r="O515" s="11">
        <f t="shared" si="36"/>
        <v>14</v>
      </c>
      <c r="P515" s="12">
        <f t="shared" ref="P515:P578" si="37">IFERROR(ROUND(E515/L515,),"No Backers")</f>
        <v>102</v>
      </c>
      <c r="Q515" s="14" t="s">
        <v>8307</v>
      </c>
      <c r="R515" t="s">
        <v>8313</v>
      </c>
      <c r="S515" s="17">
        <f t="shared" ref="S515:S578" si="38">(((J515/60)/60)/24)+DATE(1970,1,1)</f>
        <v>42552.653993055559</v>
      </c>
      <c r="T515" s="17">
        <f t="shared" ref="T515:T578" si="39">(((I515/60)/60)/24)+DATE(1970,1,1)</f>
        <v>42597.291666666672</v>
      </c>
      <c r="U515">
        <f>MONTH(Table1[[#This Row],[Launched]])</f>
        <v>7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8220</v>
      </c>
      <c r="G516" t="s">
        <v>8228</v>
      </c>
      <c r="H516" t="s">
        <v>8250</v>
      </c>
      <c r="I516" s="8">
        <v>1407595447</v>
      </c>
      <c r="J516">
        <v>1405003447</v>
      </c>
      <c r="K516" t="b">
        <v>0</v>
      </c>
      <c r="L516" s="10">
        <v>3</v>
      </c>
      <c r="M516" t="b">
        <v>0</v>
      </c>
      <c r="N516" t="s">
        <v>8268</v>
      </c>
      <c r="O516" s="11">
        <f t="shared" si="36"/>
        <v>3</v>
      </c>
      <c r="P516" s="12">
        <f t="shared" si="37"/>
        <v>17</v>
      </c>
      <c r="Q516" s="14" t="s">
        <v>8307</v>
      </c>
      <c r="R516" t="s">
        <v>8313</v>
      </c>
      <c r="S516" s="17">
        <f t="shared" si="38"/>
        <v>41830.613969907405</v>
      </c>
      <c r="T516" s="17">
        <f t="shared" si="39"/>
        <v>41860.613969907405</v>
      </c>
      <c r="U516">
        <f>MONTH(Table1[[#This Row],[Launched]])</f>
        <v>7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8220</v>
      </c>
      <c r="G517" t="s">
        <v>8223</v>
      </c>
      <c r="H517" t="s">
        <v>8245</v>
      </c>
      <c r="I517" s="8">
        <v>1451389601</v>
      </c>
      <c r="J517">
        <v>1447933601</v>
      </c>
      <c r="K517" t="b">
        <v>0</v>
      </c>
      <c r="L517" s="10">
        <v>34</v>
      </c>
      <c r="M517" t="b">
        <v>0</v>
      </c>
      <c r="N517" t="s">
        <v>8268</v>
      </c>
      <c r="O517" s="11">
        <f t="shared" si="36"/>
        <v>25</v>
      </c>
      <c r="P517" s="12">
        <f t="shared" si="37"/>
        <v>725</v>
      </c>
      <c r="Q517" s="14" t="s">
        <v>8307</v>
      </c>
      <c r="R517" t="s">
        <v>8313</v>
      </c>
      <c r="S517" s="17">
        <f t="shared" si="38"/>
        <v>42327.490752314814</v>
      </c>
      <c r="T517" s="17">
        <f t="shared" si="39"/>
        <v>42367.490752314814</v>
      </c>
      <c r="U517">
        <f>MONTH(Table1[[#This Row],[Launched]])</f>
        <v>11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8220</v>
      </c>
      <c r="G518" t="s">
        <v>8224</v>
      </c>
      <c r="H518" t="s">
        <v>8246</v>
      </c>
      <c r="I518" s="8">
        <v>1432752080</v>
      </c>
      <c r="J518">
        <v>1427568080</v>
      </c>
      <c r="K518" t="b">
        <v>0</v>
      </c>
      <c r="L518" s="10">
        <v>0</v>
      </c>
      <c r="M518" t="b">
        <v>0</v>
      </c>
      <c r="N518" t="s">
        <v>8268</v>
      </c>
      <c r="O518" s="11">
        <f t="shared" si="36"/>
        <v>0</v>
      </c>
      <c r="P518" s="12" t="str">
        <f t="shared" si="37"/>
        <v>No Backers</v>
      </c>
      <c r="Q518" s="14" t="s">
        <v>8307</v>
      </c>
      <c r="R518" t="s">
        <v>8313</v>
      </c>
      <c r="S518" s="17">
        <f t="shared" si="38"/>
        <v>42091.778703703705</v>
      </c>
      <c r="T518" s="17">
        <f t="shared" si="39"/>
        <v>42151.778703703705</v>
      </c>
      <c r="U518">
        <f>MONTH(Table1[[#This Row],[Launched]])</f>
        <v>3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8220</v>
      </c>
      <c r="G519" t="s">
        <v>8223</v>
      </c>
      <c r="H519" t="s">
        <v>8245</v>
      </c>
      <c r="I519" s="8">
        <v>1486046761</v>
      </c>
      <c r="J519">
        <v>1483454761</v>
      </c>
      <c r="K519" t="b">
        <v>0</v>
      </c>
      <c r="L519" s="10">
        <v>3</v>
      </c>
      <c r="M519" t="b">
        <v>0</v>
      </c>
      <c r="N519" t="s">
        <v>8268</v>
      </c>
      <c r="O519" s="11">
        <f t="shared" si="36"/>
        <v>1</v>
      </c>
      <c r="P519" s="12">
        <f t="shared" si="37"/>
        <v>68</v>
      </c>
      <c r="Q519" s="14" t="s">
        <v>8307</v>
      </c>
      <c r="R519" t="s">
        <v>8313</v>
      </c>
      <c r="S519" s="17">
        <f t="shared" si="38"/>
        <v>42738.615289351852</v>
      </c>
      <c r="T519" s="17">
        <f t="shared" si="39"/>
        <v>42768.615289351852</v>
      </c>
      <c r="U519">
        <f>MONTH(Table1[[#This Row],[Launched]])</f>
        <v>1</v>
      </c>
    </row>
    <row r="520" spans="1:21" ht="57.6" x14ac:dyDescent="0.3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8220</v>
      </c>
      <c r="G520" t="s">
        <v>8223</v>
      </c>
      <c r="H520" t="s">
        <v>8245</v>
      </c>
      <c r="I520" s="8">
        <v>1441550760</v>
      </c>
      <c r="J520">
        <v>1438958824</v>
      </c>
      <c r="K520" t="b">
        <v>0</v>
      </c>
      <c r="L520" s="10">
        <v>0</v>
      </c>
      <c r="M520" t="b">
        <v>0</v>
      </c>
      <c r="N520" t="s">
        <v>8268</v>
      </c>
      <c r="O520" s="11">
        <f t="shared" si="36"/>
        <v>0</v>
      </c>
      <c r="P520" s="12" t="str">
        <f t="shared" si="37"/>
        <v>No Backers</v>
      </c>
      <c r="Q520" s="14" t="s">
        <v>8307</v>
      </c>
      <c r="R520" t="s">
        <v>8313</v>
      </c>
      <c r="S520" s="17">
        <f t="shared" si="38"/>
        <v>42223.616018518514</v>
      </c>
      <c r="T520" s="17">
        <f t="shared" si="39"/>
        <v>42253.615277777775</v>
      </c>
      <c r="U520">
        <f>MONTH(Table1[[#This Row],[Launched]])</f>
        <v>8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8220</v>
      </c>
      <c r="G521" t="s">
        <v>8223</v>
      </c>
      <c r="H521" t="s">
        <v>8245</v>
      </c>
      <c r="I521" s="8">
        <v>1354699421</v>
      </c>
      <c r="J521">
        <v>1352107421</v>
      </c>
      <c r="K521" t="b">
        <v>0</v>
      </c>
      <c r="L521" s="10">
        <v>70</v>
      </c>
      <c r="M521" t="b">
        <v>0</v>
      </c>
      <c r="N521" t="s">
        <v>8268</v>
      </c>
      <c r="O521" s="11">
        <f t="shared" si="36"/>
        <v>23</v>
      </c>
      <c r="P521" s="12">
        <f t="shared" si="37"/>
        <v>39</v>
      </c>
      <c r="Q521" s="14" t="s">
        <v>8307</v>
      </c>
      <c r="R521" t="s">
        <v>8313</v>
      </c>
      <c r="S521" s="17">
        <f t="shared" si="38"/>
        <v>41218.391446759262</v>
      </c>
      <c r="T521" s="17">
        <f t="shared" si="39"/>
        <v>41248.391446759262</v>
      </c>
      <c r="U521">
        <f>MONTH(Table1[[#This Row],[Launched]])</f>
        <v>11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8218</v>
      </c>
      <c r="G522" t="s">
        <v>8224</v>
      </c>
      <c r="H522" t="s">
        <v>8246</v>
      </c>
      <c r="I522" s="8">
        <v>1449766261</v>
      </c>
      <c r="J522">
        <v>1447174261</v>
      </c>
      <c r="K522" t="b">
        <v>0</v>
      </c>
      <c r="L522" s="10">
        <v>34</v>
      </c>
      <c r="M522" t="b">
        <v>1</v>
      </c>
      <c r="N522" t="s">
        <v>8269</v>
      </c>
      <c r="O522" s="11">
        <f t="shared" si="36"/>
        <v>102</v>
      </c>
      <c r="P522" s="12">
        <f t="shared" si="37"/>
        <v>150</v>
      </c>
      <c r="Q522" s="14" t="s">
        <v>8314</v>
      </c>
      <c r="R522" t="s">
        <v>8315</v>
      </c>
      <c r="S522" s="17">
        <f t="shared" si="38"/>
        <v>42318.702094907407</v>
      </c>
      <c r="T522" s="17">
        <f t="shared" si="39"/>
        <v>42348.702094907407</v>
      </c>
      <c r="U522">
        <f>MONTH(Table1[[#This Row],[Launched]])</f>
        <v>11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8218</v>
      </c>
      <c r="G523" t="s">
        <v>8223</v>
      </c>
      <c r="H523" t="s">
        <v>8245</v>
      </c>
      <c r="I523" s="8">
        <v>1477976340</v>
      </c>
      <c r="J523">
        <v>1475460819</v>
      </c>
      <c r="K523" t="b">
        <v>0</v>
      </c>
      <c r="L523" s="10">
        <v>56</v>
      </c>
      <c r="M523" t="b">
        <v>1</v>
      </c>
      <c r="N523" t="s">
        <v>8269</v>
      </c>
      <c r="O523" s="11">
        <f t="shared" si="36"/>
        <v>105</v>
      </c>
      <c r="P523" s="12">
        <f t="shared" si="37"/>
        <v>93</v>
      </c>
      <c r="Q523" s="14" t="s">
        <v>8314</v>
      </c>
      <c r="R523" t="s">
        <v>8315</v>
      </c>
      <c r="S523" s="17">
        <f t="shared" si="38"/>
        <v>42646.092812499999</v>
      </c>
      <c r="T523" s="17">
        <f t="shared" si="39"/>
        <v>42675.207638888889</v>
      </c>
      <c r="U523">
        <f>MONTH(Table1[[#This Row],[Launched]])</f>
        <v>10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8218</v>
      </c>
      <c r="G524" t="s">
        <v>8223</v>
      </c>
      <c r="H524" t="s">
        <v>8245</v>
      </c>
      <c r="I524" s="8">
        <v>1458518325</v>
      </c>
      <c r="J524">
        <v>1456793925</v>
      </c>
      <c r="K524" t="b">
        <v>0</v>
      </c>
      <c r="L524" s="10">
        <v>31</v>
      </c>
      <c r="M524" t="b">
        <v>1</v>
      </c>
      <c r="N524" t="s">
        <v>8269</v>
      </c>
      <c r="O524" s="11">
        <f t="shared" si="36"/>
        <v>115</v>
      </c>
      <c r="P524" s="12">
        <f t="shared" si="37"/>
        <v>111</v>
      </c>
      <c r="Q524" s="14" t="s">
        <v>8314</v>
      </c>
      <c r="R524" t="s">
        <v>8315</v>
      </c>
      <c r="S524" s="17">
        <f t="shared" si="38"/>
        <v>42430.040798611109</v>
      </c>
      <c r="T524" s="17">
        <f t="shared" si="39"/>
        <v>42449.999131944445</v>
      </c>
      <c r="U524">
        <f>MONTH(Table1[[#This Row],[Launched]])</f>
        <v>3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8218</v>
      </c>
      <c r="G525" t="s">
        <v>8223</v>
      </c>
      <c r="H525" t="s">
        <v>8245</v>
      </c>
      <c r="I525" s="8">
        <v>1442805076</v>
      </c>
      <c r="J525">
        <v>1440213076</v>
      </c>
      <c r="K525" t="b">
        <v>0</v>
      </c>
      <c r="L525" s="10">
        <v>84</v>
      </c>
      <c r="M525" t="b">
        <v>1</v>
      </c>
      <c r="N525" t="s">
        <v>8269</v>
      </c>
      <c r="O525" s="11">
        <f t="shared" si="36"/>
        <v>121</v>
      </c>
      <c r="P525" s="12">
        <f t="shared" si="37"/>
        <v>72</v>
      </c>
      <c r="Q525" s="14" t="s">
        <v>8314</v>
      </c>
      <c r="R525" t="s">
        <v>8315</v>
      </c>
      <c r="S525" s="17">
        <f t="shared" si="38"/>
        <v>42238.13282407407</v>
      </c>
      <c r="T525" s="17">
        <f t="shared" si="39"/>
        <v>42268.13282407407</v>
      </c>
      <c r="U525">
        <f>MONTH(Table1[[#This Row],[Launched]])</f>
        <v>8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8218</v>
      </c>
      <c r="G526" t="s">
        <v>8224</v>
      </c>
      <c r="H526" t="s">
        <v>8246</v>
      </c>
      <c r="I526" s="8">
        <v>1464801169</v>
      </c>
      <c r="J526">
        <v>1462209169</v>
      </c>
      <c r="K526" t="b">
        <v>0</v>
      </c>
      <c r="L526" s="10">
        <v>130</v>
      </c>
      <c r="M526" t="b">
        <v>1</v>
      </c>
      <c r="N526" t="s">
        <v>8269</v>
      </c>
      <c r="O526" s="11">
        <f t="shared" si="36"/>
        <v>109</v>
      </c>
      <c r="P526" s="12">
        <f t="shared" si="37"/>
        <v>29</v>
      </c>
      <c r="Q526" s="14" t="s">
        <v>8314</v>
      </c>
      <c r="R526" t="s">
        <v>8315</v>
      </c>
      <c r="S526" s="17">
        <f t="shared" si="38"/>
        <v>42492.717233796298</v>
      </c>
      <c r="T526" s="17">
        <f t="shared" si="39"/>
        <v>42522.717233796298</v>
      </c>
      <c r="U526">
        <f>MONTH(Table1[[#This Row],[Launched]])</f>
        <v>5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8218</v>
      </c>
      <c r="G527" t="s">
        <v>8223</v>
      </c>
      <c r="H527" t="s">
        <v>8245</v>
      </c>
      <c r="I527" s="8">
        <v>1410601041</v>
      </c>
      <c r="J527">
        <v>1406713041</v>
      </c>
      <c r="K527" t="b">
        <v>0</v>
      </c>
      <c r="L527" s="10">
        <v>12</v>
      </c>
      <c r="M527" t="b">
        <v>1</v>
      </c>
      <c r="N527" t="s">
        <v>8269</v>
      </c>
      <c r="O527" s="11">
        <f t="shared" si="36"/>
        <v>100</v>
      </c>
      <c r="P527" s="12">
        <f t="shared" si="37"/>
        <v>1000</v>
      </c>
      <c r="Q527" s="14" t="s">
        <v>8314</v>
      </c>
      <c r="R527" t="s">
        <v>8315</v>
      </c>
      <c r="S527" s="17">
        <f t="shared" si="38"/>
        <v>41850.400937500002</v>
      </c>
      <c r="T527" s="17">
        <f t="shared" si="39"/>
        <v>41895.400937500002</v>
      </c>
      <c r="U527">
        <f>MONTH(Table1[[#This Row],[Launched]])</f>
        <v>7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8218</v>
      </c>
      <c r="G528" t="s">
        <v>8224</v>
      </c>
      <c r="H528" t="s">
        <v>8246</v>
      </c>
      <c r="I528" s="8">
        <v>1438966800</v>
      </c>
      <c r="J528">
        <v>1436278344</v>
      </c>
      <c r="K528" t="b">
        <v>0</v>
      </c>
      <c r="L528" s="10">
        <v>23</v>
      </c>
      <c r="M528" t="b">
        <v>1</v>
      </c>
      <c r="N528" t="s">
        <v>8269</v>
      </c>
      <c r="O528" s="11">
        <f t="shared" si="36"/>
        <v>114</v>
      </c>
      <c r="P528" s="12">
        <f t="shared" si="37"/>
        <v>74</v>
      </c>
      <c r="Q528" s="14" t="s">
        <v>8314</v>
      </c>
      <c r="R528" t="s">
        <v>8315</v>
      </c>
      <c r="S528" s="17">
        <f t="shared" si="38"/>
        <v>42192.591944444444</v>
      </c>
      <c r="T528" s="17">
        <f t="shared" si="39"/>
        <v>42223.708333333328</v>
      </c>
      <c r="U528">
        <f>MONTH(Table1[[#This Row],[Launched]])</f>
        <v>7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8218</v>
      </c>
      <c r="G529" t="s">
        <v>8223</v>
      </c>
      <c r="H529" t="s">
        <v>8245</v>
      </c>
      <c r="I529" s="8">
        <v>1487347500</v>
      </c>
      <c r="J529">
        <v>1484715366</v>
      </c>
      <c r="K529" t="b">
        <v>0</v>
      </c>
      <c r="L529" s="10">
        <v>158</v>
      </c>
      <c r="M529" t="b">
        <v>1</v>
      </c>
      <c r="N529" t="s">
        <v>8269</v>
      </c>
      <c r="O529" s="11">
        <f t="shared" si="36"/>
        <v>101</v>
      </c>
      <c r="P529" s="12">
        <f t="shared" si="37"/>
        <v>64</v>
      </c>
      <c r="Q529" s="14" t="s">
        <v>8314</v>
      </c>
      <c r="R529" t="s">
        <v>8315</v>
      </c>
      <c r="S529" s="17">
        <f t="shared" si="38"/>
        <v>42753.205625000002</v>
      </c>
      <c r="T529" s="17">
        <f t="shared" si="39"/>
        <v>42783.670138888891</v>
      </c>
      <c r="U529">
        <f>MONTH(Table1[[#This Row],[Launched]])</f>
        <v>1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8218</v>
      </c>
      <c r="G530" t="s">
        <v>8223</v>
      </c>
      <c r="H530" t="s">
        <v>8245</v>
      </c>
      <c r="I530" s="8">
        <v>1434921600</v>
      </c>
      <c r="J530">
        <v>1433109907</v>
      </c>
      <c r="K530" t="b">
        <v>0</v>
      </c>
      <c r="L530" s="10">
        <v>30</v>
      </c>
      <c r="M530" t="b">
        <v>1</v>
      </c>
      <c r="N530" t="s">
        <v>8269</v>
      </c>
      <c r="O530" s="11">
        <f t="shared" si="36"/>
        <v>116</v>
      </c>
      <c r="P530" s="12">
        <f t="shared" si="37"/>
        <v>44</v>
      </c>
      <c r="Q530" s="14" t="s">
        <v>8314</v>
      </c>
      <c r="R530" t="s">
        <v>8315</v>
      </c>
      <c r="S530" s="17">
        <f t="shared" si="38"/>
        <v>42155.920219907406</v>
      </c>
      <c r="T530" s="17">
        <f t="shared" si="39"/>
        <v>42176.888888888891</v>
      </c>
      <c r="U530">
        <f>MONTH(Table1[[#This Row],[Launched]])</f>
        <v>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8218</v>
      </c>
      <c r="G531" t="s">
        <v>8228</v>
      </c>
      <c r="H531" t="s">
        <v>8250</v>
      </c>
      <c r="I531" s="8">
        <v>1484110800</v>
      </c>
      <c r="J531">
        <v>1482281094</v>
      </c>
      <c r="K531" t="b">
        <v>0</v>
      </c>
      <c r="L531" s="10">
        <v>18</v>
      </c>
      <c r="M531" t="b">
        <v>1</v>
      </c>
      <c r="N531" t="s">
        <v>8269</v>
      </c>
      <c r="O531" s="11">
        <f t="shared" si="36"/>
        <v>130</v>
      </c>
      <c r="P531" s="12">
        <f t="shared" si="37"/>
        <v>87</v>
      </c>
      <c r="Q531" s="14" t="s">
        <v>8314</v>
      </c>
      <c r="R531" t="s">
        <v>8315</v>
      </c>
      <c r="S531" s="17">
        <f t="shared" si="38"/>
        <v>42725.031180555554</v>
      </c>
      <c r="T531" s="17">
        <f t="shared" si="39"/>
        <v>42746.208333333328</v>
      </c>
      <c r="U531">
        <f>MONTH(Table1[[#This Row],[Launched]])</f>
        <v>12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8218</v>
      </c>
      <c r="G532" t="s">
        <v>8223</v>
      </c>
      <c r="H532" t="s">
        <v>8245</v>
      </c>
      <c r="I532" s="8">
        <v>1435111200</v>
      </c>
      <c r="J532">
        <v>1433254268</v>
      </c>
      <c r="K532" t="b">
        <v>0</v>
      </c>
      <c r="L532" s="10">
        <v>29</v>
      </c>
      <c r="M532" t="b">
        <v>1</v>
      </c>
      <c r="N532" t="s">
        <v>8269</v>
      </c>
      <c r="O532" s="11">
        <f t="shared" si="36"/>
        <v>108</v>
      </c>
      <c r="P532" s="12">
        <f t="shared" si="37"/>
        <v>127</v>
      </c>
      <c r="Q532" s="14" t="s">
        <v>8314</v>
      </c>
      <c r="R532" t="s">
        <v>8315</v>
      </c>
      <c r="S532" s="17">
        <f t="shared" si="38"/>
        <v>42157.591064814813</v>
      </c>
      <c r="T532" s="17">
        <f t="shared" si="39"/>
        <v>42179.083333333328</v>
      </c>
      <c r="U532">
        <f>MONTH(Table1[[#This Row],[Launched]])</f>
        <v>6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8218</v>
      </c>
      <c r="G533" t="s">
        <v>8223</v>
      </c>
      <c r="H533" t="s">
        <v>8245</v>
      </c>
      <c r="I533" s="8">
        <v>1481957940</v>
      </c>
      <c r="J533">
        <v>1478050429</v>
      </c>
      <c r="K533" t="b">
        <v>0</v>
      </c>
      <c r="L533" s="10">
        <v>31</v>
      </c>
      <c r="M533" t="b">
        <v>1</v>
      </c>
      <c r="N533" t="s">
        <v>8269</v>
      </c>
      <c r="O533" s="11">
        <f t="shared" si="36"/>
        <v>100</v>
      </c>
      <c r="P533" s="12">
        <f t="shared" si="37"/>
        <v>129</v>
      </c>
      <c r="Q533" s="14" t="s">
        <v>8314</v>
      </c>
      <c r="R533" t="s">
        <v>8315</v>
      </c>
      <c r="S533" s="17">
        <f t="shared" si="38"/>
        <v>42676.065150462964</v>
      </c>
      <c r="T533" s="17">
        <f t="shared" si="39"/>
        <v>42721.290972222225</v>
      </c>
      <c r="U533">
        <f>MONTH(Table1[[#This Row],[Launched]])</f>
        <v>11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8218</v>
      </c>
      <c r="G534" t="s">
        <v>8223</v>
      </c>
      <c r="H534" t="s">
        <v>8245</v>
      </c>
      <c r="I534" s="8">
        <v>1463098208</v>
      </c>
      <c r="J534">
        <v>1460506208</v>
      </c>
      <c r="K534" t="b">
        <v>0</v>
      </c>
      <c r="L534" s="10">
        <v>173</v>
      </c>
      <c r="M534" t="b">
        <v>1</v>
      </c>
      <c r="N534" t="s">
        <v>8269</v>
      </c>
      <c r="O534" s="11">
        <f t="shared" si="36"/>
        <v>123</v>
      </c>
      <c r="P534" s="12">
        <f t="shared" si="37"/>
        <v>71</v>
      </c>
      <c r="Q534" s="14" t="s">
        <v>8314</v>
      </c>
      <c r="R534" t="s">
        <v>8315</v>
      </c>
      <c r="S534" s="17">
        <f t="shared" si="38"/>
        <v>42473.007037037038</v>
      </c>
      <c r="T534" s="17">
        <f t="shared" si="39"/>
        <v>42503.007037037038</v>
      </c>
      <c r="U534">
        <f>MONTH(Table1[[#This Row],[Launched]])</f>
        <v>4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8218</v>
      </c>
      <c r="G535" t="s">
        <v>8224</v>
      </c>
      <c r="H535" t="s">
        <v>8246</v>
      </c>
      <c r="I535" s="8">
        <v>1463394365</v>
      </c>
      <c r="J535">
        <v>1461320765</v>
      </c>
      <c r="K535" t="b">
        <v>0</v>
      </c>
      <c r="L535" s="10">
        <v>17</v>
      </c>
      <c r="M535" t="b">
        <v>1</v>
      </c>
      <c r="N535" t="s">
        <v>8269</v>
      </c>
      <c r="O535" s="11">
        <f t="shared" si="36"/>
        <v>100</v>
      </c>
      <c r="P535" s="12">
        <f t="shared" si="37"/>
        <v>118</v>
      </c>
      <c r="Q535" s="14" t="s">
        <v>8314</v>
      </c>
      <c r="R535" t="s">
        <v>8315</v>
      </c>
      <c r="S535" s="17">
        <f t="shared" si="38"/>
        <v>42482.43478009259</v>
      </c>
      <c r="T535" s="17">
        <f t="shared" si="39"/>
        <v>42506.43478009259</v>
      </c>
      <c r="U535">
        <f>MONTH(Table1[[#This Row],[Launched]])</f>
        <v>4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8218</v>
      </c>
      <c r="G536" t="s">
        <v>8233</v>
      </c>
      <c r="H536" t="s">
        <v>8253</v>
      </c>
      <c r="I536" s="8">
        <v>1446418800</v>
      </c>
      <c r="J536">
        <v>1443036470</v>
      </c>
      <c r="K536" t="b">
        <v>0</v>
      </c>
      <c r="L536" s="10">
        <v>48</v>
      </c>
      <c r="M536" t="b">
        <v>1</v>
      </c>
      <c r="N536" t="s">
        <v>8269</v>
      </c>
      <c r="O536" s="11">
        <f t="shared" si="36"/>
        <v>105</v>
      </c>
      <c r="P536" s="12">
        <f t="shared" si="37"/>
        <v>327</v>
      </c>
      <c r="Q536" s="14" t="s">
        <v>8314</v>
      </c>
      <c r="R536" t="s">
        <v>8315</v>
      </c>
      <c r="S536" s="17">
        <f t="shared" si="38"/>
        <v>42270.810995370368</v>
      </c>
      <c r="T536" s="17">
        <f t="shared" si="39"/>
        <v>42309.958333333328</v>
      </c>
      <c r="U536">
        <f>MONTH(Table1[[#This Row],[Launched]])</f>
        <v>9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8218</v>
      </c>
      <c r="G537" t="s">
        <v>8224</v>
      </c>
      <c r="H537" t="s">
        <v>8246</v>
      </c>
      <c r="I537" s="8">
        <v>1483707905</v>
      </c>
      <c r="J537">
        <v>1481115905</v>
      </c>
      <c r="K537" t="b">
        <v>0</v>
      </c>
      <c r="L537" s="10">
        <v>59</v>
      </c>
      <c r="M537" t="b">
        <v>1</v>
      </c>
      <c r="N537" t="s">
        <v>8269</v>
      </c>
      <c r="O537" s="11">
        <f t="shared" si="36"/>
        <v>103</v>
      </c>
      <c r="P537" s="12">
        <f t="shared" si="37"/>
        <v>35</v>
      </c>
      <c r="Q537" s="14" t="s">
        <v>8314</v>
      </c>
      <c r="R537" t="s">
        <v>8315</v>
      </c>
      <c r="S537" s="17">
        <f t="shared" si="38"/>
        <v>42711.545196759253</v>
      </c>
      <c r="T537" s="17">
        <f t="shared" si="39"/>
        <v>42741.545196759253</v>
      </c>
      <c r="U537">
        <f>MONTH(Table1[[#This Row],[Launched]])</f>
        <v>12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8218</v>
      </c>
      <c r="G538" t="s">
        <v>8224</v>
      </c>
      <c r="H538" t="s">
        <v>8246</v>
      </c>
      <c r="I538" s="8">
        <v>1438624800</v>
      </c>
      <c r="J538">
        <v>1435133807</v>
      </c>
      <c r="K538" t="b">
        <v>0</v>
      </c>
      <c r="L538" s="10">
        <v>39</v>
      </c>
      <c r="M538" t="b">
        <v>1</v>
      </c>
      <c r="N538" t="s">
        <v>8269</v>
      </c>
      <c r="O538" s="11">
        <f t="shared" si="36"/>
        <v>118</v>
      </c>
      <c r="P538" s="12">
        <f t="shared" si="37"/>
        <v>100</v>
      </c>
      <c r="Q538" s="14" t="s">
        <v>8314</v>
      </c>
      <c r="R538" t="s">
        <v>8315</v>
      </c>
      <c r="S538" s="17">
        <f t="shared" si="38"/>
        <v>42179.344988425932</v>
      </c>
      <c r="T538" s="17">
        <f t="shared" si="39"/>
        <v>42219.75</v>
      </c>
      <c r="U538">
        <f>MONTH(Table1[[#This Row],[Launched]])</f>
        <v>6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8218</v>
      </c>
      <c r="G539" t="s">
        <v>8223</v>
      </c>
      <c r="H539" t="s">
        <v>8245</v>
      </c>
      <c r="I539" s="8">
        <v>1446665191</v>
      </c>
      <c r="J539">
        <v>1444069591</v>
      </c>
      <c r="K539" t="b">
        <v>0</v>
      </c>
      <c r="L539" s="10">
        <v>59</v>
      </c>
      <c r="M539" t="b">
        <v>1</v>
      </c>
      <c r="N539" t="s">
        <v>8269</v>
      </c>
      <c r="O539" s="11">
        <f t="shared" si="36"/>
        <v>121</v>
      </c>
      <c r="P539" s="12">
        <f t="shared" si="37"/>
        <v>41</v>
      </c>
      <c r="Q539" s="14" t="s">
        <v>8314</v>
      </c>
      <c r="R539" t="s">
        <v>8315</v>
      </c>
      <c r="S539" s="17">
        <f t="shared" si="38"/>
        <v>42282.768414351856</v>
      </c>
      <c r="T539" s="17">
        <f t="shared" si="39"/>
        <v>42312.810081018513</v>
      </c>
      <c r="U539">
        <f>MONTH(Table1[[#This Row],[Launched]])</f>
        <v>10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8218</v>
      </c>
      <c r="G540" t="s">
        <v>8223</v>
      </c>
      <c r="H540" t="s">
        <v>8245</v>
      </c>
      <c r="I540" s="8">
        <v>1463166263</v>
      </c>
      <c r="J540">
        <v>1460574263</v>
      </c>
      <c r="K540" t="b">
        <v>0</v>
      </c>
      <c r="L540" s="10">
        <v>60</v>
      </c>
      <c r="M540" t="b">
        <v>1</v>
      </c>
      <c r="N540" t="s">
        <v>8269</v>
      </c>
      <c r="O540" s="11">
        <f t="shared" si="36"/>
        <v>302</v>
      </c>
      <c r="P540" s="12">
        <f t="shared" si="37"/>
        <v>252</v>
      </c>
      <c r="Q540" s="14" t="s">
        <v>8314</v>
      </c>
      <c r="R540" t="s">
        <v>8315</v>
      </c>
      <c r="S540" s="17">
        <f t="shared" si="38"/>
        <v>42473.794710648144</v>
      </c>
      <c r="T540" s="17">
        <f t="shared" si="39"/>
        <v>42503.794710648144</v>
      </c>
      <c r="U540">
        <f>MONTH(Table1[[#This Row],[Launched]])</f>
        <v>4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8218</v>
      </c>
      <c r="G541" t="s">
        <v>8224</v>
      </c>
      <c r="H541" t="s">
        <v>8246</v>
      </c>
      <c r="I541" s="8">
        <v>1467681107</v>
      </c>
      <c r="J541">
        <v>1465866707</v>
      </c>
      <c r="K541" t="b">
        <v>0</v>
      </c>
      <c r="L541" s="10">
        <v>20</v>
      </c>
      <c r="M541" t="b">
        <v>1</v>
      </c>
      <c r="N541" t="s">
        <v>8269</v>
      </c>
      <c r="O541" s="11">
        <f t="shared" si="36"/>
        <v>101</v>
      </c>
      <c r="P541" s="12">
        <f t="shared" si="37"/>
        <v>25</v>
      </c>
      <c r="Q541" s="14" t="s">
        <v>8314</v>
      </c>
      <c r="R541" t="s">
        <v>8315</v>
      </c>
      <c r="S541" s="17">
        <f t="shared" si="38"/>
        <v>42535.049849537041</v>
      </c>
      <c r="T541" s="17">
        <f t="shared" si="39"/>
        <v>42556.049849537041</v>
      </c>
      <c r="U541">
        <f>MONTH(Table1[[#This Row],[Launched]])</f>
        <v>6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8220</v>
      </c>
      <c r="G542" t="s">
        <v>8223</v>
      </c>
      <c r="H542" t="s">
        <v>8245</v>
      </c>
      <c r="I542" s="8">
        <v>1423078606</v>
      </c>
      <c r="J542">
        <v>1420486606</v>
      </c>
      <c r="K542" t="b">
        <v>0</v>
      </c>
      <c r="L542" s="10">
        <v>1</v>
      </c>
      <c r="M542" t="b">
        <v>0</v>
      </c>
      <c r="N542" t="s">
        <v>8270</v>
      </c>
      <c r="O542" s="11">
        <f t="shared" si="36"/>
        <v>0</v>
      </c>
      <c r="P542" s="12">
        <f t="shared" si="37"/>
        <v>1</v>
      </c>
      <c r="Q542" s="14" t="s">
        <v>8316</v>
      </c>
      <c r="R542" t="s">
        <v>8317</v>
      </c>
      <c r="S542" s="17">
        <f t="shared" si="38"/>
        <v>42009.817199074074</v>
      </c>
      <c r="T542" s="17">
        <f t="shared" si="39"/>
        <v>42039.817199074074</v>
      </c>
      <c r="U542">
        <f>MONTH(Table1[[#This Row],[Launched]])</f>
        <v>1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8220</v>
      </c>
      <c r="G543" t="s">
        <v>8223</v>
      </c>
      <c r="H543" t="s">
        <v>8245</v>
      </c>
      <c r="I543" s="8">
        <v>1446080834</v>
      </c>
      <c r="J543">
        <v>1443488834</v>
      </c>
      <c r="K543" t="b">
        <v>0</v>
      </c>
      <c r="L543" s="10">
        <v>1</v>
      </c>
      <c r="M543" t="b">
        <v>0</v>
      </c>
      <c r="N543" t="s">
        <v>8270</v>
      </c>
      <c r="O543" s="11">
        <f t="shared" si="36"/>
        <v>1</v>
      </c>
      <c r="P543" s="12">
        <f t="shared" si="37"/>
        <v>25</v>
      </c>
      <c r="Q543" s="14" t="s">
        <v>8316</v>
      </c>
      <c r="R543" t="s">
        <v>8317</v>
      </c>
      <c r="S543" s="17">
        <f t="shared" si="38"/>
        <v>42276.046689814815</v>
      </c>
      <c r="T543" s="17">
        <f t="shared" si="39"/>
        <v>42306.046689814815</v>
      </c>
      <c r="U543">
        <f>MONTH(Table1[[#This Row],[Launched]])</f>
        <v>9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8220</v>
      </c>
      <c r="G544" t="s">
        <v>8223</v>
      </c>
      <c r="H544" t="s">
        <v>8245</v>
      </c>
      <c r="I544" s="8">
        <v>1462293716</v>
      </c>
      <c r="J544">
        <v>1457113316</v>
      </c>
      <c r="K544" t="b">
        <v>0</v>
      </c>
      <c r="L544" s="10">
        <v>1</v>
      </c>
      <c r="M544" t="b">
        <v>0</v>
      </c>
      <c r="N544" t="s">
        <v>8270</v>
      </c>
      <c r="O544" s="11">
        <f t="shared" si="36"/>
        <v>0</v>
      </c>
      <c r="P544" s="12">
        <f t="shared" si="37"/>
        <v>1</v>
      </c>
      <c r="Q544" s="14" t="s">
        <v>8316</v>
      </c>
      <c r="R544" t="s">
        <v>8317</v>
      </c>
      <c r="S544" s="17">
        <f t="shared" si="38"/>
        <v>42433.737453703703</v>
      </c>
      <c r="T544" s="17">
        <f t="shared" si="39"/>
        <v>42493.695787037039</v>
      </c>
      <c r="U544">
        <f>MONTH(Table1[[#This Row],[Launched]])</f>
        <v>3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8220</v>
      </c>
      <c r="G545" t="s">
        <v>8225</v>
      </c>
      <c r="H545" t="s">
        <v>8247</v>
      </c>
      <c r="I545" s="8">
        <v>1414807962</v>
      </c>
      <c r="J545">
        <v>1412215962</v>
      </c>
      <c r="K545" t="b">
        <v>0</v>
      </c>
      <c r="L545" s="10">
        <v>2</v>
      </c>
      <c r="M545" t="b">
        <v>0</v>
      </c>
      <c r="N545" t="s">
        <v>8270</v>
      </c>
      <c r="O545" s="11">
        <f t="shared" si="36"/>
        <v>0</v>
      </c>
      <c r="P545" s="12">
        <f t="shared" si="37"/>
        <v>35</v>
      </c>
      <c r="Q545" s="14" t="s">
        <v>8316</v>
      </c>
      <c r="R545" t="s">
        <v>8317</v>
      </c>
      <c r="S545" s="17">
        <f t="shared" si="38"/>
        <v>41914.092152777775</v>
      </c>
      <c r="T545" s="17">
        <f t="shared" si="39"/>
        <v>41944.092152777775</v>
      </c>
      <c r="U545">
        <f>MONTH(Table1[[#This Row],[Launched]])</f>
        <v>10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8220</v>
      </c>
      <c r="G546" t="s">
        <v>8223</v>
      </c>
      <c r="H546" t="s">
        <v>8245</v>
      </c>
      <c r="I546" s="8">
        <v>1467647160</v>
      </c>
      <c r="J546">
        <v>1465055160</v>
      </c>
      <c r="K546" t="b">
        <v>0</v>
      </c>
      <c r="L546" s="10">
        <v>2</v>
      </c>
      <c r="M546" t="b">
        <v>0</v>
      </c>
      <c r="N546" t="s">
        <v>8270</v>
      </c>
      <c r="O546" s="11">
        <f t="shared" si="36"/>
        <v>1</v>
      </c>
      <c r="P546" s="12">
        <f t="shared" si="37"/>
        <v>3</v>
      </c>
      <c r="Q546" s="14" t="s">
        <v>8316</v>
      </c>
      <c r="R546" t="s">
        <v>8317</v>
      </c>
      <c r="S546" s="17">
        <f t="shared" si="38"/>
        <v>42525.656944444447</v>
      </c>
      <c r="T546" s="17">
        <f t="shared" si="39"/>
        <v>42555.656944444447</v>
      </c>
      <c r="U546">
        <f>MONTH(Table1[[#This Row],[Launched]])</f>
        <v>6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8220</v>
      </c>
      <c r="G547" t="s">
        <v>8229</v>
      </c>
      <c r="H547" t="s">
        <v>8248</v>
      </c>
      <c r="I547" s="8">
        <v>1447600389</v>
      </c>
      <c r="J547">
        <v>1444140789</v>
      </c>
      <c r="K547" t="b">
        <v>0</v>
      </c>
      <c r="L547" s="10">
        <v>34</v>
      </c>
      <c r="M547" t="b">
        <v>0</v>
      </c>
      <c r="N547" t="s">
        <v>8270</v>
      </c>
      <c r="O547" s="11">
        <f t="shared" si="36"/>
        <v>27</v>
      </c>
      <c r="P547" s="12">
        <f t="shared" si="37"/>
        <v>403</v>
      </c>
      <c r="Q547" s="14" t="s">
        <v>8316</v>
      </c>
      <c r="R547" t="s">
        <v>8317</v>
      </c>
      <c r="S547" s="17">
        <f t="shared" si="38"/>
        <v>42283.592465277776</v>
      </c>
      <c r="T547" s="17">
        <f t="shared" si="39"/>
        <v>42323.634131944447</v>
      </c>
      <c r="U547">
        <f>MONTH(Table1[[#This Row],[Launched]])</f>
        <v>10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8220</v>
      </c>
      <c r="G548" t="s">
        <v>8223</v>
      </c>
      <c r="H548" t="s">
        <v>8245</v>
      </c>
      <c r="I548" s="8">
        <v>1445097715</v>
      </c>
      <c r="J548">
        <v>1441209715</v>
      </c>
      <c r="K548" t="b">
        <v>0</v>
      </c>
      <c r="L548" s="10">
        <v>2</v>
      </c>
      <c r="M548" t="b">
        <v>0</v>
      </c>
      <c r="N548" t="s">
        <v>8270</v>
      </c>
      <c r="O548" s="11">
        <f t="shared" si="36"/>
        <v>0</v>
      </c>
      <c r="P548" s="12">
        <f t="shared" si="37"/>
        <v>26</v>
      </c>
      <c r="Q548" s="14" t="s">
        <v>8316</v>
      </c>
      <c r="R548" t="s">
        <v>8317</v>
      </c>
      <c r="S548" s="17">
        <f t="shared" si="38"/>
        <v>42249.667997685188</v>
      </c>
      <c r="T548" s="17">
        <f t="shared" si="39"/>
        <v>42294.667997685188</v>
      </c>
      <c r="U548">
        <f>MONTH(Table1[[#This Row],[Launched]])</f>
        <v>9</v>
      </c>
    </row>
    <row r="549" spans="1:21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8220</v>
      </c>
      <c r="G549" t="s">
        <v>8224</v>
      </c>
      <c r="H549" t="s">
        <v>8246</v>
      </c>
      <c r="I549" s="8">
        <v>1455122564</v>
      </c>
      <c r="J549">
        <v>1452530564</v>
      </c>
      <c r="K549" t="b">
        <v>0</v>
      </c>
      <c r="L549" s="10">
        <v>0</v>
      </c>
      <c r="M549" t="b">
        <v>0</v>
      </c>
      <c r="N549" t="s">
        <v>8270</v>
      </c>
      <c r="O549" s="11">
        <f t="shared" si="36"/>
        <v>0</v>
      </c>
      <c r="P549" s="12" t="str">
        <f t="shared" si="37"/>
        <v>No Backers</v>
      </c>
      <c r="Q549" s="14" t="s">
        <v>8316</v>
      </c>
      <c r="R549" t="s">
        <v>8317</v>
      </c>
      <c r="S549" s="17">
        <f t="shared" si="38"/>
        <v>42380.696342592593</v>
      </c>
      <c r="T549" s="17">
        <f t="shared" si="39"/>
        <v>42410.696342592593</v>
      </c>
      <c r="U549">
        <f>MONTH(Table1[[#This Row],[Launched]])</f>
        <v>1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8220</v>
      </c>
      <c r="G550" t="s">
        <v>8224</v>
      </c>
      <c r="H550" t="s">
        <v>8246</v>
      </c>
      <c r="I550" s="8">
        <v>1446154848</v>
      </c>
      <c r="J550">
        <v>1443562848</v>
      </c>
      <c r="K550" t="b">
        <v>0</v>
      </c>
      <c r="L550" s="10">
        <v>1</v>
      </c>
      <c r="M550" t="b">
        <v>0</v>
      </c>
      <c r="N550" t="s">
        <v>8270</v>
      </c>
      <c r="O550" s="11">
        <f t="shared" si="36"/>
        <v>0</v>
      </c>
      <c r="P550" s="12">
        <f t="shared" si="37"/>
        <v>9</v>
      </c>
      <c r="Q550" s="14" t="s">
        <v>8316</v>
      </c>
      <c r="R550" t="s">
        <v>8317</v>
      </c>
      <c r="S550" s="17">
        <f t="shared" si="38"/>
        <v>42276.903333333335</v>
      </c>
      <c r="T550" s="17">
        <f t="shared" si="39"/>
        <v>42306.903333333335</v>
      </c>
      <c r="U550">
        <f>MONTH(Table1[[#This Row],[Launched]])</f>
        <v>9</v>
      </c>
    </row>
    <row r="551" spans="1:21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8220</v>
      </c>
      <c r="G551" t="s">
        <v>8224</v>
      </c>
      <c r="H551" t="s">
        <v>8246</v>
      </c>
      <c r="I551" s="8">
        <v>1436368622</v>
      </c>
      <c r="J551">
        <v>1433776622</v>
      </c>
      <c r="K551" t="b">
        <v>0</v>
      </c>
      <c r="L551" s="10">
        <v>8</v>
      </c>
      <c r="M551" t="b">
        <v>0</v>
      </c>
      <c r="N551" t="s">
        <v>8270</v>
      </c>
      <c r="O551" s="11">
        <f t="shared" si="36"/>
        <v>3</v>
      </c>
      <c r="P551" s="12">
        <f t="shared" si="37"/>
        <v>9</v>
      </c>
      <c r="Q551" s="14" t="s">
        <v>8316</v>
      </c>
      <c r="R551" t="s">
        <v>8317</v>
      </c>
      <c r="S551" s="17">
        <f t="shared" si="38"/>
        <v>42163.636828703704</v>
      </c>
      <c r="T551" s="17">
        <f t="shared" si="39"/>
        <v>42193.636828703704</v>
      </c>
      <c r="U551">
        <f>MONTH(Table1[[#This Row],[Launched]])</f>
        <v>6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8220</v>
      </c>
      <c r="G552" t="s">
        <v>8228</v>
      </c>
      <c r="H552" t="s">
        <v>8250</v>
      </c>
      <c r="I552" s="8">
        <v>1485838800</v>
      </c>
      <c r="J552">
        <v>1484756245</v>
      </c>
      <c r="K552" t="b">
        <v>0</v>
      </c>
      <c r="L552" s="10">
        <v>4</v>
      </c>
      <c r="M552" t="b">
        <v>0</v>
      </c>
      <c r="N552" t="s">
        <v>8270</v>
      </c>
      <c r="O552" s="11">
        <f t="shared" si="36"/>
        <v>1</v>
      </c>
      <c r="P552" s="12">
        <f t="shared" si="37"/>
        <v>9</v>
      </c>
      <c r="Q552" s="14" t="s">
        <v>8316</v>
      </c>
      <c r="R552" t="s">
        <v>8317</v>
      </c>
      <c r="S552" s="17">
        <f t="shared" si="38"/>
        <v>42753.678761574076</v>
      </c>
      <c r="T552" s="17">
        <f t="shared" si="39"/>
        <v>42766.208333333328</v>
      </c>
      <c r="U552">
        <f>MONTH(Table1[[#This Row],[Launched]])</f>
        <v>1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8220</v>
      </c>
      <c r="G553" t="s">
        <v>8223</v>
      </c>
      <c r="H553" t="s">
        <v>8245</v>
      </c>
      <c r="I553" s="8">
        <v>1438451580</v>
      </c>
      <c r="J553">
        <v>1434609424</v>
      </c>
      <c r="K553" t="b">
        <v>0</v>
      </c>
      <c r="L553" s="10">
        <v>28</v>
      </c>
      <c r="M553" t="b">
        <v>0</v>
      </c>
      <c r="N553" t="s">
        <v>8270</v>
      </c>
      <c r="O553" s="11">
        <f t="shared" si="36"/>
        <v>5</v>
      </c>
      <c r="P553" s="12">
        <f t="shared" si="37"/>
        <v>135</v>
      </c>
      <c r="Q553" s="14" t="s">
        <v>8316</v>
      </c>
      <c r="R553" t="s">
        <v>8317</v>
      </c>
      <c r="S553" s="17">
        <f t="shared" si="38"/>
        <v>42173.275740740741</v>
      </c>
      <c r="T553" s="17">
        <f t="shared" si="39"/>
        <v>42217.745138888888</v>
      </c>
      <c r="U553">
        <f>MONTH(Table1[[#This Row],[Launched]])</f>
        <v>6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8220</v>
      </c>
      <c r="G554" t="s">
        <v>8228</v>
      </c>
      <c r="H554" t="s">
        <v>8250</v>
      </c>
      <c r="I554" s="8">
        <v>1452350896</v>
      </c>
      <c r="J554">
        <v>1447166896</v>
      </c>
      <c r="K554" t="b">
        <v>0</v>
      </c>
      <c r="L554" s="10">
        <v>0</v>
      </c>
      <c r="M554" t="b">
        <v>0</v>
      </c>
      <c r="N554" t="s">
        <v>8270</v>
      </c>
      <c r="O554" s="11">
        <f t="shared" si="36"/>
        <v>0</v>
      </c>
      <c r="P554" s="12" t="str">
        <f t="shared" si="37"/>
        <v>No Backers</v>
      </c>
      <c r="Q554" s="14" t="s">
        <v>8316</v>
      </c>
      <c r="R554" t="s">
        <v>8317</v>
      </c>
      <c r="S554" s="17">
        <f t="shared" si="38"/>
        <v>42318.616851851853</v>
      </c>
      <c r="T554" s="17">
        <f t="shared" si="39"/>
        <v>42378.616851851853</v>
      </c>
      <c r="U554">
        <f>MONTH(Table1[[#This Row],[Launched]])</f>
        <v>11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8220</v>
      </c>
      <c r="G555" t="s">
        <v>8223</v>
      </c>
      <c r="H555" t="s">
        <v>8245</v>
      </c>
      <c r="I555" s="8">
        <v>1415988991</v>
      </c>
      <c r="J555">
        <v>1413393391</v>
      </c>
      <c r="K555" t="b">
        <v>0</v>
      </c>
      <c r="L555" s="10">
        <v>6</v>
      </c>
      <c r="M555" t="b">
        <v>0</v>
      </c>
      <c r="N555" t="s">
        <v>8270</v>
      </c>
      <c r="O555" s="11">
        <f t="shared" si="36"/>
        <v>0</v>
      </c>
      <c r="P555" s="12">
        <f t="shared" si="37"/>
        <v>21</v>
      </c>
      <c r="Q555" s="14" t="s">
        <v>8316</v>
      </c>
      <c r="R555" t="s">
        <v>8317</v>
      </c>
      <c r="S555" s="17">
        <f t="shared" si="38"/>
        <v>41927.71980324074</v>
      </c>
      <c r="T555" s="17">
        <f t="shared" si="39"/>
        <v>41957.761469907404</v>
      </c>
      <c r="U555">
        <f>MONTH(Table1[[#This Row],[Launched]])</f>
        <v>10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8220</v>
      </c>
      <c r="G556" t="s">
        <v>8223</v>
      </c>
      <c r="H556" t="s">
        <v>8245</v>
      </c>
      <c r="I556" s="8">
        <v>1413735972</v>
      </c>
      <c r="J556">
        <v>1411143972</v>
      </c>
      <c r="K556" t="b">
        <v>0</v>
      </c>
      <c r="L556" s="10">
        <v>22</v>
      </c>
      <c r="M556" t="b">
        <v>0</v>
      </c>
      <c r="N556" t="s">
        <v>8270</v>
      </c>
      <c r="O556" s="11">
        <f t="shared" si="36"/>
        <v>37</v>
      </c>
      <c r="P556" s="12">
        <f t="shared" si="37"/>
        <v>64</v>
      </c>
      <c r="Q556" s="14" t="s">
        <v>8316</v>
      </c>
      <c r="R556" t="s">
        <v>8317</v>
      </c>
      <c r="S556" s="17">
        <f t="shared" si="38"/>
        <v>41901.684861111113</v>
      </c>
      <c r="T556" s="17">
        <f t="shared" si="39"/>
        <v>41931.684861111113</v>
      </c>
      <c r="U556">
        <f>MONTH(Table1[[#This Row],[Launched]])</f>
        <v>9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8220</v>
      </c>
      <c r="G557" t="s">
        <v>8224</v>
      </c>
      <c r="H557" t="s">
        <v>8246</v>
      </c>
      <c r="I557" s="8">
        <v>1465720143</v>
      </c>
      <c r="J557">
        <v>1463128143</v>
      </c>
      <c r="K557" t="b">
        <v>0</v>
      </c>
      <c r="L557" s="10">
        <v>0</v>
      </c>
      <c r="M557" t="b">
        <v>0</v>
      </c>
      <c r="N557" t="s">
        <v>8270</v>
      </c>
      <c r="O557" s="11">
        <f t="shared" si="36"/>
        <v>0</v>
      </c>
      <c r="P557" s="12" t="str">
        <f t="shared" si="37"/>
        <v>No Backers</v>
      </c>
      <c r="Q557" s="14" t="s">
        <v>8316</v>
      </c>
      <c r="R557" t="s">
        <v>8317</v>
      </c>
      <c r="S557" s="17">
        <f t="shared" si="38"/>
        <v>42503.353506944448</v>
      </c>
      <c r="T557" s="17">
        <f t="shared" si="39"/>
        <v>42533.353506944448</v>
      </c>
      <c r="U557">
        <f>MONTH(Table1[[#This Row],[Launched]])</f>
        <v>5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8220</v>
      </c>
      <c r="G558" t="s">
        <v>8223</v>
      </c>
      <c r="H558" t="s">
        <v>8245</v>
      </c>
      <c r="I558" s="8">
        <v>1452112717</v>
      </c>
      <c r="J558">
        <v>1449520717</v>
      </c>
      <c r="K558" t="b">
        <v>0</v>
      </c>
      <c r="L558" s="10">
        <v>1</v>
      </c>
      <c r="M558" t="b">
        <v>0</v>
      </c>
      <c r="N558" t="s">
        <v>8270</v>
      </c>
      <c r="O558" s="11">
        <f t="shared" si="36"/>
        <v>3</v>
      </c>
      <c r="P558" s="12">
        <f t="shared" si="37"/>
        <v>200</v>
      </c>
      <c r="Q558" s="14" t="s">
        <v>8316</v>
      </c>
      <c r="R558" t="s">
        <v>8317</v>
      </c>
      <c r="S558" s="17">
        <f t="shared" si="38"/>
        <v>42345.860150462962</v>
      </c>
      <c r="T558" s="17">
        <f t="shared" si="39"/>
        <v>42375.860150462962</v>
      </c>
      <c r="U558">
        <f>MONTH(Table1[[#This Row],[Launched]])</f>
        <v>12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8220</v>
      </c>
      <c r="G559" t="s">
        <v>8235</v>
      </c>
      <c r="H559" t="s">
        <v>8248</v>
      </c>
      <c r="I559" s="8">
        <v>1480721803</v>
      </c>
      <c r="J559">
        <v>1478126203</v>
      </c>
      <c r="K559" t="b">
        <v>0</v>
      </c>
      <c r="L559" s="10">
        <v>20</v>
      </c>
      <c r="M559" t="b">
        <v>0</v>
      </c>
      <c r="N559" t="s">
        <v>8270</v>
      </c>
      <c r="O559" s="11">
        <f t="shared" si="36"/>
        <v>1</v>
      </c>
      <c r="P559" s="12">
        <f t="shared" si="37"/>
        <v>68</v>
      </c>
      <c r="Q559" s="14" t="s">
        <v>8316</v>
      </c>
      <c r="R559" t="s">
        <v>8317</v>
      </c>
      <c r="S559" s="17">
        <f t="shared" si="38"/>
        <v>42676.942164351851</v>
      </c>
      <c r="T559" s="17">
        <f t="shared" si="39"/>
        <v>42706.983831018515</v>
      </c>
      <c r="U559">
        <f>MONTH(Table1[[#This Row],[Launched]])</f>
        <v>11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8220</v>
      </c>
      <c r="G560" t="s">
        <v>8223</v>
      </c>
      <c r="H560" t="s">
        <v>8245</v>
      </c>
      <c r="I560" s="8">
        <v>1427227905</v>
      </c>
      <c r="J560">
        <v>1424639505</v>
      </c>
      <c r="K560" t="b">
        <v>0</v>
      </c>
      <c r="L560" s="10">
        <v>0</v>
      </c>
      <c r="M560" t="b">
        <v>0</v>
      </c>
      <c r="N560" t="s">
        <v>8270</v>
      </c>
      <c r="O560" s="11">
        <f t="shared" si="36"/>
        <v>0</v>
      </c>
      <c r="P560" s="12" t="str">
        <f t="shared" si="37"/>
        <v>No Backers</v>
      </c>
      <c r="Q560" s="14" t="s">
        <v>8316</v>
      </c>
      <c r="R560" t="s">
        <v>8317</v>
      </c>
      <c r="S560" s="17">
        <f t="shared" si="38"/>
        <v>42057.883159722223</v>
      </c>
      <c r="T560" s="17">
        <f t="shared" si="39"/>
        <v>42087.841493055559</v>
      </c>
      <c r="U560">
        <f>MONTH(Table1[[#This Row],[Launched]])</f>
        <v>2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8220</v>
      </c>
      <c r="G561" t="s">
        <v>8223</v>
      </c>
      <c r="H561" t="s">
        <v>8245</v>
      </c>
      <c r="I561" s="8">
        <v>1449989260</v>
      </c>
      <c r="J561">
        <v>1447397260</v>
      </c>
      <c r="K561" t="b">
        <v>0</v>
      </c>
      <c r="L561" s="10">
        <v>1</v>
      </c>
      <c r="M561" t="b">
        <v>0</v>
      </c>
      <c r="N561" t="s">
        <v>8270</v>
      </c>
      <c r="O561" s="11">
        <f t="shared" si="36"/>
        <v>0</v>
      </c>
      <c r="P561" s="12">
        <f t="shared" si="37"/>
        <v>50</v>
      </c>
      <c r="Q561" s="14" t="s">
        <v>8316</v>
      </c>
      <c r="R561" t="s">
        <v>8317</v>
      </c>
      <c r="S561" s="17">
        <f t="shared" si="38"/>
        <v>42321.283101851848</v>
      </c>
      <c r="T561" s="17">
        <f t="shared" si="39"/>
        <v>42351.283101851848</v>
      </c>
      <c r="U561">
        <f>MONTH(Table1[[#This Row],[Launched]])</f>
        <v>11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8220</v>
      </c>
      <c r="G562" t="s">
        <v>8228</v>
      </c>
      <c r="H562" t="s">
        <v>8250</v>
      </c>
      <c r="I562" s="8">
        <v>1418841045</v>
      </c>
      <c r="J562">
        <v>1416249045</v>
      </c>
      <c r="K562" t="b">
        <v>0</v>
      </c>
      <c r="L562" s="10">
        <v>3</v>
      </c>
      <c r="M562" t="b">
        <v>0</v>
      </c>
      <c r="N562" t="s">
        <v>8270</v>
      </c>
      <c r="O562" s="11">
        <f t="shared" si="36"/>
        <v>0</v>
      </c>
      <c r="P562" s="12">
        <f t="shared" si="37"/>
        <v>4</v>
      </c>
      <c r="Q562" s="14" t="s">
        <v>8316</v>
      </c>
      <c r="R562" t="s">
        <v>8317</v>
      </c>
      <c r="S562" s="17">
        <f t="shared" si="38"/>
        <v>41960.771354166667</v>
      </c>
      <c r="T562" s="17">
        <f t="shared" si="39"/>
        <v>41990.771354166667</v>
      </c>
      <c r="U562">
        <f>MONTH(Table1[[#This Row],[Launched]])</f>
        <v>11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8220</v>
      </c>
      <c r="G563" t="s">
        <v>8223</v>
      </c>
      <c r="H563" t="s">
        <v>8245</v>
      </c>
      <c r="I563" s="8">
        <v>1445874513</v>
      </c>
      <c r="J563">
        <v>1442850513</v>
      </c>
      <c r="K563" t="b">
        <v>0</v>
      </c>
      <c r="L563" s="10">
        <v>2</v>
      </c>
      <c r="M563" t="b">
        <v>0</v>
      </c>
      <c r="N563" t="s">
        <v>8270</v>
      </c>
      <c r="O563" s="11">
        <f t="shared" si="36"/>
        <v>0</v>
      </c>
      <c r="P563" s="12">
        <f t="shared" si="37"/>
        <v>28</v>
      </c>
      <c r="Q563" s="14" t="s">
        <v>8316</v>
      </c>
      <c r="R563" t="s">
        <v>8317</v>
      </c>
      <c r="S563" s="17">
        <f t="shared" si="38"/>
        <v>42268.658715277779</v>
      </c>
      <c r="T563" s="17">
        <f t="shared" si="39"/>
        <v>42303.658715277779</v>
      </c>
      <c r="U563">
        <f>MONTH(Table1[[#This Row],[Launched]])</f>
        <v>9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8220</v>
      </c>
      <c r="G564" t="s">
        <v>8232</v>
      </c>
      <c r="H564" t="s">
        <v>8248</v>
      </c>
      <c r="I564" s="8">
        <v>1482052815</v>
      </c>
      <c r="J564">
        <v>1479460815</v>
      </c>
      <c r="K564" t="b">
        <v>0</v>
      </c>
      <c r="L564" s="10">
        <v>0</v>
      </c>
      <c r="M564" t="b">
        <v>0</v>
      </c>
      <c r="N564" t="s">
        <v>8270</v>
      </c>
      <c r="O564" s="11">
        <f t="shared" si="36"/>
        <v>0</v>
      </c>
      <c r="P564" s="12" t="str">
        <f t="shared" si="37"/>
        <v>No Backers</v>
      </c>
      <c r="Q564" s="14" t="s">
        <v>8316</v>
      </c>
      <c r="R564" t="s">
        <v>8317</v>
      </c>
      <c r="S564" s="17">
        <f t="shared" si="38"/>
        <v>42692.389062500006</v>
      </c>
      <c r="T564" s="17">
        <f t="shared" si="39"/>
        <v>42722.389062500006</v>
      </c>
      <c r="U564">
        <f>MONTH(Table1[[#This Row],[Launched]])</f>
        <v>11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8220</v>
      </c>
      <c r="G565" t="s">
        <v>8225</v>
      </c>
      <c r="H565" t="s">
        <v>8247</v>
      </c>
      <c r="I565" s="8">
        <v>1424137247</v>
      </c>
      <c r="J565">
        <v>1421545247</v>
      </c>
      <c r="K565" t="b">
        <v>0</v>
      </c>
      <c r="L565" s="10">
        <v>2</v>
      </c>
      <c r="M565" t="b">
        <v>0</v>
      </c>
      <c r="N565" t="s">
        <v>8270</v>
      </c>
      <c r="O565" s="11">
        <f t="shared" si="36"/>
        <v>0</v>
      </c>
      <c r="P565" s="12">
        <f t="shared" si="37"/>
        <v>34</v>
      </c>
      <c r="Q565" s="14" t="s">
        <v>8316</v>
      </c>
      <c r="R565" t="s">
        <v>8317</v>
      </c>
      <c r="S565" s="17">
        <f t="shared" si="38"/>
        <v>42022.069988425923</v>
      </c>
      <c r="T565" s="17">
        <f t="shared" si="39"/>
        <v>42052.069988425923</v>
      </c>
      <c r="U565">
        <f>MONTH(Table1[[#This Row],[Launched]])</f>
        <v>1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8220</v>
      </c>
      <c r="G566" t="s">
        <v>8229</v>
      </c>
      <c r="H566" t="s">
        <v>8248</v>
      </c>
      <c r="I566" s="8">
        <v>1457822275</v>
      </c>
      <c r="J566">
        <v>1455230275</v>
      </c>
      <c r="K566" t="b">
        <v>0</v>
      </c>
      <c r="L566" s="10">
        <v>1</v>
      </c>
      <c r="M566" t="b">
        <v>0</v>
      </c>
      <c r="N566" t="s">
        <v>8270</v>
      </c>
      <c r="O566" s="11">
        <f t="shared" si="36"/>
        <v>0</v>
      </c>
      <c r="P566" s="12">
        <f t="shared" si="37"/>
        <v>1</v>
      </c>
      <c r="Q566" s="14" t="s">
        <v>8316</v>
      </c>
      <c r="R566" t="s">
        <v>8317</v>
      </c>
      <c r="S566" s="17">
        <f t="shared" si="38"/>
        <v>42411.942997685182</v>
      </c>
      <c r="T566" s="17">
        <f t="shared" si="39"/>
        <v>42441.942997685182</v>
      </c>
      <c r="U566">
        <f>MONTH(Table1[[#This Row],[Launched]])</f>
        <v>2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8220</v>
      </c>
      <c r="G567" t="s">
        <v>8224</v>
      </c>
      <c r="H567" t="s">
        <v>8246</v>
      </c>
      <c r="I567" s="8">
        <v>1436554249</v>
      </c>
      <c r="J567">
        <v>1433962249</v>
      </c>
      <c r="K567" t="b">
        <v>0</v>
      </c>
      <c r="L567" s="10">
        <v>0</v>
      </c>
      <c r="M567" t="b">
        <v>0</v>
      </c>
      <c r="N567" t="s">
        <v>8270</v>
      </c>
      <c r="O567" s="11">
        <f t="shared" si="36"/>
        <v>0</v>
      </c>
      <c r="P567" s="12" t="str">
        <f t="shared" si="37"/>
        <v>No Backers</v>
      </c>
      <c r="Q567" s="14" t="s">
        <v>8316</v>
      </c>
      <c r="R567" t="s">
        <v>8317</v>
      </c>
      <c r="S567" s="17">
        <f t="shared" si="38"/>
        <v>42165.785289351858</v>
      </c>
      <c r="T567" s="17">
        <f t="shared" si="39"/>
        <v>42195.785289351858</v>
      </c>
      <c r="U567">
        <f>MONTH(Table1[[#This Row],[Launched]])</f>
        <v>6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8220</v>
      </c>
      <c r="G568" t="s">
        <v>8223</v>
      </c>
      <c r="H568" t="s">
        <v>8245</v>
      </c>
      <c r="I568" s="8">
        <v>1468513533</v>
      </c>
      <c r="J568">
        <v>1465921533</v>
      </c>
      <c r="K568" t="b">
        <v>0</v>
      </c>
      <c r="L568" s="10">
        <v>1</v>
      </c>
      <c r="M568" t="b">
        <v>0</v>
      </c>
      <c r="N568" t="s">
        <v>8270</v>
      </c>
      <c r="O568" s="11">
        <f t="shared" si="36"/>
        <v>0</v>
      </c>
      <c r="P568" s="12">
        <f t="shared" si="37"/>
        <v>1</v>
      </c>
      <c r="Q568" s="14" t="s">
        <v>8316</v>
      </c>
      <c r="R568" t="s">
        <v>8317</v>
      </c>
      <c r="S568" s="17">
        <f t="shared" si="38"/>
        <v>42535.68440972222</v>
      </c>
      <c r="T568" s="17">
        <f t="shared" si="39"/>
        <v>42565.68440972222</v>
      </c>
      <c r="U568">
        <f>MONTH(Table1[[#This Row],[Launched]])</f>
        <v>6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8220</v>
      </c>
      <c r="G569" t="s">
        <v>8223</v>
      </c>
      <c r="H569" t="s">
        <v>8245</v>
      </c>
      <c r="I569" s="8">
        <v>1420143194</v>
      </c>
      <c r="J569">
        <v>1417551194</v>
      </c>
      <c r="K569" t="b">
        <v>0</v>
      </c>
      <c r="L569" s="10">
        <v>0</v>
      </c>
      <c r="M569" t="b">
        <v>0</v>
      </c>
      <c r="N569" t="s">
        <v>8270</v>
      </c>
      <c r="O569" s="11">
        <f t="shared" si="36"/>
        <v>0</v>
      </c>
      <c r="P569" s="12" t="str">
        <f t="shared" si="37"/>
        <v>No Backers</v>
      </c>
      <c r="Q569" s="14" t="s">
        <v>8316</v>
      </c>
      <c r="R569" t="s">
        <v>8317</v>
      </c>
      <c r="S569" s="17">
        <f t="shared" si="38"/>
        <v>41975.842523148152</v>
      </c>
      <c r="T569" s="17">
        <f t="shared" si="39"/>
        <v>42005.842523148152</v>
      </c>
      <c r="U569">
        <f>MONTH(Table1[[#This Row],[Launched]])</f>
        <v>12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8220</v>
      </c>
      <c r="G570" t="s">
        <v>8227</v>
      </c>
      <c r="H570" t="s">
        <v>8249</v>
      </c>
      <c r="I570" s="8">
        <v>1452942000</v>
      </c>
      <c r="J570">
        <v>1449785223</v>
      </c>
      <c r="K570" t="b">
        <v>0</v>
      </c>
      <c r="L570" s="10">
        <v>5</v>
      </c>
      <c r="M570" t="b">
        <v>0</v>
      </c>
      <c r="N570" t="s">
        <v>8270</v>
      </c>
      <c r="O570" s="11">
        <f t="shared" si="36"/>
        <v>1</v>
      </c>
      <c r="P570" s="12">
        <f t="shared" si="37"/>
        <v>49</v>
      </c>
      <c r="Q570" s="14" t="s">
        <v>8316</v>
      </c>
      <c r="R570" t="s">
        <v>8317</v>
      </c>
      <c r="S570" s="17">
        <f t="shared" si="38"/>
        <v>42348.9215625</v>
      </c>
      <c r="T570" s="17">
        <f t="shared" si="39"/>
        <v>42385.458333333328</v>
      </c>
      <c r="U570">
        <f>MONTH(Table1[[#This Row],[Launched]])</f>
        <v>12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8220</v>
      </c>
      <c r="G571" t="s">
        <v>8228</v>
      </c>
      <c r="H571" t="s">
        <v>8250</v>
      </c>
      <c r="I571" s="8">
        <v>1451679612</v>
      </c>
      <c r="J571">
        <v>1449087612</v>
      </c>
      <c r="K571" t="b">
        <v>0</v>
      </c>
      <c r="L571" s="10">
        <v>1</v>
      </c>
      <c r="M571" t="b">
        <v>0</v>
      </c>
      <c r="N571" t="s">
        <v>8270</v>
      </c>
      <c r="O571" s="11">
        <f t="shared" si="36"/>
        <v>1</v>
      </c>
      <c r="P571" s="12">
        <f t="shared" si="37"/>
        <v>20</v>
      </c>
      <c r="Q571" s="14" t="s">
        <v>8316</v>
      </c>
      <c r="R571" t="s">
        <v>8317</v>
      </c>
      <c r="S571" s="17">
        <f t="shared" si="38"/>
        <v>42340.847361111111</v>
      </c>
      <c r="T571" s="17">
        <f t="shared" si="39"/>
        <v>42370.847361111111</v>
      </c>
      <c r="U571">
        <f>MONTH(Table1[[#This Row],[Launched]])</f>
        <v>12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8220</v>
      </c>
      <c r="G572" t="s">
        <v>8223</v>
      </c>
      <c r="H572" t="s">
        <v>8245</v>
      </c>
      <c r="I572" s="8">
        <v>1455822569</v>
      </c>
      <c r="J572">
        <v>1453230569</v>
      </c>
      <c r="K572" t="b">
        <v>0</v>
      </c>
      <c r="L572" s="10">
        <v>1</v>
      </c>
      <c r="M572" t="b">
        <v>0</v>
      </c>
      <c r="N572" t="s">
        <v>8270</v>
      </c>
      <c r="O572" s="11">
        <f t="shared" si="36"/>
        <v>0</v>
      </c>
      <c r="P572" s="12">
        <f t="shared" si="37"/>
        <v>142</v>
      </c>
      <c r="Q572" s="14" t="s">
        <v>8316</v>
      </c>
      <c r="R572" t="s">
        <v>8317</v>
      </c>
      <c r="S572" s="17">
        <f t="shared" si="38"/>
        <v>42388.798252314817</v>
      </c>
      <c r="T572" s="17">
        <f t="shared" si="39"/>
        <v>42418.798252314817</v>
      </c>
      <c r="U572">
        <f>MONTH(Table1[[#This Row],[Launched]])</f>
        <v>1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8220</v>
      </c>
      <c r="G573" t="s">
        <v>8223</v>
      </c>
      <c r="H573" t="s">
        <v>8245</v>
      </c>
      <c r="I573" s="8">
        <v>1437969540</v>
      </c>
      <c r="J573">
        <v>1436297723</v>
      </c>
      <c r="K573" t="b">
        <v>0</v>
      </c>
      <c r="L573" s="10">
        <v>2</v>
      </c>
      <c r="M573" t="b">
        <v>0</v>
      </c>
      <c r="N573" t="s">
        <v>8270</v>
      </c>
      <c r="O573" s="11">
        <f t="shared" si="36"/>
        <v>0</v>
      </c>
      <c r="P573" s="12">
        <f t="shared" si="37"/>
        <v>53</v>
      </c>
      <c r="Q573" s="14" t="s">
        <v>8316</v>
      </c>
      <c r="R573" t="s">
        <v>8317</v>
      </c>
      <c r="S573" s="17">
        <f t="shared" si="38"/>
        <v>42192.816238425927</v>
      </c>
      <c r="T573" s="17">
        <f t="shared" si="39"/>
        <v>42212.165972222225</v>
      </c>
      <c r="U573">
        <f>MONTH(Table1[[#This Row],[Launched]])</f>
        <v>7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8220</v>
      </c>
      <c r="G574" t="s">
        <v>8223</v>
      </c>
      <c r="H574" t="s">
        <v>8245</v>
      </c>
      <c r="I574" s="8">
        <v>1446660688</v>
      </c>
      <c r="J574">
        <v>1444065088</v>
      </c>
      <c r="K574" t="b">
        <v>0</v>
      </c>
      <c r="L574" s="10">
        <v>0</v>
      </c>
      <c r="M574" t="b">
        <v>0</v>
      </c>
      <c r="N574" t="s">
        <v>8270</v>
      </c>
      <c r="O574" s="11">
        <f t="shared" si="36"/>
        <v>0</v>
      </c>
      <c r="P574" s="12" t="str">
        <f t="shared" si="37"/>
        <v>No Backers</v>
      </c>
      <c r="Q574" s="14" t="s">
        <v>8316</v>
      </c>
      <c r="R574" t="s">
        <v>8317</v>
      </c>
      <c r="S574" s="17">
        <f t="shared" si="38"/>
        <v>42282.71629629629</v>
      </c>
      <c r="T574" s="17">
        <f t="shared" si="39"/>
        <v>42312.757962962962</v>
      </c>
      <c r="U574">
        <f>MONTH(Table1[[#This Row],[Launched]])</f>
        <v>10</v>
      </c>
    </row>
    <row r="575" spans="1:21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8220</v>
      </c>
      <c r="G575" t="s">
        <v>8223</v>
      </c>
      <c r="H575" t="s">
        <v>8245</v>
      </c>
      <c r="I575" s="8">
        <v>1421543520</v>
      </c>
      <c r="J575">
        <v>1416445931</v>
      </c>
      <c r="K575" t="b">
        <v>0</v>
      </c>
      <c r="L575" s="10">
        <v>9</v>
      </c>
      <c r="M575" t="b">
        <v>0</v>
      </c>
      <c r="N575" t="s">
        <v>8270</v>
      </c>
      <c r="O575" s="11">
        <f t="shared" si="36"/>
        <v>0</v>
      </c>
      <c r="P575" s="12">
        <f t="shared" si="37"/>
        <v>38</v>
      </c>
      <c r="Q575" s="14" t="s">
        <v>8316</v>
      </c>
      <c r="R575" t="s">
        <v>8317</v>
      </c>
      <c r="S575" s="17">
        <f t="shared" si="38"/>
        <v>41963.050127314811</v>
      </c>
      <c r="T575" s="17">
        <f t="shared" si="39"/>
        <v>42022.05</v>
      </c>
      <c r="U575">
        <f>MONTH(Table1[[#This Row],[Launched]])</f>
        <v>11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8220</v>
      </c>
      <c r="G576" t="s">
        <v>8224</v>
      </c>
      <c r="H576" t="s">
        <v>8246</v>
      </c>
      <c r="I576" s="8">
        <v>1476873507</v>
      </c>
      <c r="J576">
        <v>1474281507</v>
      </c>
      <c r="K576" t="b">
        <v>0</v>
      </c>
      <c r="L576" s="10">
        <v>4</v>
      </c>
      <c r="M576" t="b">
        <v>0</v>
      </c>
      <c r="N576" t="s">
        <v>8270</v>
      </c>
      <c r="O576" s="11">
        <f t="shared" si="36"/>
        <v>1</v>
      </c>
      <c r="P576" s="12">
        <f t="shared" si="37"/>
        <v>20</v>
      </c>
      <c r="Q576" s="14" t="s">
        <v>8316</v>
      </c>
      <c r="R576" t="s">
        <v>8317</v>
      </c>
      <c r="S576" s="17">
        <f t="shared" si="38"/>
        <v>42632.443368055552</v>
      </c>
      <c r="T576" s="17">
        <f t="shared" si="39"/>
        <v>42662.443368055552</v>
      </c>
      <c r="U576">
        <f>MONTH(Table1[[#This Row],[Launched]])</f>
        <v>9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8220</v>
      </c>
      <c r="G577" t="s">
        <v>8235</v>
      </c>
      <c r="H577" t="s">
        <v>8248</v>
      </c>
      <c r="I577" s="8">
        <v>1434213443</v>
      </c>
      <c r="J577">
        <v>1431621443</v>
      </c>
      <c r="K577" t="b">
        <v>0</v>
      </c>
      <c r="L577" s="10">
        <v>4</v>
      </c>
      <c r="M577" t="b">
        <v>0</v>
      </c>
      <c r="N577" t="s">
        <v>8270</v>
      </c>
      <c r="O577" s="11">
        <f t="shared" si="36"/>
        <v>0</v>
      </c>
      <c r="P577" s="12">
        <f t="shared" si="37"/>
        <v>65</v>
      </c>
      <c r="Q577" s="14" t="s">
        <v>8316</v>
      </c>
      <c r="R577" t="s">
        <v>8317</v>
      </c>
      <c r="S577" s="17">
        <f t="shared" si="38"/>
        <v>42138.692627314813</v>
      </c>
      <c r="T577" s="17">
        <f t="shared" si="39"/>
        <v>42168.692627314813</v>
      </c>
      <c r="U577">
        <f>MONTH(Table1[[#This Row],[Launched]])</f>
        <v>5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8220</v>
      </c>
      <c r="G578" t="s">
        <v>8223</v>
      </c>
      <c r="H578" t="s">
        <v>8245</v>
      </c>
      <c r="I578" s="8">
        <v>1427537952</v>
      </c>
      <c r="J578">
        <v>1422357552</v>
      </c>
      <c r="K578" t="b">
        <v>0</v>
      </c>
      <c r="L578" s="10">
        <v>1</v>
      </c>
      <c r="M578" t="b">
        <v>0</v>
      </c>
      <c r="N578" t="s">
        <v>8270</v>
      </c>
      <c r="O578" s="11">
        <f t="shared" ref="O578:O641" si="40">ROUND(E578/D578*100,0)</f>
        <v>0</v>
      </c>
      <c r="P578" s="12">
        <f t="shared" si="37"/>
        <v>1</v>
      </c>
      <c r="Q578" s="14" t="s">
        <v>8316</v>
      </c>
      <c r="R578" t="s">
        <v>8317</v>
      </c>
      <c r="S578" s="17">
        <f t="shared" si="38"/>
        <v>42031.471666666665</v>
      </c>
      <c r="T578" s="17">
        <f t="shared" si="39"/>
        <v>42091.43</v>
      </c>
      <c r="U578">
        <f>MONTH(Table1[[#This Row],[Launched]])</f>
        <v>1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8220</v>
      </c>
      <c r="G579" t="s">
        <v>8223</v>
      </c>
      <c r="H579" t="s">
        <v>8245</v>
      </c>
      <c r="I579" s="8">
        <v>1463753302</v>
      </c>
      <c r="J579">
        <v>1458569302</v>
      </c>
      <c r="K579" t="b">
        <v>0</v>
      </c>
      <c r="L579" s="10">
        <v>1</v>
      </c>
      <c r="M579" t="b">
        <v>0</v>
      </c>
      <c r="N579" t="s">
        <v>8270</v>
      </c>
      <c r="O579" s="11">
        <f t="shared" si="40"/>
        <v>0</v>
      </c>
      <c r="P579" s="12">
        <f t="shared" ref="P579:P642" si="41">IFERROR(ROUND(E579/L579,),"No Backers")</f>
        <v>10</v>
      </c>
      <c r="Q579" s="14" t="s">
        <v>8316</v>
      </c>
      <c r="R579" t="s">
        <v>8317</v>
      </c>
      <c r="S579" s="17">
        <f t="shared" ref="S579:S642" si="42">(((J579/60)/60)/24)+DATE(1970,1,1)</f>
        <v>42450.589143518519</v>
      </c>
      <c r="T579" s="17">
        <f t="shared" ref="T579:T642" si="43">(((I579/60)/60)/24)+DATE(1970,1,1)</f>
        <v>42510.589143518519</v>
      </c>
      <c r="U579">
        <f>MONTH(Table1[[#This Row],[Launched]])</f>
        <v>3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8220</v>
      </c>
      <c r="G580" t="s">
        <v>8224</v>
      </c>
      <c r="H580" t="s">
        <v>8246</v>
      </c>
      <c r="I580" s="8">
        <v>1441633993</v>
      </c>
      <c r="J580">
        <v>1439560393</v>
      </c>
      <c r="K580" t="b">
        <v>0</v>
      </c>
      <c r="L580" s="10">
        <v>7</v>
      </c>
      <c r="M580" t="b">
        <v>0</v>
      </c>
      <c r="N580" t="s">
        <v>8270</v>
      </c>
      <c r="O580" s="11">
        <f t="shared" si="40"/>
        <v>0</v>
      </c>
      <c r="P580" s="12">
        <f t="shared" si="41"/>
        <v>2</v>
      </c>
      <c r="Q580" s="14" t="s">
        <v>8316</v>
      </c>
      <c r="R580" t="s">
        <v>8317</v>
      </c>
      <c r="S580" s="17">
        <f t="shared" si="42"/>
        <v>42230.578622685185</v>
      </c>
      <c r="T580" s="17">
        <f t="shared" si="43"/>
        <v>42254.578622685185</v>
      </c>
      <c r="U580">
        <f>MONTH(Table1[[#This Row],[Launched]])</f>
        <v>8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8220</v>
      </c>
      <c r="G581" t="s">
        <v>8223</v>
      </c>
      <c r="H581" t="s">
        <v>8245</v>
      </c>
      <c r="I581" s="8">
        <v>1419539223</v>
      </c>
      <c r="J581">
        <v>1416947223</v>
      </c>
      <c r="K581" t="b">
        <v>0</v>
      </c>
      <c r="L581" s="10">
        <v>5</v>
      </c>
      <c r="M581" t="b">
        <v>0</v>
      </c>
      <c r="N581" t="s">
        <v>8270</v>
      </c>
      <c r="O581" s="11">
        <f t="shared" si="40"/>
        <v>1</v>
      </c>
      <c r="P581" s="12">
        <f t="shared" si="41"/>
        <v>35</v>
      </c>
      <c r="Q581" s="14" t="s">
        <v>8316</v>
      </c>
      <c r="R581" t="s">
        <v>8317</v>
      </c>
      <c r="S581" s="17">
        <f t="shared" si="42"/>
        <v>41968.852118055554</v>
      </c>
      <c r="T581" s="17">
        <f t="shared" si="43"/>
        <v>41998.852118055554</v>
      </c>
      <c r="U581">
        <f>MONTH(Table1[[#This Row],[Launched]])</f>
        <v>11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8220</v>
      </c>
      <c r="G582" t="s">
        <v>8223</v>
      </c>
      <c r="H582" t="s">
        <v>8245</v>
      </c>
      <c r="I582" s="8">
        <v>1474580867</v>
      </c>
      <c r="J582">
        <v>1471988867</v>
      </c>
      <c r="K582" t="b">
        <v>0</v>
      </c>
      <c r="L582" s="10">
        <v>1</v>
      </c>
      <c r="M582" t="b">
        <v>0</v>
      </c>
      <c r="N582" t="s">
        <v>8270</v>
      </c>
      <c r="O582" s="11">
        <f t="shared" si="40"/>
        <v>0</v>
      </c>
      <c r="P582" s="12">
        <f t="shared" si="41"/>
        <v>1</v>
      </c>
      <c r="Q582" s="14" t="s">
        <v>8316</v>
      </c>
      <c r="R582" t="s">
        <v>8317</v>
      </c>
      <c r="S582" s="17">
        <f t="shared" si="42"/>
        <v>42605.908182870371</v>
      </c>
      <c r="T582" s="17">
        <f t="shared" si="43"/>
        <v>42635.908182870371</v>
      </c>
      <c r="U582">
        <f>MONTH(Table1[[#This Row],[Launched]])</f>
        <v>8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8220</v>
      </c>
      <c r="G583" t="s">
        <v>8223</v>
      </c>
      <c r="H583" t="s">
        <v>8245</v>
      </c>
      <c r="I583" s="8">
        <v>1438474704</v>
      </c>
      <c r="J583">
        <v>1435882704</v>
      </c>
      <c r="K583" t="b">
        <v>0</v>
      </c>
      <c r="L583" s="10">
        <v>0</v>
      </c>
      <c r="M583" t="b">
        <v>0</v>
      </c>
      <c r="N583" t="s">
        <v>8270</v>
      </c>
      <c r="O583" s="11">
        <f t="shared" si="40"/>
        <v>0</v>
      </c>
      <c r="P583" s="12" t="str">
        <f t="shared" si="41"/>
        <v>No Backers</v>
      </c>
      <c r="Q583" s="14" t="s">
        <v>8316</v>
      </c>
      <c r="R583" t="s">
        <v>8317</v>
      </c>
      <c r="S583" s="17">
        <f t="shared" si="42"/>
        <v>42188.012777777782</v>
      </c>
      <c r="T583" s="17">
        <f t="shared" si="43"/>
        <v>42218.012777777782</v>
      </c>
      <c r="U583">
        <f>MONTH(Table1[[#This Row],[Launched]])</f>
        <v>7</v>
      </c>
    </row>
    <row r="584" spans="1:21" ht="57.6" x14ac:dyDescent="0.3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8220</v>
      </c>
      <c r="G584" t="s">
        <v>8223</v>
      </c>
      <c r="H584" t="s">
        <v>8245</v>
      </c>
      <c r="I584" s="8">
        <v>1426442400</v>
      </c>
      <c r="J584">
        <v>1424454319</v>
      </c>
      <c r="K584" t="b">
        <v>0</v>
      </c>
      <c r="L584" s="10">
        <v>0</v>
      </c>
      <c r="M584" t="b">
        <v>0</v>
      </c>
      <c r="N584" t="s">
        <v>8270</v>
      </c>
      <c r="O584" s="11">
        <f t="shared" si="40"/>
        <v>0</v>
      </c>
      <c r="P584" s="12" t="str">
        <f t="shared" si="41"/>
        <v>No Backers</v>
      </c>
      <c r="Q584" s="14" t="s">
        <v>8316</v>
      </c>
      <c r="R584" t="s">
        <v>8317</v>
      </c>
      <c r="S584" s="17">
        <f t="shared" si="42"/>
        <v>42055.739803240736</v>
      </c>
      <c r="T584" s="17">
        <f t="shared" si="43"/>
        <v>42078.75</v>
      </c>
      <c r="U584">
        <f>MONTH(Table1[[#This Row],[Launched]])</f>
        <v>2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8220</v>
      </c>
      <c r="G585" t="s">
        <v>8223</v>
      </c>
      <c r="H585" t="s">
        <v>8245</v>
      </c>
      <c r="I585" s="8">
        <v>1426800687</v>
      </c>
      <c r="J585">
        <v>1424212287</v>
      </c>
      <c r="K585" t="b">
        <v>0</v>
      </c>
      <c r="L585" s="10">
        <v>1</v>
      </c>
      <c r="M585" t="b">
        <v>0</v>
      </c>
      <c r="N585" t="s">
        <v>8270</v>
      </c>
      <c r="O585" s="11">
        <f t="shared" si="40"/>
        <v>0</v>
      </c>
      <c r="P585" s="12">
        <f t="shared" si="41"/>
        <v>1</v>
      </c>
      <c r="Q585" s="14" t="s">
        <v>8316</v>
      </c>
      <c r="R585" t="s">
        <v>8317</v>
      </c>
      <c r="S585" s="17">
        <f t="shared" si="42"/>
        <v>42052.93850694444</v>
      </c>
      <c r="T585" s="17">
        <f t="shared" si="43"/>
        <v>42082.896840277783</v>
      </c>
      <c r="U585">
        <f>MONTH(Table1[[#This Row],[Launched]])</f>
        <v>2</v>
      </c>
    </row>
    <row r="586" spans="1:21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8220</v>
      </c>
      <c r="G586" t="s">
        <v>8223</v>
      </c>
      <c r="H586" t="s">
        <v>8245</v>
      </c>
      <c r="I586" s="8">
        <v>1426522316</v>
      </c>
      <c r="J586">
        <v>1423933916</v>
      </c>
      <c r="K586" t="b">
        <v>0</v>
      </c>
      <c r="L586" s="10">
        <v>2</v>
      </c>
      <c r="M586" t="b">
        <v>0</v>
      </c>
      <c r="N586" t="s">
        <v>8270</v>
      </c>
      <c r="O586" s="11">
        <f t="shared" si="40"/>
        <v>1</v>
      </c>
      <c r="P586" s="12">
        <f t="shared" si="41"/>
        <v>5</v>
      </c>
      <c r="Q586" s="14" t="s">
        <v>8316</v>
      </c>
      <c r="R586" t="s">
        <v>8317</v>
      </c>
      <c r="S586" s="17">
        <f t="shared" si="42"/>
        <v>42049.716620370367</v>
      </c>
      <c r="T586" s="17">
        <f t="shared" si="43"/>
        <v>42079.674953703703</v>
      </c>
      <c r="U586">
        <f>MONTH(Table1[[#This Row],[Launched]])</f>
        <v>2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8220</v>
      </c>
      <c r="G587" t="s">
        <v>8224</v>
      </c>
      <c r="H587" t="s">
        <v>8246</v>
      </c>
      <c r="I587" s="8">
        <v>1448928000</v>
      </c>
      <c r="J587">
        <v>1444123377</v>
      </c>
      <c r="K587" t="b">
        <v>0</v>
      </c>
      <c r="L587" s="10">
        <v>0</v>
      </c>
      <c r="M587" t="b">
        <v>0</v>
      </c>
      <c r="N587" t="s">
        <v>8270</v>
      </c>
      <c r="O587" s="11">
        <f t="shared" si="40"/>
        <v>0</v>
      </c>
      <c r="P587" s="12" t="str">
        <f t="shared" si="41"/>
        <v>No Backers</v>
      </c>
      <c r="Q587" s="14" t="s">
        <v>8316</v>
      </c>
      <c r="R587" t="s">
        <v>8317</v>
      </c>
      <c r="S587" s="17">
        <f t="shared" si="42"/>
        <v>42283.3909375</v>
      </c>
      <c r="T587" s="17">
        <f t="shared" si="43"/>
        <v>42339</v>
      </c>
      <c r="U587">
        <f>MONTH(Table1[[#This Row],[Launched]])</f>
        <v>10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8220</v>
      </c>
      <c r="G588" t="s">
        <v>8223</v>
      </c>
      <c r="H588" t="s">
        <v>8245</v>
      </c>
      <c r="I588" s="8">
        <v>1424032207</v>
      </c>
      <c r="J588">
        <v>1421440207</v>
      </c>
      <c r="K588" t="b">
        <v>0</v>
      </c>
      <c r="L588" s="10">
        <v>4</v>
      </c>
      <c r="M588" t="b">
        <v>0</v>
      </c>
      <c r="N588" t="s">
        <v>8270</v>
      </c>
      <c r="O588" s="11">
        <f t="shared" si="40"/>
        <v>1</v>
      </c>
      <c r="P588" s="12">
        <f t="shared" si="41"/>
        <v>14</v>
      </c>
      <c r="Q588" s="14" t="s">
        <v>8316</v>
      </c>
      <c r="R588" t="s">
        <v>8317</v>
      </c>
      <c r="S588" s="17">
        <f t="shared" si="42"/>
        <v>42020.854247685187</v>
      </c>
      <c r="T588" s="17">
        <f t="shared" si="43"/>
        <v>42050.854247685187</v>
      </c>
      <c r="U588">
        <f>MONTH(Table1[[#This Row],[Launched]])</f>
        <v>1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8220</v>
      </c>
      <c r="G589" t="s">
        <v>8228</v>
      </c>
      <c r="H589" t="s">
        <v>8250</v>
      </c>
      <c r="I589" s="8">
        <v>1429207833</v>
      </c>
      <c r="J589">
        <v>1426615833</v>
      </c>
      <c r="K589" t="b">
        <v>0</v>
      </c>
      <c r="L589" s="10">
        <v>7</v>
      </c>
      <c r="M589" t="b">
        <v>0</v>
      </c>
      <c r="N589" t="s">
        <v>8270</v>
      </c>
      <c r="O589" s="11">
        <f t="shared" si="40"/>
        <v>9</v>
      </c>
      <c r="P589" s="12">
        <f t="shared" si="41"/>
        <v>389</v>
      </c>
      <c r="Q589" s="14" t="s">
        <v>8316</v>
      </c>
      <c r="R589" t="s">
        <v>8317</v>
      </c>
      <c r="S589" s="17">
        <f t="shared" si="42"/>
        <v>42080.757326388892</v>
      </c>
      <c r="T589" s="17">
        <f t="shared" si="43"/>
        <v>42110.757326388892</v>
      </c>
      <c r="U589">
        <f>MONTH(Table1[[#This Row],[Launched]])</f>
        <v>3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8220</v>
      </c>
      <c r="G590" t="s">
        <v>8236</v>
      </c>
      <c r="H590" t="s">
        <v>8248</v>
      </c>
      <c r="I590" s="8">
        <v>1479410886</v>
      </c>
      <c r="J590">
        <v>1474223286</v>
      </c>
      <c r="K590" t="b">
        <v>0</v>
      </c>
      <c r="L590" s="10">
        <v>2</v>
      </c>
      <c r="M590" t="b">
        <v>0</v>
      </c>
      <c r="N590" t="s">
        <v>8270</v>
      </c>
      <c r="O590" s="11">
        <f t="shared" si="40"/>
        <v>3</v>
      </c>
      <c r="P590" s="12">
        <f t="shared" si="41"/>
        <v>151</v>
      </c>
      <c r="Q590" s="14" t="s">
        <v>8316</v>
      </c>
      <c r="R590" t="s">
        <v>8317</v>
      </c>
      <c r="S590" s="17">
        <f t="shared" si="42"/>
        <v>42631.769513888896</v>
      </c>
      <c r="T590" s="17">
        <f t="shared" si="43"/>
        <v>42691.811180555553</v>
      </c>
      <c r="U590">
        <f>MONTH(Table1[[#This Row],[Launched]])</f>
        <v>9</v>
      </c>
    </row>
    <row r="591" spans="1:21" ht="15.6" x14ac:dyDescent="0.3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8220</v>
      </c>
      <c r="G591" t="s">
        <v>8223</v>
      </c>
      <c r="H591" t="s">
        <v>8245</v>
      </c>
      <c r="I591" s="8">
        <v>1436366699</v>
      </c>
      <c r="J591">
        <v>1435070699</v>
      </c>
      <c r="K591" t="b">
        <v>0</v>
      </c>
      <c r="L591" s="10">
        <v>1</v>
      </c>
      <c r="M591" t="b">
        <v>0</v>
      </c>
      <c r="N591" t="s">
        <v>8270</v>
      </c>
      <c r="O591" s="11">
        <f t="shared" si="40"/>
        <v>0</v>
      </c>
      <c r="P591" s="12">
        <f t="shared" si="41"/>
        <v>1</v>
      </c>
      <c r="Q591" s="14" t="s">
        <v>8316</v>
      </c>
      <c r="R591" t="s">
        <v>8317</v>
      </c>
      <c r="S591" s="17">
        <f t="shared" si="42"/>
        <v>42178.614571759259</v>
      </c>
      <c r="T591" s="17">
        <f t="shared" si="43"/>
        <v>42193.614571759259</v>
      </c>
      <c r="U591">
        <f>MONTH(Table1[[#This Row],[Launched]])</f>
        <v>6</v>
      </c>
    </row>
    <row r="592" spans="1:21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8220</v>
      </c>
      <c r="G592" t="s">
        <v>8224</v>
      </c>
      <c r="H592" t="s">
        <v>8246</v>
      </c>
      <c r="I592" s="8">
        <v>1454936460</v>
      </c>
      <c r="J592">
        <v>1452259131</v>
      </c>
      <c r="K592" t="b">
        <v>0</v>
      </c>
      <c r="L592" s="10">
        <v>9</v>
      </c>
      <c r="M592" t="b">
        <v>0</v>
      </c>
      <c r="N592" t="s">
        <v>8270</v>
      </c>
      <c r="O592" s="11">
        <f t="shared" si="40"/>
        <v>4</v>
      </c>
      <c r="P592" s="12">
        <f t="shared" si="41"/>
        <v>25</v>
      </c>
      <c r="Q592" s="14" t="s">
        <v>8316</v>
      </c>
      <c r="R592" t="s">
        <v>8317</v>
      </c>
      <c r="S592" s="17">
        <f t="shared" si="42"/>
        <v>42377.554756944446</v>
      </c>
      <c r="T592" s="17">
        <f t="shared" si="43"/>
        <v>42408.542361111111</v>
      </c>
      <c r="U592">
        <f>MONTH(Table1[[#This Row],[Launched]])</f>
        <v>1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8220</v>
      </c>
      <c r="G593" t="s">
        <v>8223</v>
      </c>
      <c r="H593" t="s">
        <v>8245</v>
      </c>
      <c r="I593" s="8">
        <v>1437570130</v>
      </c>
      <c r="J593">
        <v>1434978130</v>
      </c>
      <c r="K593" t="b">
        <v>0</v>
      </c>
      <c r="L593" s="10">
        <v>2</v>
      </c>
      <c r="M593" t="b">
        <v>0</v>
      </c>
      <c r="N593" t="s">
        <v>8270</v>
      </c>
      <c r="O593" s="11">
        <f t="shared" si="40"/>
        <v>0</v>
      </c>
      <c r="P593" s="12">
        <f t="shared" si="41"/>
        <v>31</v>
      </c>
      <c r="Q593" s="14" t="s">
        <v>8316</v>
      </c>
      <c r="R593" t="s">
        <v>8317</v>
      </c>
      <c r="S593" s="17">
        <f t="shared" si="42"/>
        <v>42177.543171296296</v>
      </c>
      <c r="T593" s="17">
        <f t="shared" si="43"/>
        <v>42207.543171296296</v>
      </c>
      <c r="U593">
        <f>MONTH(Table1[[#This Row],[Launched]])</f>
        <v>6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8220</v>
      </c>
      <c r="G594" t="s">
        <v>8223</v>
      </c>
      <c r="H594" t="s">
        <v>8245</v>
      </c>
      <c r="I594" s="8">
        <v>1417584860</v>
      </c>
      <c r="J594">
        <v>1414992860</v>
      </c>
      <c r="K594" t="b">
        <v>0</v>
      </c>
      <c r="L594" s="10">
        <v>1</v>
      </c>
      <c r="M594" t="b">
        <v>0</v>
      </c>
      <c r="N594" t="s">
        <v>8270</v>
      </c>
      <c r="O594" s="11">
        <f t="shared" si="40"/>
        <v>3</v>
      </c>
      <c r="P594" s="12">
        <f t="shared" si="41"/>
        <v>250</v>
      </c>
      <c r="Q594" s="14" t="s">
        <v>8316</v>
      </c>
      <c r="R594" t="s">
        <v>8317</v>
      </c>
      <c r="S594" s="17">
        <f t="shared" si="42"/>
        <v>41946.232175925928</v>
      </c>
      <c r="T594" s="17">
        <f t="shared" si="43"/>
        <v>41976.232175925921</v>
      </c>
      <c r="U594">
        <f>MONTH(Table1[[#This Row],[Launched]])</f>
        <v>11</v>
      </c>
    </row>
    <row r="595" spans="1:21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8220</v>
      </c>
      <c r="G595" t="s">
        <v>8224</v>
      </c>
      <c r="H595" t="s">
        <v>8246</v>
      </c>
      <c r="I595" s="8">
        <v>1428333345</v>
      </c>
      <c r="J595">
        <v>1425744945</v>
      </c>
      <c r="K595" t="b">
        <v>0</v>
      </c>
      <c r="L595" s="10">
        <v>7</v>
      </c>
      <c r="M595" t="b">
        <v>0</v>
      </c>
      <c r="N595" t="s">
        <v>8270</v>
      </c>
      <c r="O595" s="11">
        <f t="shared" si="40"/>
        <v>23</v>
      </c>
      <c r="P595" s="12">
        <f t="shared" si="41"/>
        <v>16</v>
      </c>
      <c r="Q595" s="14" t="s">
        <v>8316</v>
      </c>
      <c r="R595" t="s">
        <v>8317</v>
      </c>
      <c r="S595" s="17">
        <f t="shared" si="42"/>
        <v>42070.677604166667</v>
      </c>
      <c r="T595" s="17">
        <f t="shared" si="43"/>
        <v>42100.635937500003</v>
      </c>
      <c r="U595">
        <f>MONTH(Table1[[#This Row],[Launched]])</f>
        <v>3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8220</v>
      </c>
      <c r="G596" t="s">
        <v>8223</v>
      </c>
      <c r="H596" t="s">
        <v>8245</v>
      </c>
      <c r="I596" s="8">
        <v>1460832206</v>
      </c>
      <c r="J596">
        <v>1458240206</v>
      </c>
      <c r="K596" t="b">
        <v>0</v>
      </c>
      <c r="L596" s="10">
        <v>2</v>
      </c>
      <c r="M596" t="b">
        <v>0</v>
      </c>
      <c r="N596" t="s">
        <v>8270</v>
      </c>
      <c r="O596" s="11">
        <f t="shared" si="40"/>
        <v>0</v>
      </c>
      <c r="P596" s="12">
        <f t="shared" si="41"/>
        <v>13</v>
      </c>
      <c r="Q596" s="14" t="s">
        <v>8316</v>
      </c>
      <c r="R596" t="s">
        <v>8317</v>
      </c>
      <c r="S596" s="17">
        <f t="shared" si="42"/>
        <v>42446.780162037037</v>
      </c>
      <c r="T596" s="17">
        <f t="shared" si="43"/>
        <v>42476.780162037037</v>
      </c>
      <c r="U596">
        <f>MONTH(Table1[[#This Row],[Launched]])</f>
        <v>3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8220</v>
      </c>
      <c r="G597" t="s">
        <v>8223</v>
      </c>
      <c r="H597" t="s">
        <v>8245</v>
      </c>
      <c r="I597" s="8">
        <v>1430703638</v>
      </c>
      <c r="J597">
        <v>1426815638</v>
      </c>
      <c r="K597" t="b">
        <v>0</v>
      </c>
      <c r="L597" s="10">
        <v>8</v>
      </c>
      <c r="M597" t="b">
        <v>0</v>
      </c>
      <c r="N597" t="s">
        <v>8270</v>
      </c>
      <c r="O597" s="11">
        <f t="shared" si="40"/>
        <v>0</v>
      </c>
      <c r="P597" s="12">
        <f t="shared" si="41"/>
        <v>53</v>
      </c>
      <c r="Q597" s="14" t="s">
        <v>8316</v>
      </c>
      <c r="R597" t="s">
        <v>8317</v>
      </c>
      <c r="S597" s="17">
        <f t="shared" si="42"/>
        <v>42083.069884259254</v>
      </c>
      <c r="T597" s="17">
        <f t="shared" si="43"/>
        <v>42128.069884259254</v>
      </c>
      <c r="U597">
        <f>MONTH(Table1[[#This Row],[Launched]])</f>
        <v>3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8220</v>
      </c>
      <c r="G598" t="s">
        <v>8223</v>
      </c>
      <c r="H598" t="s">
        <v>8245</v>
      </c>
      <c r="I598" s="8">
        <v>1478122292</v>
      </c>
      <c r="J598">
        <v>1475530292</v>
      </c>
      <c r="K598" t="b">
        <v>0</v>
      </c>
      <c r="L598" s="10">
        <v>2</v>
      </c>
      <c r="M598" t="b">
        <v>0</v>
      </c>
      <c r="N598" t="s">
        <v>8270</v>
      </c>
      <c r="O598" s="11">
        <f t="shared" si="40"/>
        <v>0</v>
      </c>
      <c r="P598" s="12">
        <f t="shared" si="41"/>
        <v>3</v>
      </c>
      <c r="Q598" s="14" t="s">
        <v>8316</v>
      </c>
      <c r="R598" t="s">
        <v>8317</v>
      </c>
      <c r="S598" s="17">
        <f t="shared" si="42"/>
        <v>42646.896898148145</v>
      </c>
      <c r="T598" s="17">
        <f t="shared" si="43"/>
        <v>42676.896898148145</v>
      </c>
      <c r="U598">
        <f>MONTH(Table1[[#This Row],[Launched]])</f>
        <v>10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8220</v>
      </c>
      <c r="G599" t="s">
        <v>8223</v>
      </c>
      <c r="H599" t="s">
        <v>8245</v>
      </c>
      <c r="I599" s="8">
        <v>1469980800</v>
      </c>
      <c r="J599">
        <v>1466787335</v>
      </c>
      <c r="K599" t="b">
        <v>0</v>
      </c>
      <c r="L599" s="10">
        <v>2</v>
      </c>
      <c r="M599" t="b">
        <v>0</v>
      </c>
      <c r="N599" t="s">
        <v>8270</v>
      </c>
      <c r="O599" s="11">
        <f t="shared" si="40"/>
        <v>0</v>
      </c>
      <c r="P599" s="12">
        <f t="shared" si="41"/>
        <v>10</v>
      </c>
      <c r="Q599" s="14" t="s">
        <v>8316</v>
      </c>
      <c r="R599" t="s">
        <v>8317</v>
      </c>
      <c r="S599" s="17">
        <f t="shared" si="42"/>
        <v>42545.705266203702</v>
      </c>
      <c r="T599" s="17">
        <f t="shared" si="43"/>
        <v>42582.666666666672</v>
      </c>
      <c r="U599">
        <f>MONTH(Table1[[#This Row],[Launched]])</f>
        <v>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8220</v>
      </c>
      <c r="G600" t="s">
        <v>8223</v>
      </c>
      <c r="H600" t="s">
        <v>8245</v>
      </c>
      <c r="I600" s="8">
        <v>1417737781</v>
      </c>
      <c r="J600">
        <v>1415145781</v>
      </c>
      <c r="K600" t="b">
        <v>0</v>
      </c>
      <c r="L600" s="10">
        <v>7</v>
      </c>
      <c r="M600" t="b">
        <v>0</v>
      </c>
      <c r="N600" t="s">
        <v>8270</v>
      </c>
      <c r="O600" s="11">
        <f t="shared" si="40"/>
        <v>34</v>
      </c>
      <c r="P600" s="12">
        <f t="shared" si="41"/>
        <v>121</v>
      </c>
      <c r="Q600" s="14" t="s">
        <v>8316</v>
      </c>
      <c r="R600" t="s">
        <v>8317</v>
      </c>
      <c r="S600" s="17">
        <f t="shared" si="42"/>
        <v>41948.00209490741</v>
      </c>
      <c r="T600" s="17">
        <f t="shared" si="43"/>
        <v>41978.00209490741</v>
      </c>
      <c r="U600">
        <f>MONTH(Table1[[#This Row],[Launched]])</f>
        <v>11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8220</v>
      </c>
      <c r="G601" t="s">
        <v>8223</v>
      </c>
      <c r="H601" t="s">
        <v>8245</v>
      </c>
      <c r="I601" s="8">
        <v>1425827760</v>
      </c>
      <c r="J601">
        <v>1423769402</v>
      </c>
      <c r="K601" t="b">
        <v>0</v>
      </c>
      <c r="L601" s="10">
        <v>2</v>
      </c>
      <c r="M601" t="b">
        <v>0</v>
      </c>
      <c r="N601" t="s">
        <v>8270</v>
      </c>
      <c r="O601" s="11">
        <f t="shared" si="40"/>
        <v>0</v>
      </c>
      <c r="P601" s="12">
        <f t="shared" si="41"/>
        <v>16</v>
      </c>
      <c r="Q601" s="14" t="s">
        <v>8316</v>
      </c>
      <c r="R601" t="s">
        <v>8317</v>
      </c>
      <c r="S601" s="17">
        <f t="shared" si="42"/>
        <v>42047.812523148154</v>
      </c>
      <c r="T601" s="17">
        <f t="shared" si="43"/>
        <v>42071.636111111111</v>
      </c>
      <c r="U601">
        <f>MONTH(Table1[[#This Row],[Launched]])</f>
        <v>2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8219</v>
      </c>
      <c r="G602" t="s">
        <v>8223</v>
      </c>
      <c r="H602" t="s">
        <v>8245</v>
      </c>
      <c r="I602" s="8">
        <v>1431198562</v>
      </c>
      <c r="J602">
        <v>1426014562</v>
      </c>
      <c r="K602" t="b">
        <v>0</v>
      </c>
      <c r="L602" s="10">
        <v>1</v>
      </c>
      <c r="M602" t="b">
        <v>0</v>
      </c>
      <c r="N602" t="s">
        <v>8270</v>
      </c>
      <c r="O602" s="11">
        <f t="shared" si="40"/>
        <v>2</v>
      </c>
      <c r="P602" s="12">
        <f t="shared" si="41"/>
        <v>100</v>
      </c>
      <c r="Q602" s="14" t="s">
        <v>8316</v>
      </c>
      <c r="R602" t="s">
        <v>8317</v>
      </c>
      <c r="S602" s="17">
        <f t="shared" si="42"/>
        <v>42073.798171296294</v>
      </c>
      <c r="T602" s="17">
        <f t="shared" si="43"/>
        <v>42133.798171296294</v>
      </c>
      <c r="U602">
        <f>MONTH(Table1[[#This Row],[Launched]])</f>
        <v>3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8219</v>
      </c>
      <c r="G603" t="s">
        <v>8228</v>
      </c>
      <c r="H603" t="s">
        <v>8250</v>
      </c>
      <c r="I603" s="8">
        <v>1419626139</v>
      </c>
      <c r="J603">
        <v>1417034139</v>
      </c>
      <c r="K603" t="b">
        <v>0</v>
      </c>
      <c r="L603" s="10">
        <v>6</v>
      </c>
      <c r="M603" t="b">
        <v>0</v>
      </c>
      <c r="N603" t="s">
        <v>8270</v>
      </c>
      <c r="O603" s="11">
        <f t="shared" si="40"/>
        <v>1</v>
      </c>
      <c r="P603" s="12">
        <f t="shared" si="41"/>
        <v>23</v>
      </c>
      <c r="Q603" s="14" t="s">
        <v>8316</v>
      </c>
      <c r="R603" t="s">
        <v>8317</v>
      </c>
      <c r="S603" s="17">
        <f t="shared" si="42"/>
        <v>41969.858090277776</v>
      </c>
      <c r="T603" s="17">
        <f t="shared" si="43"/>
        <v>41999.858090277776</v>
      </c>
      <c r="U603">
        <f>MONTH(Table1[[#This Row],[Launched]])</f>
        <v>11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8219</v>
      </c>
      <c r="G604" t="s">
        <v>8223</v>
      </c>
      <c r="H604" t="s">
        <v>8245</v>
      </c>
      <c r="I604" s="8">
        <v>1434654215</v>
      </c>
      <c r="J604">
        <v>1432062215</v>
      </c>
      <c r="K604" t="b">
        <v>0</v>
      </c>
      <c r="L604" s="10">
        <v>0</v>
      </c>
      <c r="M604" t="b">
        <v>0</v>
      </c>
      <c r="N604" t="s">
        <v>8270</v>
      </c>
      <c r="O604" s="11">
        <f t="shared" si="40"/>
        <v>0</v>
      </c>
      <c r="P604" s="12" t="str">
        <f t="shared" si="41"/>
        <v>No Backers</v>
      </c>
      <c r="Q604" s="14" t="s">
        <v>8316</v>
      </c>
      <c r="R604" t="s">
        <v>8317</v>
      </c>
      <c r="S604" s="17">
        <f t="shared" si="42"/>
        <v>42143.79415509259</v>
      </c>
      <c r="T604" s="17">
        <f t="shared" si="43"/>
        <v>42173.79415509259</v>
      </c>
      <c r="U604">
        <f>MONTH(Table1[[#This Row],[Launched]])</f>
        <v>5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8219</v>
      </c>
      <c r="G605" t="s">
        <v>8223</v>
      </c>
      <c r="H605" t="s">
        <v>8245</v>
      </c>
      <c r="I605" s="8">
        <v>1408029623</v>
      </c>
      <c r="J605">
        <v>1405437623</v>
      </c>
      <c r="K605" t="b">
        <v>0</v>
      </c>
      <c r="L605" s="10">
        <v>13</v>
      </c>
      <c r="M605" t="b">
        <v>0</v>
      </c>
      <c r="N605" t="s">
        <v>8270</v>
      </c>
      <c r="O605" s="11">
        <f t="shared" si="40"/>
        <v>4</v>
      </c>
      <c r="P605" s="12">
        <f t="shared" si="41"/>
        <v>45</v>
      </c>
      <c r="Q605" s="14" t="s">
        <v>8316</v>
      </c>
      <c r="R605" t="s">
        <v>8317</v>
      </c>
      <c r="S605" s="17">
        <f t="shared" si="42"/>
        <v>41835.639155092591</v>
      </c>
      <c r="T605" s="17">
        <f t="shared" si="43"/>
        <v>41865.639155092591</v>
      </c>
      <c r="U605">
        <f>MONTH(Table1[[#This Row],[Launched]])</f>
        <v>7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8219</v>
      </c>
      <c r="G606" t="s">
        <v>8223</v>
      </c>
      <c r="H606" t="s">
        <v>8245</v>
      </c>
      <c r="I606" s="8">
        <v>1409187056</v>
      </c>
      <c r="J606">
        <v>1406595056</v>
      </c>
      <c r="K606" t="b">
        <v>0</v>
      </c>
      <c r="L606" s="10">
        <v>0</v>
      </c>
      <c r="M606" t="b">
        <v>0</v>
      </c>
      <c r="N606" t="s">
        <v>8270</v>
      </c>
      <c r="O606" s="11">
        <f t="shared" si="40"/>
        <v>0</v>
      </c>
      <c r="P606" s="12" t="str">
        <f t="shared" si="41"/>
        <v>No Backers</v>
      </c>
      <c r="Q606" s="14" t="s">
        <v>8316</v>
      </c>
      <c r="R606" t="s">
        <v>8317</v>
      </c>
      <c r="S606" s="17">
        <f t="shared" si="42"/>
        <v>41849.035370370373</v>
      </c>
      <c r="T606" s="17">
        <f t="shared" si="43"/>
        <v>41879.035370370373</v>
      </c>
      <c r="U606">
        <f>MONTH(Table1[[#This Row],[Launched]])</f>
        <v>7</v>
      </c>
    </row>
    <row r="607" spans="1:21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8219</v>
      </c>
      <c r="G607" t="s">
        <v>8223</v>
      </c>
      <c r="H607" t="s">
        <v>8245</v>
      </c>
      <c r="I607" s="8">
        <v>1440318908</v>
      </c>
      <c r="J607">
        <v>1436430908</v>
      </c>
      <c r="K607" t="b">
        <v>0</v>
      </c>
      <c r="L607" s="10">
        <v>8</v>
      </c>
      <c r="M607" t="b">
        <v>0</v>
      </c>
      <c r="N607" t="s">
        <v>8270</v>
      </c>
      <c r="O607" s="11">
        <f t="shared" si="40"/>
        <v>3</v>
      </c>
      <c r="P607" s="12">
        <f t="shared" si="41"/>
        <v>16</v>
      </c>
      <c r="Q607" s="14" t="s">
        <v>8316</v>
      </c>
      <c r="R607" t="s">
        <v>8317</v>
      </c>
      <c r="S607" s="17">
        <f t="shared" si="42"/>
        <v>42194.357731481476</v>
      </c>
      <c r="T607" s="17">
        <f t="shared" si="43"/>
        <v>42239.357731481476</v>
      </c>
      <c r="U607">
        <f>MONTH(Table1[[#This Row],[Launched]])</f>
        <v>7</v>
      </c>
    </row>
    <row r="608" spans="1:21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8219</v>
      </c>
      <c r="G608" t="s">
        <v>8232</v>
      </c>
      <c r="H608" t="s">
        <v>8248</v>
      </c>
      <c r="I608" s="8">
        <v>1432479600</v>
      </c>
      <c r="J608">
        <v>1428507409</v>
      </c>
      <c r="K608" t="b">
        <v>0</v>
      </c>
      <c r="L608" s="10">
        <v>1</v>
      </c>
      <c r="M608" t="b">
        <v>0</v>
      </c>
      <c r="N608" t="s">
        <v>8270</v>
      </c>
      <c r="O608" s="11">
        <f t="shared" si="40"/>
        <v>0</v>
      </c>
      <c r="P608" s="12">
        <f t="shared" si="41"/>
        <v>10</v>
      </c>
      <c r="Q608" s="14" t="s">
        <v>8316</v>
      </c>
      <c r="R608" t="s">
        <v>8317</v>
      </c>
      <c r="S608" s="17">
        <f t="shared" si="42"/>
        <v>42102.650567129633</v>
      </c>
      <c r="T608" s="17">
        <f t="shared" si="43"/>
        <v>42148.625</v>
      </c>
      <c r="U608">
        <f>MONTH(Table1[[#This Row],[Launched]])</f>
        <v>4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8219</v>
      </c>
      <c r="G609" t="s">
        <v>8223</v>
      </c>
      <c r="H609" t="s">
        <v>8245</v>
      </c>
      <c r="I609" s="8">
        <v>1448225336</v>
      </c>
      <c r="J609">
        <v>1445629736</v>
      </c>
      <c r="K609" t="b">
        <v>0</v>
      </c>
      <c r="L609" s="10">
        <v>0</v>
      </c>
      <c r="M609" t="b">
        <v>0</v>
      </c>
      <c r="N609" t="s">
        <v>8270</v>
      </c>
      <c r="O609" s="11">
        <f t="shared" si="40"/>
        <v>0</v>
      </c>
      <c r="P609" s="12" t="str">
        <f t="shared" si="41"/>
        <v>No Backers</v>
      </c>
      <c r="Q609" s="14" t="s">
        <v>8316</v>
      </c>
      <c r="R609" t="s">
        <v>8317</v>
      </c>
      <c r="S609" s="17">
        <f t="shared" si="42"/>
        <v>42300.825648148151</v>
      </c>
      <c r="T609" s="17">
        <f t="shared" si="43"/>
        <v>42330.867314814815</v>
      </c>
      <c r="U609">
        <f>MONTH(Table1[[#This Row],[Launched]])</f>
        <v>10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8219</v>
      </c>
      <c r="G610" t="s">
        <v>8223</v>
      </c>
      <c r="H610" t="s">
        <v>8245</v>
      </c>
      <c r="I610" s="8">
        <v>1434405980</v>
      </c>
      <c r="J610">
        <v>1431813980</v>
      </c>
      <c r="K610" t="b">
        <v>0</v>
      </c>
      <c r="L610" s="10">
        <v>5</v>
      </c>
      <c r="M610" t="b">
        <v>0</v>
      </c>
      <c r="N610" t="s">
        <v>8270</v>
      </c>
      <c r="O610" s="11">
        <f t="shared" si="40"/>
        <v>1</v>
      </c>
      <c r="P610" s="12">
        <f t="shared" si="41"/>
        <v>292</v>
      </c>
      <c r="Q610" s="14" t="s">
        <v>8316</v>
      </c>
      <c r="R610" t="s">
        <v>8317</v>
      </c>
      <c r="S610" s="17">
        <f t="shared" si="42"/>
        <v>42140.921064814815</v>
      </c>
      <c r="T610" s="17">
        <f t="shared" si="43"/>
        <v>42170.921064814815</v>
      </c>
      <c r="U610">
        <f>MONTH(Table1[[#This Row],[Launched]])</f>
        <v>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8219</v>
      </c>
      <c r="G611" t="s">
        <v>8224</v>
      </c>
      <c r="H611" t="s">
        <v>8246</v>
      </c>
      <c r="I611" s="8">
        <v>1448761744</v>
      </c>
      <c r="J611">
        <v>1446166144</v>
      </c>
      <c r="K611" t="b">
        <v>0</v>
      </c>
      <c r="L611" s="10">
        <v>1</v>
      </c>
      <c r="M611" t="b">
        <v>0</v>
      </c>
      <c r="N611" t="s">
        <v>8270</v>
      </c>
      <c r="O611" s="11">
        <f t="shared" si="40"/>
        <v>1</v>
      </c>
      <c r="P611" s="12">
        <f t="shared" si="41"/>
        <v>5</v>
      </c>
      <c r="Q611" s="14" t="s">
        <v>8316</v>
      </c>
      <c r="R611" t="s">
        <v>8317</v>
      </c>
      <c r="S611" s="17">
        <f t="shared" si="42"/>
        <v>42307.034074074079</v>
      </c>
      <c r="T611" s="17">
        <f t="shared" si="43"/>
        <v>42337.075740740736</v>
      </c>
      <c r="U611">
        <f>MONTH(Table1[[#This Row],[Launched]])</f>
        <v>10</v>
      </c>
    </row>
    <row r="612" spans="1:21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8219</v>
      </c>
      <c r="G612" t="s">
        <v>8223</v>
      </c>
      <c r="H612" t="s">
        <v>8245</v>
      </c>
      <c r="I612" s="8">
        <v>1429732586</v>
      </c>
      <c r="J612">
        <v>1427140586</v>
      </c>
      <c r="K612" t="b">
        <v>0</v>
      </c>
      <c r="L612" s="10">
        <v>0</v>
      </c>
      <c r="M612" t="b">
        <v>0</v>
      </c>
      <c r="N612" t="s">
        <v>8270</v>
      </c>
      <c r="O612" s="11">
        <f t="shared" si="40"/>
        <v>0</v>
      </c>
      <c r="P612" s="12" t="str">
        <f t="shared" si="41"/>
        <v>No Backers</v>
      </c>
      <c r="Q612" s="14" t="s">
        <v>8316</v>
      </c>
      <c r="R612" t="s">
        <v>8317</v>
      </c>
      <c r="S612" s="17">
        <f t="shared" si="42"/>
        <v>42086.83085648148</v>
      </c>
      <c r="T612" s="17">
        <f t="shared" si="43"/>
        <v>42116.83085648148</v>
      </c>
      <c r="U612">
        <f>MONTH(Table1[[#This Row],[Launched]])</f>
        <v>3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8219</v>
      </c>
      <c r="G613" t="s">
        <v>8229</v>
      </c>
      <c r="H613" t="s">
        <v>8248</v>
      </c>
      <c r="I613" s="8">
        <v>1453210037</v>
      </c>
      <c r="J613">
        <v>1448026037</v>
      </c>
      <c r="K613" t="b">
        <v>0</v>
      </c>
      <c r="L613" s="10">
        <v>0</v>
      </c>
      <c r="M613" t="b">
        <v>0</v>
      </c>
      <c r="N613" t="s">
        <v>8270</v>
      </c>
      <c r="O613" s="11">
        <f t="shared" si="40"/>
        <v>0</v>
      </c>
      <c r="P613" s="12" t="str">
        <f t="shared" si="41"/>
        <v>No Backers</v>
      </c>
      <c r="Q613" s="14" t="s">
        <v>8316</v>
      </c>
      <c r="R613" t="s">
        <v>8317</v>
      </c>
      <c r="S613" s="17">
        <f t="shared" si="42"/>
        <v>42328.560613425929</v>
      </c>
      <c r="T613" s="17">
        <f t="shared" si="43"/>
        <v>42388.560613425929</v>
      </c>
      <c r="U613">
        <f>MONTH(Table1[[#This Row],[Launched]])</f>
        <v>11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8219</v>
      </c>
      <c r="G614" t="s">
        <v>8236</v>
      </c>
      <c r="H614" t="s">
        <v>8248</v>
      </c>
      <c r="I614" s="8">
        <v>1472777146</v>
      </c>
      <c r="J614">
        <v>1470185146</v>
      </c>
      <c r="K614" t="b">
        <v>0</v>
      </c>
      <c r="L614" s="10">
        <v>0</v>
      </c>
      <c r="M614" t="b">
        <v>0</v>
      </c>
      <c r="N614" t="s">
        <v>8270</v>
      </c>
      <c r="O614" s="11">
        <f t="shared" si="40"/>
        <v>0</v>
      </c>
      <c r="P614" s="12" t="str">
        <f t="shared" si="41"/>
        <v>No Backers</v>
      </c>
      <c r="Q614" s="14" t="s">
        <v>8316</v>
      </c>
      <c r="R614" t="s">
        <v>8317</v>
      </c>
      <c r="S614" s="17">
        <f t="shared" si="42"/>
        <v>42585.031782407401</v>
      </c>
      <c r="T614" s="17">
        <f t="shared" si="43"/>
        <v>42615.031782407401</v>
      </c>
      <c r="U614">
        <f>MONTH(Table1[[#This Row],[Launched]])</f>
        <v>8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8219</v>
      </c>
      <c r="G615" t="s">
        <v>8223</v>
      </c>
      <c r="H615" t="s">
        <v>8245</v>
      </c>
      <c r="I615" s="8">
        <v>1443675540</v>
      </c>
      <c r="J615">
        <v>1441022120</v>
      </c>
      <c r="K615" t="b">
        <v>0</v>
      </c>
      <c r="L615" s="10">
        <v>121</v>
      </c>
      <c r="M615" t="b">
        <v>0</v>
      </c>
      <c r="N615" t="s">
        <v>8270</v>
      </c>
      <c r="O615" s="11">
        <f t="shared" si="40"/>
        <v>21</v>
      </c>
      <c r="P615" s="12">
        <f t="shared" si="41"/>
        <v>106</v>
      </c>
      <c r="Q615" s="14" t="s">
        <v>8316</v>
      </c>
      <c r="R615" t="s">
        <v>8317</v>
      </c>
      <c r="S615" s="17">
        <f t="shared" si="42"/>
        <v>42247.496759259258</v>
      </c>
      <c r="T615" s="17">
        <f t="shared" si="43"/>
        <v>42278.207638888889</v>
      </c>
      <c r="U615">
        <f>MONTH(Table1[[#This Row],[Launched]])</f>
        <v>8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8219</v>
      </c>
      <c r="G616" t="s">
        <v>8223</v>
      </c>
      <c r="H616" t="s">
        <v>8245</v>
      </c>
      <c r="I616" s="8">
        <v>1466731740</v>
      </c>
      <c r="J616">
        <v>1464139740</v>
      </c>
      <c r="K616" t="b">
        <v>0</v>
      </c>
      <c r="L616" s="10">
        <v>0</v>
      </c>
      <c r="M616" t="b">
        <v>0</v>
      </c>
      <c r="N616" t="s">
        <v>8270</v>
      </c>
      <c r="O616" s="11">
        <f t="shared" si="40"/>
        <v>0</v>
      </c>
      <c r="P616" s="12" t="str">
        <f t="shared" si="41"/>
        <v>No Backers</v>
      </c>
      <c r="Q616" s="14" t="s">
        <v>8316</v>
      </c>
      <c r="R616" t="s">
        <v>8317</v>
      </c>
      <c r="S616" s="17">
        <f t="shared" si="42"/>
        <v>42515.061805555553</v>
      </c>
      <c r="T616" s="17">
        <f t="shared" si="43"/>
        <v>42545.061805555553</v>
      </c>
      <c r="U616">
        <f>MONTH(Table1[[#This Row],[Launched]])</f>
        <v>5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8219</v>
      </c>
      <c r="G617" t="s">
        <v>8227</v>
      </c>
      <c r="H617" t="s">
        <v>8249</v>
      </c>
      <c r="I617" s="8">
        <v>1443149759</v>
      </c>
      <c r="J617">
        <v>1440557759</v>
      </c>
      <c r="K617" t="b">
        <v>0</v>
      </c>
      <c r="L617" s="10">
        <v>0</v>
      </c>
      <c r="M617" t="b">
        <v>0</v>
      </c>
      <c r="N617" t="s">
        <v>8270</v>
      </c>
      <c r="O617" s="11">
        <f t="shared" si="40"/>
        <v>0</v>
      </c>
      <c r="P617" s="12" t="str">
        <f t="shared" si="41"/>
        <v>No Backers</v>
      </c>
      <c r="Q617" s="14" t="s">
        <v>8316</v>
      </c>
      <c r="R617" t="s">
        <v>8317</v>
      </c>
      <c r="S617" s="17">
        <f t="shared" si="42"/>
        <v>42242.122210648144</v>
      </c>
      <c r="T617" s="17">
        <f t="shared" si="43"/>
        <v>42272.122210648144</v>
      </c>
      <c r="U617">
        <f>MONTH(Table1[[#This Row],[Launched]])</f>
        <v>8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8219</v>
      </c>
      <c r="G618" t="s">
        <v>8229</v>
      </c>
      <c r="H618" t="s">
        <v>8248</v>
      </c>
      <c r="I618" s="8">
        <v>1488013307</v>
      </c>
      <c r="J618">
        <v>1485421307</v>
      </c>
      <c r="K618" t="b">
        <v>0</v>
      </c>
      <c r="L618" s="10">
        <v>0</v>
      </c>
      <c r="M618" t="b">
        <v>0</v>
      </c>
      <c r="N618" t="s">
        <v>8270</v>
      </c>
      <c r="O618" s="11">
        <f t="shared" si="40"/>
        <v>0</v>
      </c>
      <c r="P618" s="12" t="str">
        <f t="shared" si="41"/>
        <v>No Backers</v>
      </c>
      <c r="Q618" s="14" t="s">
        <v>8316</v>
      </c>
      <c r="R618" t="s">
        <v>8317</v>
      </c>
      <c r="S618" s="17">
        <f t="shared" si="42"/>
        <v>42761.376238425932</v>
      </c>
      <c r="T618" s="17">
        <f t="shared" si="43"/>
        <v>42791.376238425932</v>
      </c>
      <c r="U618">
        <f>MONTH(Table1[[#This Row],[Launched]])</f>
        <v>1</v>
      </c>
    </row>
    <row r="619" spans="1:21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8219</v>
      </c>
      <c r="G619" t="s">
        <v>8224</v>
      </c>
      <c r="H619" t="s">
        <v>8246</v>
      </c>
      <c r="I619" s="8">
        <v>1431072843</v>
      </c>
      <c r="J619">
        <v>1427184843</v>
      </c>
      <c r="K619" t="b">
        <v>0</v>
      </c>
      <c r="L619" s="10">
        <v>3</v>
      </c>
      <c r="M619" t="b">
        <v>0</v>
      </c>
      <c r="N619" t="s">
        <v>8270</v>
      </c>
      <c r="O619" s="11">
        <f t="shared" si="40"/>
        <v>3</v>
      </c>
      <c r="P619" s="12">
        <f t="shared" si="41"/>
        <v>20</v>
      </c>
      <c r="Q619" s="14" t="s">
        <v>8316</v>
      </c>
      <c r="R619" t="s">
        <v>8317</v>
      </c>
      <c r="S619" s="17">
        <f t="shared" si="42"/>
        <v>42087.343090277776</v>
      </c>
      <c r="T619" s="17">
        <f t="shared" si="43"/>
        <v>42132.343090277776</v>
      </c>
      <c r="U619">
        <f>MONTH(Table1[[#This Row],[Launched]])</f>
        <v>3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8219</v>
      </c>
      <c r="G620" t="s">
        <v>8223</v>
      </c>
      <c r="H620" t="s">
        <v>8245</v>
      </c>
      <c r="I620" s="8">
        <v>1449689203</v>
      </c>
      <c r="J620">
        <v>1447097203</v>
      </c>
      <c r="K620" t="b">
        <v>0</v>
      </c>
      <c r="L620" s="10">
        <v>0</v>
      </c>
      <c r="M620" t="b">
        <v>0</v>
      </c>
      <c r="N620" t="s">
        <v>8270</v>
      </c>
      <c r="O620" s="11">
        <f t="shared" si="40"/>
        <v>0</v>
      </c>
      <c r="P620" s="12" t="str">
        <f t="shared" si="41"/>
        <v>No Backers</v>
      </c>
      <c r="Q620" s="14" t="s">
        <v>8316</v>
      </c>
      <c r="R620" t="s">
        <v>8317</v>
      </c>
      <c r="S620" s="17">
        <f t="shared" si="42"/>
        <v>42317.810219907406</v>
      </c>
      <c r="T620" s="17">
        <f t="shared" si="43"/>
        <v>42347.810219907406</v>
      </c>
      <c r="U620">
        <f>MONTH(Table1[[#This Row],[Launched]])</f>
        <v>11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8219</v>
      </c>
      <c r="G621" t="s">
        <v>8223</v>
      </c>
      <c r="H621" t="s">
        <v>8245</v>
      </c>
      <c r="I621" s="8">
        <v>1416933390</v>
      </c>
      <c r="J621">
        <v>1411745790</v>
      </c>
      <c r="K621" t="b">
        <v>0</v>
      </c>
      <c r="L621" s="10">
        <v>1</v>
      </c>
      <c r="M621" t="b">
        <v>0</v>
      </c>
      <c r="N621" t="s">
        <v>8270</v>
      </c>
      <c r="O621" s="11">
        <f t="shared" si="40"/>
        <v>0</v>
      </c>
      <c r="P621" s="12">
        <f t="shared" si="41"/>
        <v>1</v>
      </c>
      <c r="Q621" s="14" t="s">
        <v>8316</v>
      </c>
      <c r="R621" t="s">
        <v>8317</v>
      </c>
      <c r="S621" s="17">
        <f t="shared" si="42"/>
        <v>41908.650347222225</v>
      </c>
      <c r="T621" s="17">
        <f t="shared" si="43"/>
        <v>41968.692013888889</v>
      </c>
      <c r="U621">
        <f>MONTH(Table1[[#This Row],[Launched]])</f>
        <v>9</v>
      </c>
    </row>
    <row r="622" spans="1:21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8219</v>
      </c>
      <c r="G622" t="s">
        <v>8228</v>
      </c>
      <c r="H622" t="s">
        <v>8250</v>
      </c>
      <c r="I622" s="8">
        <v>1408986738</v>
      </c>
      <c r="J622">
        <v>1405098738</v>
      </c>
      <c r="K622" t="b">
        <v>0</v>
      </c>
      <c r="L622" s="10">
        <v>1</v>
      </c>
      <c r="M622" t="b">
        <v>0</v>
      </c>
      <c r="N622" t="s">
        <v>8270</v>
      </c>
      <c r="O622" s="11">
        <f t="shared" si="40"/>
        <v>1</v>
      </c>
      <c r="P622" s="12">
        <f t="shared" si="41"/>
        <v>300</v>
      </c>
      <c r="Q622" s="14" t="s">
        <v>8316</v>
      </c>
      <c r="R622" t="s">
        <v>8317</v>
      </c>
      <c r="S622" s="17">
        <f t="shared" si="42"/>
        <v>41831.716874999998</v>
      </c>
      <c r="T622" s="17">
        <f t="shared" si="43"/>
        <v>41876.716874999998</v>
      </c>
      <c r="U622">
        <f>MONTH(Table1[[#This Row],[Launched]])</f>
        <v>7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8219</v>
      </c>
      <c r="G623" t="s">
        <v>8223</v>
      </c>
      <c r="H623" t="s">
        <v>8245</v>
      </c>
      <c r="I623" s="8">
        <v>1467934937</v>
      </c>
      <c r="J623">
        <v>1465342937</v>
      </c>
      <c r="K623" t="b">
        <v>0</v>
      </c>
      <c r="L623" s="10">
        <v>3</v>
      </c>
      <c r="M623" t="b">
        <v>0</v>
      </c>
      <c r="N623" t="s">
        <v>8270</v>
      </c>
      <c r="O623" s="11">
        <f t="shared" si="40"/>
        <v>1</v>
      </c>
      <c r="P623" s="12">
        <f t="shared" si="41"/>
        <v>87</v>
      </c>
      <c r="Q623" s="14" t="s">
        <v>8316</v>
      </c>
      <c r="R623" t="s">
        <v>8317</v>
      </c>
      <c r="S623" s="17">
        <f t="shared" si="42"/>
        <v>42528.987696759257</v>
      </c>
      <c r="T623" s="17">
        <f t="shared" si="43"/>
        <v>42558.987696759257</v>
      </c>
      <c r="U623">
        <f>MONTH(Table1[[#This Row],[Launched]])</f>
        <v>6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8219</v>
      </c>
      <c r="G624" t="s">
        <v>8223</v>
      </c>
      <c r="H624" t="s">
        <v>8245</v>
      </c>
      <c r="I624" s="8">
        <v>1467398138</v>
      </c>
      <c r="J624">
        <v>1465670138</v>
      </c>
      <c r="K624" t="b">
        <v>0</v>
      </c>
      <c r="L624" s="10">
        <v>9</v>
      </c>
      <c r="M624" t="b">
        <v>0</v>
      </c>
      <c r="N624" t="s">
        <v>8270</v>
      </c>
      <c r="O624" s="11">
        <f t="shared" si="40"/>
        <v>6</v>
      </c>
      <c r="P624" s="12">
        <f t="shared" si="41"/>
        <v>38</v>
      </c>
      <c r="Q624" s="14" t="s">
        <v>8316</v>
      </c>
      <c r="R624" t="s">
        <v>8317</v>
      </c>
      <c r="S624" s="17">
        <f t="shared" si="42"/>
        <v>42532.774745370371</v>
      </c>
      <c r="T624" s="17">
        <f t="shared" si="43"/>
        <v>42552.774745370371</v>
      </c>
      <c r="U624">
        <f>MONTH(Table1[[#This Row],[Launched]])</f>
        <v>6</v>
      </c>
    </row>
    <row r="625" spans="1:21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8219</v>
      </c>
      <c r="G625" t="s">
        <v>8225</v>
      </c>
      <c r="H625" t="s">
        <v>8247</v>
      </c>
      <c r="I625" s="8">
        <v>1432771997</v>
      </c>
      <c r="J625">
        <v>1430179997</v>
      </c>
      <c r="K625" t="b">
        <v>0</v>
      </c>
      <c r="L625" s="10">
        <v>0</v>
      </c>
      <c r="M625" t="b">
        <v>0</v>
      </c>
      <c r="N625" t="s">
        <v>8270</v>
      </c>
      <c r="O625" s="11">
        <f t="shared" si="40"/>
        <v>0</v>
      </c>
      <c r="P625" s="12" t="str">
        <f t="shared" si="41"/>
        <v>No Backers</v>
      </c>
      <c r="Q625" s="14" t="s">
        <v>8316</v>
      </c>
      <c r="R625" t="s">
        <v>8317</v>
      </c>
      <c r="S625" s="17">
        <f t="shared" si="42"/>
        <v>42122.009224537032</v>
      </c>
      <c r="T625" s="17">
        <f t="shared" si="43"/>
        <v>42152.009224537032</v>
      </c>
      <c r="U625">
        <f>MONTH(Table1[[#This Row],[Launched]])</f>
        <v>4</v>
      </c>
    </row>
    <row r="626" spans="1:21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8219</v>
      </c>
      <c r="G626" t="s">
        <v>8223</v>
      </c>
      <c r="H626" t="s">
        <v>8245</v>
      </c>
      <c r="I626" s="8">
        <v>1431647041</v>
      </c>
      <c r="J626">
        <v>1429055041</v>
      </c>
      <c r="K626" t="b">
        <v>0</v>
      </c>
      <c r="L626" s="10">
        <v>0</v>
      </c>
      <c r="M626" t="b">
        <v>0</v>
      </c>
      <c r="N626" t="s">
        <v>8270</v>
      </c>
      <c r="O626" s="11">
        <f t="shared" si="40"/>
        <v>0</v>
      </c>
      <c r="P626" s="12" t="str">
        <f t="shared" si="41"/>
        <v>No Backers</v>
      </c>
      <c r="Q626" s="14" t="s">
        <v>8316</v>
      </c>
      <c r="R626" t="s">
        <v>8317</v>
      </c>
      <c r="S626" s="17">
        <f t="shared" si="42"/>
        <v>42108.988900462966</v>
      </c>
      <c r="T626" s="17">
        <f t="shared" si="43"/>
        <v>42138.988900462966</v>
      </c>
      <c r="U626">
        <f>MONTH(Table1[[#This Row],[Launched]])</f>
        <v>4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8219</v>
      </c>
      <c r="G627" t="s">
        <v>8228</v>
      </c>
      <c r="H627" t="s">
        <v>8250</v>
      </c>
      <c r="I627" s="8">
        <v>1490560177</v>
      </c>
      <c r="J627">
        <v>1487971777</v>
      </c>
      <c r="K627" t="b">
        <v>0</v>
      </c>
      <c r="L627" s="10">
        <v>0</v>
      </c>
      <c r="M627" t="b">
        <v>0</v>
      </c>
      <c r="N627" t="s">
        <v>8270</v>
      </c>
      <c r="O627" s="11">
        <f t="shared" si="40"/>
        <v>0</v>
      </c>
      <c r="P627" s="12" t="str">
        <f t="shared" si="41"/>
        <v>No Backers</v>
      </c>
      <c r="Q627" s="14" t="s">
        <v>8316</v>
      </c>
      <c r="R627" t="s">
        <v>8317</v>
      </c>
      <c r="S627" s="17">
        <f t="shared" si="42"/>
        <v>42790.895567129628</v>
      </c>
      <c r="T627" s="17">
        <f t="shared" si="43"/>
        <v>42820.853900462964</v>
      </c>
      <c r="U627">
        <f>MONTH(Table1[[#This Row],[Launched]])</f>
        <v>2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8219</v>
      </c>
      <c r="G628" t="s">
        <v>8223</v>
      </c>
      <c r="H628" t="s">
        <v>8245</v>
      </c>
      <c r="I628" s="8">
        <v>1439644920</v>
      </c>
      <c r="J628">
        <v>1436793939</v>
      </c>
      <c r="K628" t="b">
        <v>0</v>
      </c>
      <c r="L628" s="10">
        <v>39</v>
      </c>
      <c r="M628" t="b">
        <v>0</v>
      </c>
      <c r="N628" t="s">
        <v>8270</v>
      </c>
      <c r="O628" s="11">
        <f t="shared" si="40"/>
        <v>17</v>
      </c>
      <c r="P628" s="12">
        <f t="shared" si="41"/>
        <v>111</v>
      </c>
      <c r="Q628" s="14" t="s">
        <v>8316</v>
      </c>
      <c r="R628" t="s">
        <v>8317</v>
      </c>
      <c r="S628" s="17">
        <f t="shared" si="42"/>
        <v>42198.559479166666</v>
      </c>
      <c r="T628" s="17">
        <f t="shared" si="43"/>
        <v>42231.556944444441</v>
      </c>
      <c r="U628">
        <f>MONTH(Table1[[#This Row],[Launched]])</f>
        <v>7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8219</v>
      </c>
      <c r="G629" t="s">
        <v>8234</v>
      </c>
      <c r="H629" t="s">
        <v>8254</v>
      </c>
      <c r="I629" s="8">
        <v>1457996400</v>
      </c>
      <c r="J629">
        <v>1452842511</v>
      </c>
      <c r="K629" t="b">
        <v>0</v>
      </c>
      <c r="L629" s="10">
        <v>1</v>
      </c>
      <c r="M629" t="b">
        <v>0</v>
      </c>
      <c r="N629" t="s">
        <v>8270</v>
      </c>
      <c r="O629" s="11">
        <f t="shared" si="40"/>
        <v>0</v>
      </c>
      <c r="P629" s="12">
        <f t="shared" si="41"/>
        <v>90</v>
      </c>
      <c r="Q629" s="14" t="s">
        <v>8316</v>
      </c>
      <c r="R629" t="s">
        <v>8317</v>
      </c>
      <c r="S629" s="17">
        <f t="shared" si="42"/>
        <v>42384.306840277779</v>
      </c>
      <c r="T629" s="17">
        <f t="shared" si="43"/>
        <v>42443.958333333328</v>
      </c>
      <c r="U629">
        <f>MONTH(Table1[[#This Row],[Launched]])</f>
        <v>1</v>
      </c>
    </row>
    <row r="630" spans="1:21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8219</v>
      </c>
      <c r="G630" t="s">
        <v>8223</v>
      </c>
      <c r="H630" t="s">
        <v>8245</v>
      </c>
      <c r="I630" s="8">
        <v>1405269457</v>
      </c>
      <c r="J630">
        <v>1402677457</v>
      </c>
      <c r="K630" t="b">
        <v>0</v>
      </c>
      <c r="L630" s="10">
        <v>0</v>
      </c>
      <c r="M630" t="b">
        <v>0</v>
      </c>
      <c r="N630" t="s">
        <v>8270</v>
      </c>
      <c r="O630" s="11">
        <f t="shared" si="40"/>
        <v>0</v>
      </c>
      <c r="P630" s="12" t="str">
        <f t="shared" si="41"/>
        <v>No Backers</v>
      </c>
      <c r="Q630" s="14" t="s">
        <v>8316</v>
      </c>
      <c r="R630" t="s">
        <v>8317</v>
      </c>
      <c r="S630" s="17">
        <f t="shared" si="42"/>
        <v>41803.692789351851</v>
      </c>
      <c r="T630" s="17">
        <f t="shared" si="43"/>
        <v>41833.692789351851</v>
      </c>
      <c r="U630">
        <f>MONTH(Table1[[#This Row],[Launched]])</f>
        <v>6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8219</v>
      </c>
      <c r="G631" t="s">
        <v>8225</v>
      </c>
      <c r="H631" t="s">
        <v>8247</v>
      </c>
      <c r="I631" s="8">
        <v>1463239108</v>
      </c>
      <c r="J631">
        <v>1460647108</v>
      </c>
      <c r="K631" t="b">
        <v>0</v>
      </c>
      <c r="L631" s="10">
        <v>3</v>
      </c>
      <c r="M631" t="b">
        <v>0</v>
      </c>
      <c r="N631" t="s">
        <v>8270</v>
      </c>
      <c r="O631" s="11">
        <f t="shared" si="40"/>
        <v>0</v>
      </c>
      <c r="P631" s="12">
        <f t="shared" si="41"/>
        <v>117</v>
      </c>
      <c r="Q631" s="14" t="s">
        <v>8316</v>
      </c>
      <c r="R631" t="s">
        <v>8317</v>
      </c>
      <c r="S631" s="17">
        <f t="shared" si="42"/>
        <v>42474.637824074074</v>
      </c>
      <c r="T631" s="17">
        <f t="shared" si="43"/>
        <v>42504.637824074074</v>
      </c>
      <c r="U631">
        <f>MONTH(Table1[[#This Row],[Launched]])</f>
        <v>4</v>
      </c>
    </row>
    <row r="632" spans="1:21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8219</v>
      </c>
      <c r="G632" t="s">
        <v>8223</v>
      </c>
      <c r="H632" t="s">
        <v>8245</v>
      </c>
      <c r="I632" s="8">
        <v>1441516200</v>
      </c>
      <c r="J632">
        <v>1438959121</v>
      </c>
      <c r="K632" t="b">
        <v>0</v>
      </c>
      <c r="L632" s="10">
        <v>1</v>
      </c>
      <c r="M632" t="b">
        <v>0</v>
      </c>
      <c r="N632" t="s">
        <v>8270</v>
      </c>
      <c r="O632" s="11">
        <f t="shared" si="40"/>
        <v>0</v>
      </c>
      <c r="P632" s="12">
        <f t="shared" si="41"/>
        <v>10</v>
      </c>
      <c r="Q632" s="14" t="s">
        <v>8316</v>
      </c>
      <c r="R632" t="s">
        <v>8317</v>
      </c>
      <c r="S632" s="17">
        <f t="shared" si="42"/>
        <v>42223.619456018518</v>
      </c>
      <c r="T632" s="17">
        <f t="shared" si="43"/>
        <v>42253.215277777781</v>
      </c>
      <c r="U632">
        <f>MONTH(Table1[[#This Row],[Launched]])</f>
        <v>8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8219</v>
      </c>
      <c r="G633" t="s">
        <v>8228</v>
      </c>
      <c r="H633" t="s">
        <v>8250</v>
      </c>
      <c r="I633" s="8">
        <v>1464460329</v>
      </c>
      <c r="J633">
        <v>1461954729</v>
      </c>
      <c r="K633" t="b">
        <v>0</v>
      </c>
      <c r="L633" s="10">
        <v>9</v>
      </c>
      <c r="M633" t="b">
        <v>0</v>
      </c>
      <c r="N633" t="s">
        <v>8270</v>
      </c>
      <c r="O633" s="11">
        <f t="shared" si="40"/>
        <v>1</v>
      </c>
      <c r="P633" s="12">
        <f t="shared" si="41"/>
        <v>77</v>
      </c>
      <c r="Q633" s="14" t="s">
        <v>8316</v>
      </c>
      <c r="R633" t="s">
        <v>8317</v>
      </c>
      <c r="S633" s="17">
        <f t="shared" si="42"/>
        <v>42489.772326388891</v>
      </c>
      <c r="T633" s="17">
        <f t="shared" si="43"/>
        <v>42518.772326388891</v>
      </c>
      <c r="U633">
        <f>MONTH(Table1[[#This Row],[Launched]])</f>
        <v>4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8219</v>
      </c>
      <c r="G634" t="s">
        <v>8232</v>
      </c>
      <c r="H634" t="s">
        <v>8248</v>
      </c>
      <c r="I634" s="8">
        <v>1448470165</v>
      </c>
      <c r="J634">
        <v>1445874565</v>
      </c>
      <c r="K634" t="b">
        <v>0</v>
      </c>
      <c r="L634" s="10">
        <v>0</v>
      </c>
      <c r="M634" t="b">
        <v>0</v>
      </c>
      <c r="N634" t="s">
        <v>8270</v>
      </c>
      <c r="O634" s="11">
        <f t="shared" si="40"/>
        <v>0</v>
      </c>
      <c r="P634" s="12" t="str">
        <f t="shared" si="41"/>
        <v>No Backers</v>
      </c>
      <c r="Q634" s="14" t="s">
        <v>8316</v>
      </c>
      <c r="R634" t="s">
        <v>8317</v>
      </c>
      <c r="S634" s="17">
        <f t="shared" si="42"/>
        <v>42303.659317129626</v>
      </c>
      <c r="T634" s="17">
        <f t="shared" si="43"/>
        <v>42333.700983796298</v>
      </c>
      <c r="U634">
        <f>MONTH(Table1[[#This Row],[Launched]])</f>
        <v>10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8219</v>
      </c>
      <c r="G635" t="s">
        <v>8223</v>
      </c>
      <c r="H635" t="s">
        <v>8245</v>
      </c>
      <c r="I635" s="8">
        <v>1466204400</v>
      </c>
      <c r="J635">
        <v>1463469062</v>
      </c>
      <c r="K635" t="b">
        <v>0</v>
      </c>
      <c r="L635" s="10">
        <v>25</v>
      </c>
      <c r="M635" t="b">
        <v>0</v>
      </c>
      <c r="N635" t="s">
        <v>8270</v>
      </c>
      <c r="O635" s="11">
        <f t="shared" si="40"/>
        <v>12</v>
      </c>
      <c r="P635" s="12">
        <f t="shared" si="41"/>
        <v>50</v>
      </c>
      <c r="Q635" s="14" t="s">
        <v>8316</v>
      </c>
      <c r="R635" t="s">
        <v>8317</v>
      </c>
      <c r="S635" s="17">
        <f t="shared" si="42"/>
        <v>42507.29932870371</v>
      </c>
      <c r="T635" s="17">
        <f t="shared" si="43"/>
        <v>42538.958333333328</v>
      </c>
      <c r="U635">
        <f>MONTH(Table1[[#This Row],[Launched]])</f>
        <v>5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8219</v>
      </c>
      <c r="G636" t="s">
        <v>8223</v>
      </c>
      <c r="H636" t="s">
        <v>8245</v>
      </c>
      <c r="I636" s="8">
        <v>1424989029</v>
      </c>
      <c r="J636">
        <v>1422397029</v>
      </c>
      <c r="K636" t="b">
        <v>0</v>
      </c>
      <c r="L636" s="10">
        <v>1</v>
      </c>
      <c r="M636" t="b">
        <v>0</v>
      </c>
      <c r="N636" t="s">
        <v>8270</v>
      </c>
      <c r="O636" s="11">
        <f t="shared" si="40"/>
        <v>0</v>
      </c>
      <c r="P636" s="12">
        <f t="shared" si="41"/>
        <v>1</v>
      </c>
      <c r="Q636" s="14" t="s">
        <v>8316</v>
      </c>
      <c r="R636" t="s">
        <v>8317</v>
      </c>
      <c r="S636" s="17">
        <f t="shared" si="42"/>
        <v>42031.928576388891</v>
      </c>
      <c r="T636" s="17">
        <f t="shared" si="43"/>
        <v>42061.928576388891</v>
      </c>
      <c r="U636">
        <f>MONTH(Table1[[#This Row],[Launched]])</f>
        <v>1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8219</v>
      </c>
      <c r="G637" t="s">
        <v>8223</v>
      </c>
      <c r="H637" t="s">
        <v>8245</v>
      </c>
      <c r="I637" s="8">
        <v>1428804762</v>
      </c>
      <c r="J637">
        <v>1426212762</v>
      </c>
      <c r="K637" t="b">
        <v>0</v>
      </c>
      <c r="L637" s="10">
        <v>1</v>
      </c>
      <c r="M637" t="b">
        <v>0</v>
      </c>
      <c r="N637" t="s">
        <v>8270</v>
      </c>
      <c r="O637" s="11">
        <f t="shared" si="40"/>
        <v>0</v>
      </c>
      <c r="P637" s="12">
        <f t="shared" si="41"/>
        <v>2</v>
      </c>
      <c r="Q637" s="14" t="s">
        <v>8316</v>
      </c>
      <c r="R637" t="s">
        <v>8317</v>
      </c>
      <c r="S637" s="17">
        <f t="shared" si="42"/>
        <v>42076.092152777783</v>
      </c>
      <c r="T637" s="17">
        <f t="shared" si="43"/>
        <v>42106.092152777783</v>
      </c>
      <c r="U637">
        <f>MONTH(Table1[[#This Row],[Launched]])</f>
        <v>3</v>
      </c>
    </row>
    <row r="638" spans="1:21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8219</v>
      </c>
      <c r="G638" t="s">
        <v>8224</v>
      </c>
      <c r="H638" t="s">
        <v>8246</v>
      </c>
      <c r="I638" s="8">
        <v>1433587620</v>
      </c>
      <c r="J638">
        <v>1430996150</v>
      </c>
      <c r="K638" t="b">
        <v>0</v>
      </c>
      <c r="L638" s="10">
        <v>1</v>
      </c>
      <c r="M638" t="b">
        <v>0</v>
      </c>
      <c r="N638" t="s">
        <v>8270</v>
      </c>
      <c r="O638" s="11">
        <f t="shared" si="40"/>
        <v>0</v>
      </c>
      <c r="P638" s="12">
        <f t="shared" si="41"/>
        <v>4</v>
      </c>
      <c r="Q638" s="14" t="s">
        <v>8316</v>
      </c>
      <c r="R638" t="s">
        <v>8317</v>
      </c>
      <c r="S638" s="17">
        <f t="shared" si="42"/>
        <v>42131.455439814818</v>
      </c>
      <c r="T638" s="17">
        <f t="shared" si="43"/>
        <v>42161.44930555555</v>
      </c>
      <c r="U638">
        <f>MONTH(Table1[[#This Row],[Launched]])</f>
        <v>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8219</v>
      </c>
      <c r="G639" t="s">
        <v>8224</v>
      </c>
      <c r="H639" t="s">
        <v>8246</v>
      </c>
      <c r="I639" s="8">
        <v>1488063840</v>
      </c>
      <c r="J639">
        <v>1485558318</v>
      </c>
      <c r="K639" t="b">
        <v>0</v>
      </c>
      <c r="L639" s="10">
        <v>0</v>
      </c>
      <c r="M639" t="b">
        <v>0</v>
      </c>
      <c r="N639" t="s">
        <v>8270</v>
      </c>
      <c r="O639" s="11">
        <f t="shared" si="40"/>
        <v>0</v>
      </c>
      <c r="P639" s="12" t="str">
        <f t="shared" si="41"/>
        <v>No Backers</v>
      </c>
      <c r="Q639" s="14" t="s">
        <v>8316</v>
      </c>
      <c r="R639" t="s">
        <v>8317</v>
      </c>
      <c r="S639" s="17">
        <f t="shared" si="42"/>
        <v>42762.962013888886</v>
      </c>
      <c r="T639" s="17">
        <f t="shared" si="43"/>
        <v>42791.961111111115</v>
      </c>
      <c r="U639">
        <f>MONTH(Table1[[#This Row],[Launched]])</f>
        <v>1</v>
      </c>
    </row>
    <row r="640" spans="1:21" ht="15.6" x14ac:dyDescent="0.3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8219</v>
      </c>
      <c r="G640" t="s">
        <v>8235</v>
      </c>
      <c r="H640" t="s">
        <v>8248</v>
      </c>
      <c r="I640" s="8">
        <v>1490447662</v>
      </c>
      <c r="J640">
        <v>1485267262</v>
      </c>
      <c r="K640" t="b">
        <v>0</v>
      </c>
      <c r="L640" s="10">
        <v>6</v>
      </c>
      <c r="M640" t="b">
        <v>0</v>
      </c>
      <c r="N640" t="s">
        <v>8270</v>
      </c>
      <c r="O640" s="11">
        <f t="shared" si="40"/>
        <v>0</v>
      </c>
      <c r="P640" s="12">
        <f t="shared" si="41"/>
        <v>3</v>
      </c>
      <c r="Q640" s="14" t="s">
        <v>8316</v>
      </c>
      <c r="R640" t="s">
        <v>8317</v>
      </c>
      <c r="S640" s="17">
        <f t="shared" si="42"/>
        <v>42759.593310185184</v>
      </c>
      <c r="T640" s="17">
        <f t="shared" si="43"/>
        <v>42819.55164351852</v>
      </c>
      <c r="U640">
        <f>MONTH(Table1[[#This Row],[Launched]])</f>
        <v>1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8219</v>
      </c>
      <c r="G641" t="s">
        <v>8223</v>
      </c>
      <c r="H641" t="s">
        <v>8245</v>
      </c>
      <c r="I641" s="8">
        <v>1413208795</v>
      </c>
      <c r="J641">
        <v>1408024795</v>
      </c>
      <c r="K641" t="b">
        <v>0</v>
      </c>
      <c r="L641" s="10">
        <v>1</v>
      </c>
      <c r="M641" t="b">
        <v>0</v>
      </c>
      <c r="N641" t="s">
        <v>8270</v>
      </c>
      <c r="O641" s="11">
        <f t="shared" si="40"/>
        <v>0</v>
      </c>
      <c r="P641" s="12">
        <f t="shared" si="41"/>
        <v>1</v>
      </c>
      <c r="Q641" s="14" t="s">
        <v>8316</v>
      </c>
      <c r="R641" t="s">
        <v>8317</v>
      </c>
      <c r="S641" s="17">
        <f t="shared" si="42"/>
        <v>41865.583275462966</v>
      </c>
      <c r="T641" s="17">
        <f t="shared" si="43"/>
        <v>41925.583275462966</v>
      </c>
      <c r="U641">
        <f>MONTH(Table1[[#This Row],[Launched]])</f>
        <v>8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8218</v>
      </c>
      <c r="G642" t="s">
        <v>8229</v>
      </c>
      <c r="H642" t="s">
        <v>8248</v>
      </c>
      <c r="I642" s="8">
        <v>1480028400</v>
      </c>
      <c r="J642">
        <v>1478685915</v>
      </c>
      <c r="K642" t="b">
        <v>0</v>
      </c>
      <c r="L642" s="10">
        <v>2</v>
      </c>
      <c r="M642" t="b">
        <v>1</v>
      </c>
      <c r="N642" t="s">
        <v>8271</v>
      </c>
      <c r="O642" s="11">
        <f t="shared" ref="O642:O705" si="44">ROUND(E642/D642*100,0)</f>
        <v>144</v>
      </c>
      <c r="P642" s="12">
        <f t="shared" si="41"/>
        <v>51</v>
      </c>
      <c r="Q642" s="14" t="s">
        <v>8316</v>
      </c>
      <c r="R642" t="s">
        <v>8318</v>
      </c>
      <c r="S642" s="17">
        <f t="shared" si="42"/>
        <v>42683.420312500006</v>
      </c>
      <c r="T642" s="17">
        <f t="shared" si="43"/>
        <v>42698.958333333328</v>
      </c>
      <c r="U642">
        <f>MONTH(Table1[[#This Row],[Launched]])</f>
        <v>11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8218</v>
      </c>
      <c r="G643" t="s">
        <v>8223</v>
      </c>
      <c r="H643" t="s">
        <v>8245</v>
      </c>
      <c r="I643" s="8">
        <v>1439473248</v>
      </c>
      <c r="J643">
        <v>1436881248</v>
      </c>
      <c r="K643" t="b">
        <v>0</v>
      </c>
      <c r="L643" s="10">
        <v>315</v>
      </c>
      <c r="M643" t="b">
        <v>1</v>
      </c>
      <c r="N643" t="s">
        <v>8271</v>
      </c>
      <c r="O643" s="11">
        <f t="shared" si="44"/>
        <v>119</v>
      </c>
      <c r="P643" s="12">
        <f t="shared" ref="P643:P706" si="45">IFERROR(ROUND(E643/L643,),"No Backers")</f>
        <v>151</v>
      </c>
      <c r="Q643" s="14" t="s">
        <v>8316</v>
      </c>
      <c r="R643" t="s">
        <v>8318</v>
      </c>
      <c r="S643" s="17">
        <f t="shared" ref="S643:S706" si="46">(((J643/60)/60)/24)+DATE(1970,1,1)</f>
        <v>42199.57</v>
      </c>
      <c r="T643" s="17">
        <f t="shared" ref="T643:T706" si="47">(((I643/60)/60)/24)+DATE(1970,1,1)</f>
        <v>42229.57</v>
      </c>
      <c r="U643">
        <f>MONTH(Table1[[#This Row],[Launched]])</f>
        <v>7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8218</v>
      </c>
      <c r="G644" t="s">
        <v>8235</v>
      </c>
      <c r="H644" t="s">
        <v>8248</v>
      </c>
      <c r="I644" s="8">
        <v>1439998674</v>
      </c>
      <c r="J644">
        <v>1436888274</v>
      </c>
      <c r="K644" t="b">
        <v>0</v>
      </c>
      <c r="L644" s="10">
        <v>2174</v>
      </c>
      <c r="M644" t="b">
        <v>1</v>
      </c>
      <c r="N644" t="s">
        <v>8271</v>
      </c>
      <c r="O644" s="11">
        <f t="shared" si="44"/>
        <v>1460</v>
      </c>
      <c r="P644" s="12">
        <f t="shared" si="45"/>
        <v>134</v>
      </c>
      <c r="Q644" s="14" t="s">
        <v>8316</v>
      </c>
      <c r="R644" t="s">
        <v>8318</v>
      </c>
      <c r="S644" s="17">
        <f t="shared" si="46"/>
        <v>42199.651319444441</v>
      </c>
      <c r="T644" s="17">
        <f t="shared" si="47"/>
        <v>42235.651319444441</v>
      </c>
      <c r="U644">
        <f>MONTH(Table1[[#This Row],[Launched]])</f>
        <v>7</v>
      </c>
    </row>
    <row r="645" spans="1:21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8218</v>
      </c>
      <c r="G645" t="s">
        <v>8223</v>
      </c>
      <c r="H645" t="s">
        <v>8245</v>
      </c>
      <c r="I645" s="8">
        <v>1433085875</v>
      </c>
      <c r="J645">
        <v>1428333875</v>
      </c>
      <c r="K645" t="b">
        <v>0</v>
      </c>
      <c r="L645" s="10">
        <v>152</v>
      </c>
      <c r="M645" t="b">
        <v>1</v>
      </c>
      <c r="N645" t="s">
        <v>8271</v>
      </c>
      <c r="O645" s="11">
        <f t="shared" si="44"/>
        <v>106</v>
      </c>
      <c r="P645" s="12">
        <f t="shared" si="45"/>
        <v>174</v>
      </c>
      <c r="Q645" s="14" t="s">
        <v>8316</v>
      </c>
      <c r="R645" t="s">
        <v>8318</v>
      </c>
      <c r="S645" s="17">
        <f t="shared" si="46"/>
        <v>42100.642071759255</v>
      </c>
      <c r="T645" s="17">
        <f t="shared" si="47"/>
        <v>42155.642071759255</v>
      </c>
      <c r="U645">
        <f>MONTH(Table1[[#This Row],[Launched]])</f>
        <v>4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 s="8">
        <v>1414544400</v>
      </c>
      <c r="J646">
        <v>1410883139</v>
      </c>
      <c r="K646" t="b">
        <v>0</v>
      </c>
      <c r="L646" s="10">
        <v>1021</v>
      </c>
      <c r="M646" t="b">
        <v>1</v>
      </c>
      <c r="N646" t="s">
        <v>8271</v>
      </c>
      <c r="O646" s="11">
        <f t="shared" si="44"/>
        <v>300</v>
      </c>
      <c r="P646" s="12">
        <f t="shared" si="45"/>
        <v>73</v>
      </c>
      <c r="Q646" s="14" t="s">
        <v>8316</v>
      </c>
      <c r="R646" t="s">
        <v>8318</v>
      </c>
      <c r="S646" s="17">
        <f t="shared" si="46"/>
        <v>41898.665960648148</v>
      </c>
      <c r="T646" s="17">
        <f t="shared" si="47"/>
        <v>41941.041666666664</v>
      </c>
      <c r="U646">
        <f>MONTH(Table1[[#This Row],[Launched]])</f>
        <v>9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8218</v>
      </c>
      <c r="G647" t="s">
        <v>8223</v>
      </c>
      <c r="H647" t="s">
        <v>8245</v>
      </c>
      <c r="I647" s="8">
        <v>1470962274</v>
      </c>
      <c r="J647">
        <v>1468370274</v>
      </c>
      <c r="K647" t="b">
        <v>0</v>
      </c>
      <c r="L647" s="10">
        <v>237</v>
      </c>
      <c r="M647" t="b">
        <v>1</v>
      </c>
      <c r="N647" t="s">
        <v>8271</v>
      </c>
      <c r="O647" s="11">
        <f t="shared" si="44"/>
        <v>279</v>
      </c>
      <c r="P647" s="12">
        <f t="shared" si="45"/>
        <v>24</v>
      </c>
      <c r="Q647" s="14" t="s">
        <v>8316</v>
      </c>
      <c r="R647" t="s">
        <v>8318</v>
      </c>
      <c r="S647" s="17">
        <f t="shared" si="46"/>
        <v>42564.026319444441</v>
      </c>
      <c r="T647" s="17">
        <f t="shared" si="47"/>
        <v>42594.026319444441</v>
      </c>
      <c r="U647">
        <f>MONTH(Table1[[#This Row],[Launched]])</f>
        <v>7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8218</v>
      </c>
      <c r="G648" t="s">
        <v>8223</v>
      </c>
      <c r="H648" t="s">
        <v>8245</v>
      </c>
      <c r="I648" s="8">
        <v>1407788867</v>
      </c>
      <c r="J648">
        <v>1405196867</v>
      </c>
      <c r="K648" t="b">
        <v>0</v>
      </c>
      <c r="L648" s="10">
        <v>27</v>
      </c>
      <c r="M648" t="b">
        <v>1</v>
      </c>
      <c r="N648" t="s">
        <v>8271</v>
      </c>
      <c r="O648" s="11">
        <f t="shared" si="44"/>
        <v>132</v>
      </c>
      <c r="P648" s="12">
        <f t="shared" si="45"/>
        <v>39</v>
      </c>
      <c r="Q648" s="14" t="s">
        <v>8316</v>
      </c>
      <c r="R648" t="s">
        <v>8318</v>
      </c>
      <c r="S648" s="17">
        <f t="shared" si="46"/>
        <v>41832.852627314816</v>
      </c>
      <c r="T648" s="17">
        <f t="shared" si="47"/>
        <v>41862.852627314816</v>
      </c>
      <c r="U648">
        <f>MONTH(Table1[[#This Row],[Launched]])</f>
        <v>7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8218</v>
      </c>
      <c r="G649" t="s">
        <v>8228</v>
      </c>
      <c r="H649" t="s">
        <v>8250</v>
      </c>
      <c r="I649" s="8">
        <v>1458235549</v>
      </c>
      <c r="J649">
        <v>1455647149</v>
      </c>
      <c r="K649" t="b">
        <v>0</v>
      </c>
      <c r="L649" s="10">
        <v>17</v>
      </c>
      <c r="M649" t="b">
        <v>1</v>
      </c>
      <c r="N649" t="s">
        <v>8271</v>
      </c>
      <c r="O649" s="11">
        <f t="shared" si="44"/>
        <v>107</v>
      </c>
      <c r="P649" s="12">
        <f t="shared" si="45"/>
        <v>126</v>
      </c>
      <c r="Q649" s="14" t="s">
        <v>8316</v>
      </c>
      <c r="R649" t="s">
        <v>8318</v>
      </c>
      <c r="S649" s="17">
        <f t="shared" si="46"/>
        <v>42416.767928240741</v>
      </c>
      <c r="T649" s="17">
        <f t="shared" si="47"/>
        <v>42446.726261574076</v>
      </c>
      <c r="U649">
        <f>MONTH(Table1[[#This Row],[Launched]])</f>
        <v>2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8218</v>
      </c>
      <c r="G650" t="s">
        <v>8223</v>
      </c>
      <c r="H650" t="s">
        <v>8245</v>
      </c>
      <c r="I650" s="8">
        <v>1413304708</v>
      </c>
      <c r="J650">
        <v>1410280708</v>
      </c>
      <c r="K650" t="b">
        <v>0</v>
      </c>
      <c r="L650" s="10">
        <v>27</v>
      </c>
      <c r="M650" t="b">
        <v>1</v>
      </c>
      <c r="N650" t="s">
        <v>8271</v>
      </c>
      <c r="O650" s="11">
        <f t="shared" si="44"/>
        <v>127</v>
      </c>
      <c r="P650" s="12">
        <f t="shared" si="45"/>
        <v>1644</v>
      </c>
      <c r="Q650" s="14" t="s">
        <v>8316</v>
      </c>
      <c r="R650" t="s">
        <v>8318</v>
      </c>
      <c r="S650" s="17">
        <f t="shared" si="46"/>
        <v>41891.693379629629</v>
      </c>
      <c r="T650" s="17">
        <f t="shared" si="47"/>
        <v>41926.693379629629</v>
      </c>
      <c r="U650">
        <f>MONTH(Table1[[#This Row],[Launched]])</f>
        <v>9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8218</v>
      </c>
      <c r="G651" t="s">
        <v>8223</v>
      </c>
      <c r="H651" t="s">
        <v>8245</v>
      </c>
      <c r="I651" s="8">
        <v>1410904413</v>
      </c>
      <c r="J651">
        <v>1409090013</v>
      </c>
      <c r="K651" t="b">
        <v>0</v>
      </c>
      <c r="L651" s="10">
        <v>82</v>
      </c>
      <c r="M651" t="b">
        <v>1</v>
      </c>
      <c r="N651" t="s">
        <v>8271</v>
      </c>
      <c r="O651" s="11">
        <f t="shared" si="44"/>
        <v>140</v>
      </c>
      <c r="P651" s="12">
        <f t="shared" si="45"/>
        <v>43</v>
      </c>
      <c r="Q651" s="14" t="s">
        <v>8316</v>
      </c>
      <c r="R651" t="s">
        <v>8318</v>
      </c>
      <c r="S651" s="17">
        <f t="shared" si="46"/>
        <v>41877.912187499998</v>
      </c>
      <c r="T651" s="17">
        <f t="shared" si="47"/>
        <v>41898.912187499998</v>
      </c>
      <c r="U651">
        <f>MONTH(Table1[[#This Row],[Launched]])</f>
        <v>8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8218</v>
      </c>
      <c r="G652" t="s">
        <v>8223</v>
      </c>
      <c r="H652" t="s">
        <v>8245</v>
      </c>
      <c r="I652" s="8">
        <v>1418953984</v>
      </c>
      <c r="J652">
        <v>1413766384</v>
      </c>
      <c r="K652" t="b">
        <v>0</v>
      </c>
      <c r="L652" s="10">
        <v>48</v>
      </c>
      <c r="M652" t="b">
        <v>1</v>
      </c>
      <c r="N652" t="s">
        <v>8271</v>
      </c>
      <c r="O652" s="11">
        <f t="shared" si="44"/>
        <v>112</v>
      </c>
      <c r="P652" s="12">
        <f t="shared" si="45"/>
        <v>35</v>
      </c>
      <c r="Q652" s="14" t="s">
        <v>8316</v>
      </c>
      <c r="R652" t="s">
        <v>8318</v>
      </c>
      <c r="S652" s="17">
        <f t="shared" si="46"/>
        <v>41932.036851851852</v>
      </c>
      <c r="T652" s="17">
        <f t="shared" si="47"/>
        <v>41992.078518518523</v>
      </c>
      <c r="U652">
        <f>MONTH(Table1[[#This Row],[Launched]])</f>
        <v>10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8218</v>
      </c>
      <c r="G653" t="s">
        <v>8223</v>
      </c>
      <c r="H653" t="s">
        <v>8245</v>
      </c>
      <c r="I653" s="8">
        <v>1418430311</v>
      </c>
      <c r="J653">
        <v>1415838311</v>
      </c>
      <c r="K653" t="b">
        <v>0</v>
      </c>
      <c r="L653" s="10">
        <v>105</v>
      </c>
      <c r="M653" t="b">
        <v>1</v>
      </c>
      <c r="N653" t="s">
        <v>8271</v>
      </c>
      <c r="O653" s="11">
        <f t="shared" si="44"/>
        <v>101</v>
      </c>
      <c r="P653" s="12">
        <f t="shared" si="45"/>
        <v>239</v>
      </c>
      <c r="Q653" s="14" t="s">
        <v>8316</v>
      </c>
      <c r="R653" t="s">
        <v>8318</v>
      </c>
      <c r="S653" s="17">
        <f t="shared" si="46"/>
        <v>41956.017488425925</v>
      </c>
      <c r="T653" s="17">
        <f t="shared" si="47"/>
        <v>41986.017488425925</v>
      </c>
      <c r="U653">
        <f>MONTH(Table1[[#This Row],[Launched]])</f>
        <v>11</v>
      </c>
    </row>
    <row r="654" spans="1:21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8218</v>
      </c>
      <c r="G654" t="s">
        <v>8223</v>
      </c>
      <c r="H654" t="s">
        <v>8245</v>
      </c>
      <c r="I654" s="8">
        <v>1480613650</v>
      </c>
      <c r="J654">
        <v>1478018050</v>
      </c>
      <c r="K654" t="b">
        <v>0</v>
      </c>
      <c r="L654" s="10">
        <v>28</v>
      </c>
      <c r="M654" t="b">
        <v>1</v>
      </c>
      <c r="N654" t="s">
        <v>8271</v>
      </c>
      <c r="O654" s="11">
        <f t="shared" si="44"/>
        <v>100</v>
      </c>
      <c r="P654" s="12">
        <f t="shared" si="45"/>
        <v>108</v>
      </c>
      <c r="Q654" s="14" t="s">
        <v>8316</v>
      </c>
      <c r="R654" t="s">
        <v>8318</v>
      </c>
      <c r="S654" s="17">
        <f t="shared" si="46"/>
        <v>42675.690393518518</v>
      </c>
      <c r="T654" s="17">
        <f t="shared" si="47"/>
        <v>42705.732060185182</v>
      </c>
      <c r="U654">
        <f>MONTH(Table1[[#This Row],[Launched]])</f>
        <v>11</v>
      </c>
    </row>
    <row r="655" spans="1:21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 s="8">
        <v>1440082240</v>
      </c>
      <c r="J655">
        <v>1436885440</v>
      </c>
      <c r="K655" t="b">
        <v>0</v>
      </c>
      <c r="L655" s="10">
        <v>1107</v>
      </c>
      <c r="M655" t="b">
        <v>1</v>
      </c>
      <c r="N655" t="s">
        <v>8271</v>
      </c>
      <c r="O655" s="11">
        <f t="shared" si="44"/>
        <v>141</v>
      </c>
      <c r="P655" s="12">
        <f t="shared" si="45"/>
        <v>96</v>
      </c>
      <c r="Q655" s="14" t="s">
        <v>8316</v>
      </c>
      <c r="R655" t="s">
        <v>8318</v>
      </c>
      <c r="S655" s="17">
        <f t="shared" si="46"/>
        <v>42199.618518518517</v>
      </c>
      <c r="T655" s="17">
        <f t="shared" si="47"/>
        <v>42236.618518518517</v>
      </c>
      <c r="U655">
        <f>MONTH(Table1[[#This Row],[Launched]])</f>
        <v>7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8218</v>
      </c>
      <c r="G656" t="s">
        <v>8223</v>
      </c>
      <c r="H656" t="s">
        <v>8245</v>
      </c>
      <c r="I656" s="8">
        <v>1436396313</v>
      </c>
      <c r="J656">
        <v>1433804313</v>
      </c>
      <c r="K656" t="b">
        <v>0</v>
      </c>
      <c r="L656" s="10">
        <v>1013</v>
      </c>
      <c r="M656" t="b">
        <v>1</v>
      </c>
      <c r="N656" t="s">
        <v>8271</v>
      </c>
      <c r="O656" s="11">
        <f t="shared" si="44"/>
        <v>267</v>
      </c>
      <c r="P656" s="12">
        <f t="shared" si="45"/>
        <v>32</v>
      </c>
      <c r="Q656" s="14" t="s">
        <v>8316</v>
      </c>
      <c r="R656" t="s">
        <v>8318</v>
      </c>
      <c r="S656" s="17">
        <f t="shared" si="46"/>
        <v>42163.957326388889</v>
      </c>
      <c r="T656" s="17">
        <f t="shared" si="47"/>
        <v>42193.957326388889</v>
      </c>
      <c r="U656">
        <f>MONTH(Table1[[#This Row],[Launched]])</f>
        <v>6</v>
      </c>
    </row>
    <row r="657" spans="1:21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8218</v>
      </c>
      <c r="G657" t="s">
        <v>8223</v>
      </c>
      <c r="H657" t="s">
        <v>8245</v>
      </c>
      <c r="I657" s="8">
        <v>1426197512</v>
      </c>
      <c r="J657">
        <v>1423609112</v>
      </c>
      <c r="K657" t="b">
        <v>0</v>
      </c>
      <c r="L657" s="10">
        <v>274</v>
      </c>
      <c r="M657" t="b">
        <v>1</v>
      </c>
      <c r="N657" t="s">
        <v>8271</v>
      </c>
      <c r="O657" s="11">
        <f t="shared" si="44"/>
        <v>147</v>
      </c>
      <c r="P657" s="12">
        <f t="shared" si="45"/>
        <v>43</v>
      </c>
      <c r="Q657" s="14" t="s">
        <v>8316</v>
      </c>
      <c r="R657" t="s">
        <v>8318</v>
      </c>
      <c r="S657" s="17">
        <f t="shared" si="46"/>
        <v>42045.957314814819</v>
      </c>
      <c r="T657" s="17">
        <f t="shared" si="47"/>
        <v>42075.915648148148</v>
      </c>
      <c r="U657">
        <f>MONTH(Table1[[#This Row],[Launched]])</f>
        <v>2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8218</v>
      </c>
      <c r="G658" t="s">
        <v>8223</v>
      </c>
      <c r="H658" t="s">
        <v>8245</v>
      </c>
      <c r="I658" s="8">
        <v>1460917119</v>
      </c>
      <c r="J658">
        <v>1455736719</v>
      </c>
      <c r="K658" t="b">
        <v>0</v>
      </c>
      <c r="L658" s="10">
        <v>87</v>
      </c>
      <c r="M658" t="b">
        <v>1</v>
      </c>
      <c r="N658" t="s">
        <v>8271</v>
      </c>
      <c r="O658" s="11">
        <f t="shared" si="44"/>
        <v>214</v>
      </c>
      <c r="P658" s="12">
        <f t="shared" si="45"/>
        <v>123</v>
      </c>
      <c r="Q658" s="14" t="s">
        <v>8316</v>
      </c>
      <c r="R658" t="s">
        <v>8318</v>
      </c>
      <c r="S658" s="17">
        <f t="shared" si="46"/>
        <v>42417.804618055554</v>
      </c>
      <c r="T658" s="17">
        <f t="shared" si="47"/>
        <v>42477.762951388882</v>
      </c>
      <c r="U658">
        <f>MONTH(Table1[[#This Row],[Launched]])</f>
        <v>2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8218</v>
      </c>
      <c r="G659" t="s">
        <v>8223</v>
      </c>
      <c r="H659" t="s">
        <v>8245</v>
      </c>
      <c r="I659" s="8">
        <v>1450901872</v>
      </c>
      <c r="J659">
        <v>1448309872</v>
      </c>
      <c r="K659" t="b">
        <v>0</v>
      </c>
      <c r="L659" s="10">
        <v>99</v>
      </c>
      <c r="M659" t="b">
        <v>1</v>
      </c>
      <c r="N659" t="s">
        <v>8271</v>
      </c>
      <c r="O659" s="11">
        <f t="shared" si="44"/>
        <v>126</v>
      </c>
      <c r="P659" s="12">
        <f t="shared" si="45"/>
        <v>190</v>
      </c>
      <c r="Q659" s="14" t="s">
        <v>8316</v>
      </c>
      <c r="R659" t="s">
        <v>8318</v>
      </c>
      <c r="S659" s="17">
        <f t="shared" si="46"/>
        <v>42331.84574074074</v>
      </c>
      <c r="T659" s="17">
        <f t="shared" si="47"/>
        <v>42361.84574074074</v>
      </c>
      <c r="U659">
        <f>MONTH(Table1[[#This Row],[Launched]])</f>
        <v>11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8218</v>
      </c>
      <c r="G660" t="s">
        <v>8223</v>
      </c>
      <c r="H660" t="s">
        <v>8245</v>
      </c>
      <c r="I660" s="8">
        <v>1437933600</v>
      </c>
      <c r="J660">
        <v>1435117889</v>
      </c>
      <c r="K660" t="b">
        <v>0</v>
      </c>
      <c r="L660" s="10">
        <v>276</v>
      </c>
      <c r="M660" t="b">
        <v>1</v>
      </c>
      <c r="N660" t="s">
        <v>8271</v>
      </c>
      <c r="O660" s="11">
        <f t="shared" si="44"/>
        <v>104</v>
      </c>
      <c r="P660" s="12">
        <f t="shared" si="45"/>
        <v>109</v>
      </c>
      <c r="Q660" s="14" t="s">
        <v>8316</v>
      </c>
      <c r="R660" t="s">
        <v>8318</v>
      </c>
      <c r="S660" s="17">
        <f t="shared" si="46"/>
        <v>42179.160752314812</v>
      </c>
      <c r="T660" s="17">
        <f t="shared" si="47"/>
        <v>42211.75</v>
      </c>
      <c r="U660">
        <f>MONTH(Table1[[#This Row],[Launched]])</f>
        <v>6</v>
      </c>
    </row>
    <row r="661" spans="1:21" ht="15.6" x14ac:dyDescent="0.3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8218</v>
      </c>
      <c r="G661" t="s">
        <v>8223</v>
      </c>
      <c r="H661" t="s">
        <v>8245</v>
      </c>
      <c r="I661" s="8">
        <v>1440339295</v>
      </c>
      <c r="J661">
        <v>1437747295</v>
      </c>
      <c r="K661" t="b">
        <v>0</v>
      </c>
      <c r="L661" s="10">
        <v>21</v>
      </c>
      <c r="M661" t="b">
        <v>1</v>
      </c>
      <c r="N661" t="s">
        <v>8271</v>
      </c>
      <c r="O661" s="11">
        <f t="shared" si="44"/>
        <v>101</v>
      </c>
      <c r="P661" s="12">
        <f t="shared" si="45"/>
        <v>144</v>
      </c>
      <c r="Q661" s="14" t="s">
        <v>8316</v>
      </c>
      <c r="R661" t="s">
        <v>8318</v>
      </c>
      <c r="S661" s="17">
        <f t="shared" si="46"/>
        <v>42209.593692129631</v>
      </c>
      <c r="T661" s="17">
        <f t="shared" si="47"/>
        <v>42239.593692129631</v>
      </c>
      <c r="U661">
        <f>MONTH(Table1[[#This Row],[Launched]])</f>
        <v>7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8220</v>
      </c>
      <c r="G662" t="s">
        <v>8223</v>
      </c>
      <c r="H662" t="s">
        <v>8245</v>
      </c>
      <c r="I662" s="8">
        <v>1415558879</v>
      </c>
      <c r="J662">
        <v>1412963279</v>
      </c>
      <c r="K662" t="b">
        <v>0</v>
      </c>
      <c r="L662" s="10">
        <v>18</v>
      </c>
      <c r="M662" t="b">
        <v>0</v>
      </c>
      <c r="N662" t="s">
        <v>8271</v>
      </c>
      <c r="O662" s="11">
        <f t="shared" si="44"/>
        <v>3</v>
      </c>
      <c r="P662" s="12">
        <f t="shared" si="45"/>
        <v>85</v>
      </c>
      <c r="Q662" s="14" t="s">
        <v>8316</v>
      </c>
      <c r="R662" t="s">
        <v>8318</v>
      </c>
      <c r="S662" s="17">
        <f t="shared" si="46"/>
        <v>41922.741655092592</v>
      </c>
      <c r="T662" s="17">
        <f t="shared" si="47"/>
        <v>41952.783321759263</v>
      </c>
      <c r="U662">
        <f>MONTH(Table1[[#This Row],[Launched]])</f>
        <v>10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8220</v>
      </c>
      <c r="G663" t="s">
        <v>8223</v>
      </c>
      <c r="H663" t="s">
        <v>8245</v>
      </c>
      <c r="I663" s="8">
        <v>1477236559</v>
      </c>
      <c r="J663">
        <v>1474644559</v>
      </c>
      <c r="K663" t="b">
        <v>0</v>
      </c>
      <c r="L663" s="10">
        <v>9</v>
      </c>
      <c r="M663" t="b">
        <v>0</v>
      </c>
      <c r="N663" t="s">
        <v>8271</v>
      </c>
      <c r="O663" s="11">
        <f t="shared" si="44"/>
        <v>1</v>
      </c>
      <c r="P663" s="12">
        <f t="shared" si="45"/>
        <v>11</v>
      </c>
      <c r="Q663" s="14" t="s">
        <v>8316</v>
      </c>
      <c r="R663" t="s">
        <v>8318</v>
      </c>
      <c r="S663" s="17">
        <f t="shared" si="46"/>
        <v>42636.645358796297</v>
      </c>
      <c r="T663" s="17">
        <f t="shared" si="47"/>
        <v>42666.645358796297</v>
      </c>
      <c r="U663">
        <f>MONTH(Table1[[#This Row],[Launched]])</f>
        <v>9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8220</v>
      </c>
      <c r="G664" t="s">
        <v>8223</v>
      </c>
      <c r="H664" t="s">
        <v>8245</v>
      </c>
      <c r="I664" s="8">
        <v>1421404247</v>
      </c>
      <c r="J664">
        <v>1418812247</v>
      </c>
      <c r="K664" t="b">
        <v>0</v>
      </c>
      <c r="L664" s="10">
        <v>4</v>
      </c>
      <c r="M664" t="b">
        <v>0</v>
      </c>
      <c r="N664" t="s">
        <v>8271</v>
      </c>
      <c r="O664" s="11">
        <f t="shared" si="44"/>
        <v>0</v>
      </c>
      <c r="P664" s="12">
        <f t="shared" si="45"/>
        <v>39</v>
      </c>
      <c r="Q664" s="14" t="s">
        <v>8316</v>
      </c>
      <c r="R664" t="s">
        <v>8318</v>
      </c>
      <c r="S664" s="17">
        <f t="shared" si="46"/>
        <v>41990.438043981485</v>
      </c>
      <c r="T664" s="17">
        <f t="shared" si="47"/>
        <v>42020.438043981485</v>
      </c>
      <c r="U664">
        <f>MONTH(Table1[[#This Row],[Launched]])</f>
        <v>12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8220</v>
      </c>
      <c r="G665" t="s">
        <v>8231</v>
      </c>
      <c r="H665" t="s">
        <v>8252</v>
      </c>
      <c r="I665" s="8">
        <v>1437250456</v>
      </c>
      <c r="J665">
        <v>1434658456</v>
      </c>
      <c r="K665" t="b">
        <v>0</v>
      </c>
      <c r="L665" s="10">
        <v>7</v>
      </c>
      <c r="M665" t="b">
        <v>0</v>
      </c>
      <c r="N665" t="s">
        <v>8271</v>
      </c>
      <c r="O665" s="11">
        <f t="shared" si="44"/>
        <v>0</v>
      </c>
      <c r="P665" s="12">
        <f t="shared" si="45"/>
        <v>100</v>
      </c>
      <c r="Q665" s="14" t="s">
        <v>8316</v>
      </c>
      <c r="R665" t="s">
        <v>8318</v>
      </c>
      <c r="S665" s="17">
        <f t="shared" si="46"/>
        <v>42173.843240740738</v>
      </c>
      <c r="T665" s="17">
        <f t="shared" si="47"/>
        <v>42203.843240740738</v>
      </c>
      <c r="U665">
        <f>MONTH(Table1[[#This Row],[Launched]])</f>
        <v>6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8220</v>
      </c>
      <c r="G666" t="s">
        <v>8223</v>
      </c>
      <c r="H666" t="s">
        <v>8245</v>
      </c>
      <c r="I666" s="8">
        <v>1428940775</v>
      </c>
      <c r="J666">
        <v>1426348775</v>
      </c>
      <c r="K666" t="b">
        <v>0</v>
      </c>
      <c r="L666" s="10">
        <v>29</v>
      </c>
      <c r="M666" t="b">
        <v>0</v>
      </c>
      <c r="N666" t="s">
        <v>8271</v>
      </c>
      <c r="O666" s="11">
        <f t="shared" si="44"/>
        <v>8</v>
      </c>
      <c r="P666" s="12">
        <f t="shared" si="45"/>
        <v>31</v>
      </c>
      <c r="Q666" s="14" t="s">
        <v>8316</v>
      </c>
      <c r="R666" t="s">
        <v>8318</v>
      </c>
      <c r="S666" s="17">
        <f t="shared" si="46"/>
        <v>42077.666377314818</v>
      </c>
      <c r="T666" s="17">
        <f t="shared" si="47"/>
        <v>42107.666377314818</v>
      </c>
      <c r="U666">
        <f>MONTH(Table1[[#This Row],[Launched]])</f>
        <v>3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8220</v>
      </c>
      <c r="G667" t="s">
        <v>8223</v>
      </c>
      <c r="H667" t="s">
        <v>8245</v>
      </c>
      <c r="I667" s="8">
        <v>1484327061</v>
      </c>
      <c r="J667">
        <v>1479143061</v>
      </c>
      <c r="K667" t="b">
        <v>0</v>
      </c>
      <c r="L667" s="10">
        <v>12</v>
      </c>
      <c r="M667" t="b">
        <v>0</v>
      </c>
      <c r="N667" t="s">
        <v>8271</v>
      </c>
      <c r="O667" s="11">
        <f t="shared" si="44"/>
        <v>19</v>
      </c>
      <c r="P667" s="12">
        <f t="shared" si="45"/>
        <v>155</v>
      </c>
      <c r="Q667" s="14" t="s">
        <v>8316</v>
      </c>
      <c r="R667" t="s">
        <v>8318</v>
      </c>
      <c r="S667" s="17">
        <f t="shared" si="46"/>
        <v>42688.711354166662</v>
      </c>
      <c r="T667" s="17">
        <f t="shared" si="47"/>
        <v>42748.711354166662</v>
      </c>
      <c r="U667">
        <f>MONTH(Table1[[#This Row],[Launched]])</f>
        <v>11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8220</v>
      </c>
      <c r="G668" t="s">
        <v>8223</v>
      </c>
      <c r="H668" t="s">
        <v>8245</v>
      </c>
      <c r="I668" s="8">
        <v>1408305498</v>
      </c>
      <c r="J668">
        <v>1405713498</v>
      </c>
      <c r="K668" t="b">
        <v>0</v>
      </c>
      <c r="L668" s="10">
        <v>4</v>
      </c>
      <c r="M668" t="b">
        <v>0</v>
      </c>
      <c r="N668" t="s">
        <v>8271</v>
      </c>
      <c r="O668" s="11">
        <f t="shared" si="44"/>
        <v>0</v>
      </c>
      <c r="P668" s="12">
        <f t="shared" si="45"/>
        <v>2</v>
      </c>
      <c r="Q668" s="14" t="s">
        <v>8316</v>
      </c>
      <c r="R668" t="s">
        <v>8318</v>
      </c>
      <c r="S668" s="17">
        <f t="shared" si="46"/>
        <v>41838.832152777781</v>
      </c>
      <c r="T668" s="17">
        <f t="shared" si="47"/>
        <v>41868.832152777781</v>
      </c>
      <c r="U668">
        <f>MONTH(Table1[[#This Row],[Launched]])</f>
        <v>7</v>
      </c>
    </row>
    <row r="669" spans="1:21" ht="57.6" x14ac:dyDescent="0.3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8220</v>
      </c>
      <c r="G669" t="s">
        <v>8236</v>
      </c>
      <c r="H669" t="s">
        <v>8248</v>
      </c>
      <c r="I669" s="8">
        <v>1477731463</v>
      </c>
      <c r="J669">
        <v>1474275463</v>
      </c>
      <c r="K669" t="b">
        <v>0</v>
      </c>
      <c r="L669" s="10">
        <v>28</v>
      </c>
      <c r="M669" t="b">
        <v>0</v>
      </c>
      <c r="N669" t="s">
        <v>8271</v>
      </c>
      <c r="O669" s="11">
        <f t="shared" si="44"/>
        <v>10</v>
      </c>
      <c r="P669" s="12">
        <f t="shared" si="45"/>
        <v>179</v>
      </c>
      <c r="Q669" s="14" t="s">
        <v>8316</v>
      </c>
      <c r="R669" t="s">
        <v>8318</v>
      </c>
      <c r="S669" s="17">
        <f t="shared" si="46"/>
        <v>42632.373414351852</v>
      </c>
      <c r="T669" s="17">
        <f t="shared" si="47"/>
        <v>42672.373414351852</v>
      </c>
      <c r="U669">
        <f>MONTH(Table1[[#This Row],[Launched]])</f>
        <v>9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8220</v>
      </c>
      <c r="G670" t="s">
        <v>8223</v>
      </c>
      <c r="H670" t="s">
        <v>8245</v>
      </c>
      <c r="I670" s="8">
        <v>1431374222</v>
      </c>
      <c r="J670">
        <v>1427486222</v>
      </c>
      <c r="K670" t="b">
        <v>0</v>
      </c>
      <c r="L670" s="10">
        <v>25</v>
      </c>
      <c r="M670" t="b">
        <v>0</v>
      </c>
      <c r="N670" t="s">
        <v>8271</v>
      </c>
      <c r="O670" s="11">
        <f t="shared" si="44"/>
        <v>5</v>
      </c>
      <c r="P670" s="12">
        <f t="shared" si="45"/>
        <v>27</v>
      </c>
      <c r="Q670" s="14" t="s">
        <v>8316</v>
      </c>
      <c r="R670" t="s">
        <v>8318</v>
      </c>
      <c r="S670" s="17">
        <f t="shared" si="46"/>
        <v>42090.831273148149</v>
      </c>
      <c r="T670" s="17">
        <f t="shared" si="47"/>
        <v>42135.831273148149</v>
      </c>
      <c r="U670">
        <f>MONTH(Table1[[#This Row],[Launched]])</f>
        <v>3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8220</v>
      </c>
      <c r="G671" t="s">
        <v>8234</v>
      </c>
      <c r="H671" t="s">
        <v>8254</v>
      </c>
      <c r="I671" s="8">
        <v>1467817258</v>
      </c>
      <c r="J671">
        <v>1465225258</v>
      </c>
      <c r="K671" t="b">
        <v>0</v>
      </c>
      <c r="L671" s="10">
        <v>28</v>
      </c>
      <c r="M671" t="b">
        <v>0</v>
      </c>
      <c r="N671" t="s">
        <v>8271</v>
      </c>
      <c r="O671" s="11">
        <f t="shared" si="44"/>
        <v>22</v>
      </c>
      <c r="P671" s="12">
        <f t="shared" si="45"/>
        <v>1536</v>
      </c>
      <c r="Q671" s="14" t="s">
        <v>8316</v>
      </c>
      <c r="R671" t="s">
        <v>8318</v>
      </c>
      <c r="S671" s="17">
        <f t="shared" si="46"/>
        <v>42527.625671296293</v>
      </c>
      <c r="T671" s="17">
        <f t="shared" si="47"/>
        <v>42557.625671296293</v>
      </c>
      <c r="U671">
        <f>MONTH(Table1[[#This Row],[Launched]])</f>
        <v>6</v>
      </c>
    </row>
    <row r="672" spans="1:21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8220</v>
      </c>
      <c r="G672" t="s">
        <v>8236</v>
      </c>
      <c r="H672" t="s">
        <v>8248</v>
      </c>
      <c r="I672" s="8">
        <v>1466323800</v>
      </c>
      <c r="J672">
        <v>1463418120</v>
      </c>
      <c r="K672" t="b">
        <v>0</v>
      </c>
      <c r="L672" s="10">
        <v>310</v>
      </c>
      <c r="M672" t="b">
        <v>0</v>
      </c>
      <c r="N672" t="s">
        <v>8271</v>
      </c>
      <c r="O672" s="11">
        <f t="shared" si="44"/>
        <v>29</v>
      </c>
      <c r="P672" s="12">
        <f t="shared" si="45"/>
        <v>85</v>
      </c>
      <c r="Q672" s="14" t="s">
        <v>8316</v>
      </c>
      <c r="R672" t="s">
        <v>8318</v>
      </c>
      <c r="S672" s="17">
        <f t="shared" si="46"/>
        <v>42506.709722222222</v>
      </c>
      <c r="T672" s="17">
        <f t="shared" si="47"/>
        <v>42540.340277777781</v>
      </c>
      <c r="U672">
        <f>MONTH(Table1[[#This Row],[Launched]])</f>
        <v>5</v>
      </c>
    </row>
    <row r="673" spans="1:21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8220</v>
      </c>
      <c r="G673" t="s">
        <v>8223</v>
      </c>
      <c r="H673" t="s">
        <v>8245</v>
      </c>
      <c r="I673" s="8">
        <v>1421208000</v>
      </c>
      <c r="J673">
        <v>1418315852</v>
      </c>
      <c r="K673" t="b">
        <v>0</v>
      </c>
      <c r="L673" s="10">
        <v>15</v>
      </c>
      <c r="M673" t="b">
        <v>0</v>
      </c>
      <c r="N673" t="s">
        <v>8271</v>
      </c>
      <c r="O673" s="11">
        <f t="shared" si="44"/>
        <v>39</v>
      </c>
      <c r="P673" s="12">
        <f t="shared" si="45"/>
        <v>789</v>
      </c>
      <c r="Q673" s="14" t="s">
        <v>8316</v>
      </c>
      <c r="R673" t="s">
        <v>8318</v>
      </c>
      <c r="S673" s="17">
        <f t="shared" si="46"/>
        <v>41984.692731481482</v>
      </c>
      <c r="T673" s="17">
        <f t="shared" si="47"/>
        <v>42018.166666666672</v>
      </c>
      <c r="U673">
        <f>MONTH(Table1[[#This Row],[Launched]])</f>
        <v>12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8220</v>
      </c>
      <c r="G674" t="s">
        <v>8223</v>
      </c>
      <c r="H674" t="s">
        <v>8245</v>
      </c>
      <c r="I674" s="8">
        <v>1420088340</v>
      </c>
      <c r="J674">
        <v>1417410964</v>
      </c>
      <c r="K674" t="b">
        <v>0</v>
      </c>
      <c r="L674" s="10">
        <v>215</v>
      </c>
      <c r="M674" t="b">
        <v>0</v>
      </c>
      <c r="N674" t="s">
        <v>8271</v>
      </c>
      <c r="O674" s="11">
        <f t="shared" si="44"/>
        <v>22</v>
      </c>
      <c r="P674" s="12">
        <f t="shared" si="45"/>
        <v>50</v>
      </c>
      <c r="Q674" s="14" t="s">
        <v>8316</v>
      </c>
      <c r="R674" t="s">
        <v>8318</v>
      </c>
      <c r="S674" s="17">
        <f t="shared" si="46"/>
        <v>41974.219490740739</v>
      </c>
      <c r="T674" s="17">
        <f t="shared" si="47"/>
        <v>42005.207638888889</v>
      </c>
      <c r="U674">
        <f>MONTH(Table1[[#This Row],[Launched]])</f>
        <v>12</v>
      </c>
    </row>
    <row r="675" spans="1:21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8220</v>
      </c>
      <c r="G675" t="s">
        <v>8223</v>
      </c>
      <c r="H675" t="s">
        <v>8245</v>
      </c>
      <c r="I675" s="8">
        <v>1409602217</v>
      </c>
      <c r="J675">
        <v>1405714217</v>
      </c>
      <c r="K675" t="b">
        <v>0</v>
      </c>
      <c r="L675" s="10">
        <v>3</v>
      </c>
      <c r="M675" t="b">
        <v>0</v>
      </c>
      <c r="N675" t="s">
        <v>8271</v>
      </c>
      <c r="O675" s="11">
        <f t="shared" si="44"/>
        <v>0</v>
      </c>
      <c r="P675" s="12">
        <f t="shared" si="45"/>
        <v>68</v>
      </c>
      <c r="Q675" s="14" t="s">
        <v>8316</v>
      </c>
      <c r="R675" t="s">
        <v>8318</v>
      </c>
      <c r="S675" s="17">
        <f t="shared" si="46"/>
        <v>41838.840474537035</v>
      </c>
      <c r="T675" s="17">
        <f t="shared" si="47"/>
        <v>41883.840474537035</v>
      </c>
      <c r="U675">
        <f>MONTH(Table1[[#This Row],[Launched]])</f>
        <v>7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8220</v>
      </c>
      <c r="G676" t="s">
        <v>8223</v>
      </c>
      <c r="H676" t="s">
        <v>8245</v>
      </c>
      <c r="I676" s="8">
        <v>1407811627</v>
      </c>
      <c r="J676">
        <v>1402627627</v>
      </c>
      <c r="K676" t="b">
        <v>0</v>
      </c>
      <c r="L676" s="10">
        <v>2</v>
      </c>
      <c r="M676" t="b">
        <v>0</v>
      </c>
      <c r="N676" t="s">
        <v>8271</v>
      </c>
      <c r="O676" s="11">
        <f t="shared" si="44"/>
        <v>0</v>
      </c>
      <c r="P676" s="12">
        <f t="shared" si="45"/>
        <v>8</v>
      </c>
      <c r="Q676" s="14" t="s">
        <v>8316</v>
      </c>
      <c r="R676" t="s">
        <v>8318</v>
      </c>
      <c r="S676" s="17">
        <f t="shared" si="46"/>
        <v>41803.116053240738</v>
      </c>
      <c r="T676" s="17">
        <f t="shared" si="47"/>
        <v>41863.116053240738</v>
      </c>
      <c r="U676">
        <f>MONTH(Table1[[#This Row],[Launched]])</f>
        <v>6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8220</v>
      </c>
      <c r="G677" t="s">
        <v>8223</v>
      </c>
      <c r="H677" t="s">
        <v>8245</v>
      </c>
      <c r="I677" s="8">
        <v>1420095540</v>
      </c>
      <c r="J677">
        <v>1417558804</v>
      </c>
      <c r="K677" t="b">
        <v>0</v>
      </c>
      <c r="L677" s="10">
        <v>26</v>
      </c>
      <c r="M677" t="b">
        <v>0</v>
      </c>
      <c r="N677" t="s">
        <v>8271</v>
      </c>
      <c r="O677" s="11">
        <f t="shared" si="44"/>
        <v>15</v>
      </c>
      <c r="P677" s="12">
        <f t="shared" si="45"/>
        <v>34</v>
      </c>
      <c r="Q677" s="14" t="s">
        <v>8316</v>
      </c>
      <c r="R677" t="s">
        <v>8318</v>
      </c>
      <c r="S677" s="17">
        <f t="shared" si="46"/>
        <v>41975.930601851855</v>
      </c>
      <c r="T677" s="17">
        <f t="shared" si="47"/>
        <v>42005.290972222225</v>
      </c>
      <c r="U677">
        <f>MONTH(Table1[[#This Row],[Launched]])</f>
        <v>12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8220</v>
      </c>
      <c r="G678" t="s">
        <v>8228</v>
      </c>
      <c r="H678" t="s">
        <v>8250</v>
      </c>
      <c r="I678" s="8">
        <v>1423333581</v>
      </c>
      <c r="J678">
        <v>1420741581</v>
      </c>
      <c r="K678" t="b">
        <v>0</v>
      </c>
      <c r="L678" s="10">
        <v>24</v>
      </c>
      <c r="M678" t="b">
        <v>0</v>
      </c>
      <c r="N678" t="s">
        <v>8271</v>
      </c>
      <c r="O678" s="11">
        <f t="shared" si="44"/>
        <v>1</v>
      </c>
      <c r="P678" s="12">
        <f t="shared" si="45"/>
        <v>61</v>
      </c>
      <c r="Q678" s="14" t="s">
        <v>8316</v>
      </c>
      <c r="R678" t="s">
        <v>8318</v>
      </c>
      <c r="S678" s="17">
        <f t="shared" si="46"/>
        <v>42012.768298611118</v>
      </c>
      <c r="T678" s="17">
        <f t="shared" si="47"/>
        <v>42042.768298611118</v>
      </c>
      <c r="U678">
        <f>MONTH(Table1[[#This Row],[Launched]])</f>
        <v>1</v>
      </c>
    </row>
    <row r="679" spans="1:21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8220</v>
      </c>
      <c r="G679" t="s">
        <v>8236</v>
      </c>
      <c r="H679" t="s">
        <v>8248</v>
      </c>
      <c r="I679" s="8">
        <v>1467106895</v>
      </c>
      <c r="J679">
        <v>1463218895</v>
      </c>
      <c r="K679" t="b">
        <v>0</v>
      </c>
      <c r="L679" s="10">
        <v>96</v>
      </c>
      <c r="M679" t="b">
        <v>0</v>
      </c>
      <c r="N679" t="s">
        <v>8271</v>
      </c>
      <c r="O679" s="11">
        <f t="shared" si="44"/>
        <v>26</v>
      </c>
      <c r="P679" s="12">
        <f t="shared" si="45"/>
        <v>133</v>
      </c>
      <c r="Q679" s="14" t="s">
        <v>8316</v>
      </c>
      <c r="R679" t="s">
        <v>8318</v>
      </c>
      <c r="S679" s="17">
        <f t="shared" si="46"/>
        <v>42504.403877314813</v>
      </c>
      <c r="T679" s="17">
        <f t="shared" si="47"/>
        <v>42549.403877314813</v>
      </c>
      <c r="U679">
        <f>MONTH(Table1[[#This Row],[Launched]])</f>
        <v>5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8220</v>
      </c>
      <c r="G680" t="s">
        <v>8223</v>
      </c>
      <c r="H680" t="s">
        <v>8245</v>
      </c>
      <c r="I680" s="8">
        <v>1463821338</v>
      </c>
      <c r="J680">
        <v>1461229338</v>
      </c>
      <c r="K680" t="b">
        <v>0</v>
      </c>
      <c r="L680" s="10">
        <v>17</v>
      </c>
      <c r="M680" t="b">
        <v>0</v>
      </c>
      <c r="N680" t="s">
        <v>8271</v>
      </c>
      <c r="O680" s="11">
        <f t="shared" si="44"/>
        <v>4</v>
      </c>
      <c r="P680" s="12">
        <f t="shared" si="45"/>
        <v>65</v>
      </c>
      <c r="Q680" s="14" t="s">
        <v>8316</v>
      </c>
      <c r="R680" t="s">
        <v>8318</v>
      </c>
      <c r="S680" s="17">
        <f t="shared" si="46"/>
        <v>42481.376597222217</v>
      </c>
      <c r="T680" s="17">
        <f t="shared" si="47"/>
        <v>42511.376597222217</v>
      </c>
      <c r="U680">
        <f>MONTH(Table1[[#This Row],[Launched]])</f>
        <v>4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8220</v>
      </c>
      <c r="G681" t="s">
        <v>8223</v>
      </c>
      <c r="H681" t="s">
        <v>8245</v>
      </c>
      <c r="I681" s="8">
        <v>1472920909</v>
      </c>
      <c r="J681">
        <v>1467736909</v>
      </c>
      <c r="K681" t="b">
        <v>0</v>
      </c>
      <c r="L681" s="10">
        <v>94</v>
      </c>
      <c r="M681" t="b">
        <v>0</v>
      </c>
      <c r="N681" t="s">
        <v>8271</v>
      </c>
      <c r="O681" s="11">
        <f t="shared" si="44"/>
        <v>15</v>
      </c>
      <c r="P681" s="12">
        <f t="shared" si="45"/>
        <v>94</v>
      </c>
      <c r="Q681" s="14" t="s">
        <v>8316</v>
      </c>
      <c r="R681" t="s">
        <v>8318</v>
      </c>
      <c r="S681" s="17">
        <f t="shared" si="46"/>
        <v>42556.695706018523</v>
      </c>
      <c r="T681" s="17">
        <f t="shared" si="47"/>
        <v>42616.695706018523</v>
      </c>
      <c r="U681">
        <f>MONTH(Table1[[#This Row],[Launched]])</f>
        <v>7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8220</v>
      </c>
      <c r="G682" t="s">
        <v>8223</v>
      </c>
      <c r="H682" t="s">
        <v>8245</v>
      </c>
      <c r="I682" s="8">
        <v>1410955331</v>
      </c>
      <c r="J682">
        <v>1407931331</v>
      </c>
      <c r="K682" t="b">
        <v>0</v>
      </c>
      <c r="L682" s="10">
        <v>129</v>
      </c>
      <c r="M682" t="b">
        <v>0</v>
      </c>
      <c r="N682" t="s">
        <v>8271</v>
      </c>
      <c r="O682" s="11">
        <f t="shared" si="44"/>
        <v>26</v>
      </c>
      <c r="P682" s="12">
        <f t="shared" si="45"/>
        <v>151</v>
      </c>
      <c r="Q682" s="14" t="s">
        <v>8316</v>
      </c>
      <c r="R682" t="s">
        <v>8318</v>
      </c>
      <c r="S682" s="17">
        <f t="shared" si="46"/>
        <v>41864.501516203702</v>
      </c>
      <c r="T682" s="17">
        <f t="shared" si="47"/>
        <v>41899.501516203702</v>
      </c>
      <c r="U682">
        <f>MONTH(Table1[[#This Row],[Launched]])</f>
        <v>8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8220</v>
      </c>
      <c r="G683" t="s">
        <v>8223</v>
      </c>
      <c r="H683" t="s">
        <v>8245</v>
      </c>
      <c r="I683" s="8">
        <v>1477509604</v>
      </c>
      <c r="J683">
        <v>1474917604</v>
      </c>
      <c r="K683" t="b">
        <v>0</v>
      </c>
      <c r="L683" s="10">
        <v>1</v>
      </c>
      <c r="M683" t="b">
        <v>0</v>
      </c>
      <c r="N683" t="s">
        <v>8271</v>
      </c>
      <c r="O683" s="11">
        <f t="shared" si="44"/>
        <v>0</v>
      </c>
      <c r="P683" s="12">
        <f t="shared" si="45"/>
        <v>1</v>
      </c>
      <c r="Q683" s="14" t="s">
        <v>8316</v>
      </c>
      <c r="R683" t="s">
        <v>8318</v>
      </c>
      <c r="S683" s="17">
        <f t="shared" si="46"/>
        <v>42639.805601851855</v>
      </c>
      <c r="T683" s="17">
        <f t="shared" si="47"/>
        <v>42669.805601851855</v>
      </c>
      <c r="U683">
        <f>MONTH(Table1[[#This Row],[Launched]])</f>
        <v>9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8220</v>
      </c>
      <c r="G684" t="s">
        <v>8223</v>
      </c>
      <c r="H684" t="s">
        <v>8245</v>
      </c>
      <c r="I684" s="8">
        <v>1489512122</v>
      </c>
      <c r="J684">
        <v>1486923722</v>
      </c>
      <c r="K684" t="b">
        <v>0</v>
      </c>
      <c r="L684" s="10">
        <v>4</v>
      </c>
      <c r="M684" t="b">
        <v>0</v>
      </c>
      <c r="N684" t="s">
        <v>8271</v>
      </c>
      <c r="O684" s="11">
        <f t="shared" si="44"/>
        <v>0</v>
      </c>
      <c r="P684" s="12">
        <f t="shared" si="45"/>
        <v>13</v>
      </c>
      <c r="Q684" s="14" t="s">
        <v>8316</v>
      </c>
      <c r="R684" t="s">
        <v>8318</v>
      </c>
      <c r="S684" s="17">
        <f t="shared" si="46"/>
        <v>42778.765300925923</v>
      </c>
      <c r="T684" s="17">
        <f t="shared" si="47"/>
        <v>42808.723634259266</v>
      </c>
      <c r="U684">
        <f>MONTH(Table1[[#This Row],[Launched]])</f>
        <v>2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8220</v>
      </c>
      <c r="G685" t="s">
        <v>8223</v>
      </c>
      <c r="H685" t="s">
        <v>8245</v>
      </c>
      <c r="I685" s="8">
        <v>1477949764</v>
      </c>
      <c r="J685">
        <v>1474493764</v>
      </c>
      <c r="K685" t="b">
        <v>0</v>
      </c>
      <c r="L685" s="10">
        <v>3</v>
      </c>
      <c r="M685" t="b">
        <v>0</v>
      </c>
      <c r="N685" t="s">
        <v>8271</v>
      </c>
      <c r="O685" s="11">
        <f t="shared" si="44"/>
        <v>1</v>
      </c>
      <c r="P685" s="12">
        <f t="shared" si="45"/>
        <v>99</v>
      </c>
      <c r="Q685" s="14" t="s">
        <v>8316</v>
      </c>
      <c r="R685" t="s">
        <v>8318</v>
      </c>
      <c r="S685" s="17">
        <f t="shared" si="46"/>
        <v>42634.900046296301</v>
      </c>
      <c r="T685" s="17">
        <f t="shared" si="47"/>
        <v>42674.900046296301</v>
      </c>
      <c r="U685">
        <f>MONTH(Table1[[#This Row],[Launched]])</f>
        <v>9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8220</v>
      </c>
      <c r="G686" t="s">
        <v>8223</v>
      </c>
      <c r="H686" t="s">
        <v>8245</v>
      </c>
      <c r="I686" s="8">
        <v>1406257200</v>
      </c>
      <c r="J686">
        <v>1403176891</v>
      </c>
      <c r="K686" t="b">
        <v>0</v>
      </c>
      <c r="L686" s="10">
        <v>135</v>
      </c>
      <c r="M686" t="b">
        <v>0</v>
      </c>
      <c r="N686" t="s">
        <v>8271</v>
      </c>
      <c r="O686" s="11">
        <f t="shared" si="44"/>
        <v>7</v>
      </c>
      <c r="P686" s="12">
        <f t="shared" si="45"/>
        <v>177</v>
      </c>
      <c r="Q686" s="14" t="s">
        <v>8316</v>
      </c>
      <c r="R686" t="s">
        <v>8318</v>
      </c>
      <c r="S686" s="17">
        <f t="shared" si="46"/>
        <v>41809.473275462966</v>
      </c>
      <c r="T686" s="17">
        <f t="shared" si="47"/>
        <v>41845.125</v>
      </c>
      <c r="U686">
        <f>MONTH(Table1[[#This Row],[Launched]])</f>
        <v>6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8220</v>
      </c>
      <c r="G687" t="s">
        <v>8223</v>
      </c>
      <c r="H687" t="s">
        <v>8245</v>
      </c>
      <c r="I687" s="8">
        <v>1421095672</v>
      </c>
      <c r="J687">
        <v>1417207672</v>
      </c>
      <c r="K687" t="b">
        <v>0</v>
      </c>
      <c r="L687" s="10">
        <v>10</v>
      </c>
      <c r="M687" t="b">
        <v>0</v>
      </c>
      <c r="N687" t="s">
        <v>8271</v>
      </c>
      <c r="O687" s="11">
        <f t="shared" si="44"/>
        <v>28</v>
      </c>
      <c r="P687" s="12">
        <f t="shared" si="45"/>
        <v>55</v>
      </c>
      <c r="Q687" s="14" t="s">
        <v>8316</v>
      </c>
      <c r="R687" t="s">
        <v>8318</v>
      </c>
      <c r="S687" s="17">
        <f t="shared" si="46"/>
        <v>41971.866574074069</v>
      </c>
      <c r="T687" s="17">
        <f t="shared" si="47"/>
        <v>42016.866574074069</v>
      </c>
      <c r="U687">
        <f>MONTH(Table1[[#This Row],[Launched]])</f>
        <v>11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8220</v>
      </c>
      <c r="G688" t="s">
        <v>8236</v>
      </c>
      <c r="H688" t="s">
        <v>8248</v>
      </c>
      <c r="I688" s="8">
        <v>1438618170</v>
      </c>
      <c r="J688">
        <v>1436026170</v>
      </c>
      <c r="K688" t="b">
        <v>0</v>
      </c>
      <c r="L688" s="10">
        <v>0</v>
      </c>
      <c r="M688" t="b">
        <v>0</v>
      </c>
      <c r="N688" t="s">
        <v>8271</v>
      </c>
      <c r="O688" s="11">
        <f t="shared" si="44"/>
        <v>0</v>
      </c>
      <c r="P688" s="12" t="str">
        <f t="shared" si="45"/>
        <v>No Backers</v>
      </c>
      <c r="Q688" s="14" t="s">
        <v>8316</v>
      </c>
      <c r="R688" t="s">
        <v>8318</v>
      </c>
      <c r="S688" s="17">
        <f t="shared" si="46"/>
        <v>42189.673263888893</v>
      </c>
      <c r="T688" s="17">
        <f t="shared" si="47"/>
        <v>42219.673263888893</v>
      </c>
      <c r="U688">
        <f>MONTH(Table1[[#This Row],[Launched]])</f>
        <v>7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8220</v>
      </c>
      <c r="G689" t="s">
        <v>8237</v>
      </c>
      <c r="H689" t="s">
        <v>8255</v>
      </c>
      <c r="I689" s="8">
        <v>1486317653</v>
      </c>
      <c r="J689">
        <v>1481133653</v>
      </c>
      <c r="K689" t="b">
        <v>0</v>
      </c>
      <c r="L689" s="10">
        <v>6</v>
      </c>
      <c r="M689" t="b">
        <v>0</v>
      </c>
      <c r="N689" t="s">
        <v>8271</v>
      </c>
      <c r="O689" s="11">
        <f t="shared" si="44"/>
        <v>4</v>
      </c>
      <c r="P689" s="12">
        <f t="shared" si="45"/>
        <v>592</v>
      </c>
      <c r="Q689" s="14" t="s">
        <v>8316</v>
      </c>
      <c r="R689" t="s">
        <v>8318</v>
      </c>
      <c r="S689" s="17">
        <f t="shared" si="46"/>
        <v>42711.750613425931</v>
      </c>
      <c r="T689" s="17">
        <f t="shared" si="47"/>
        <v>42771.750613425931</v>
      </c>
      <c r="U689">
        <f>MONTH(Table1[[#This Row],[Launched]])</f>
        <v>12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8220</v>
      </c>
      <c r="G690" t="s">
        <v>8223</v>
      </c>
      <c r="H690" t="s">
        <v>8245</v>
      </c>
      <c r="I690" s="8">
        <v>1444876253</v>
      </c>
      <c r="J690">
        <v>1442284253</v>
      </c>
      <c r="K690" t="b">
        <v>0</v>
      </c>
      <c r="L690" s="10">
        <v>36</v>
      </c>
      <c r="M690" t="b">
        <v>0</v>
      </c>
      <c r="N690" t="s">
        <v>8271</v>
      </c>
      <c r="O690" s="11">
        <f t="shared" si="44"/>
        <v>73</v>
      </c>
      <c r="P690" s="12">
        <f t="shared" si="45"/>
        <v>406</v>
      </c>
      <c r="Q690" s="14" t="s">
        <v>8316</v>
      </c>
      <c r="R690" t="s">
        <v>8318</v>
      </c>
      <c r="S690" s="17">
        <f t="shared" si="46"/>
        <v>42262.104780092588</v>
      </c>
      <c r="T690" s="17">
        <f t="shared" si="47"/>
        <v>42292.104780092588</v>
      </c>
      <c r="U690">
        <f>MONTH(Table1[[#This Row],[Launched]])</f>
        <v>9</v>
      </c>
    </row>
    <row r="691" spans="1:21" ht="57.6" x14ac:dyDescent="0.3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 s="8">
        <v>1481173140</v>
      </c>
      <c r="J691">
        <v>1478016097</v>
      </c>
      <c r="K691" t="b">
        <v>0</v>
      </c>
      <c r="L691" s="10">
        <v>336</v>
      </c>
      <c r="M691" t="b">
        <v>0</v>
      </c>
      <c r="N691" t="s">
        <v>8271</v>
      </c>
      <c r="O691" s="11">
        <f t="shared" si="44"/>
        <v>58</v>
      </c>
      <c r="P691" s="12">
        <f t="shared" si="45"/>
        <v>343</v>
      </c>
      <c r="Q691" s="14" t="s">
        <v>8316</v>
      </c>
      <c r="R691" t="s">
        <v>8318</v>
      </c>
      <c r="S691" s="17">
        <f t="shared" si="46"/>
        <v>42675.66778935185</v>
      </c>
      <c r="T691" s="17">
        <f t="shared" si="47"/>
        <v>42712.207638888889</v>
      </c>
      <c r="U691">
        <f>MONTH(Table1[[#This Row],[Launched]])</f>
        <v>11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8220</v>
      </c>
      <c r="G692" t="s">
        <v>8223</v>
      </c>
      <c r="H692" t="s">
        <v>8245</v>
      </c>
      <c r="I692" s="8">
        <v>1473400800</v>
      </c>
      <c r="J692">
        <v>1469718841</v>
      </c>
      <c r="K692" t="b">
        <v>0</v>
      </c>
      <c r="L692" s="10">
        <v>34</v>
      </c>
      <c r="M692" t="b">
        <v>0</v>
      </c>
      <c r="N692" t="s">
        <v>8271</v>
      </c>
      <c r="O692" s="11">
        <f t="shared" si="44"/>
        <v>12</v>
      </c>
      <c r="P692" s="12">
        <f t="shared" si="45"/>
        <v>73</v>
      </c>
      <c r="Q692" s="14" t="s">
        <v>8316</v>
      </c>
      <c r="R692" t="s">
        <v>8318</v>
      </c>
      <c r="S692" s="17">
        <f t="shared" si="46"/>
        <v>42579.634733796294</v>
      </c>
      <c r="T692" s="17">
        <f t="shared" si="47"/>
        <v>42622.25</v>
      </c>
      <c r="U692">
        <f>MONTH(Table1[[#This Row],[Launched]])</f>
        <v>7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8220</v>
      </c>
      <c r="G693" t="s">
        <v>8223</v>
      </c>
      <c r="H693" t="s">
        <v>8245</v>
      </c>
      <c r="I693" s="8">
        <v>1435711246</v>
      </c>
      <c r="J693">
        <v>1433292046</v>
      </c>
      <c r="K693" t="b">
        <v>0</v>
      </c>
      <c r="L693" s="10">
        <v>10</v>
      </c>
      <c r="M693" t="b">
        <v>0</v>
      </c>
      <c r="N693" t="s">
        <v>8271</v>
      </c>
      <c r="O693" s="11">
        <f t="shared" si="44"/>
        <v>1</v>
      </c>
      <c r="P693" s="12">
        <f t="shared" si="45"/>
        <v>26</v>
      </c>
      <c r="Q693" s="14" t="s">
        <v>8316</v>
      </c>
      <c r="R693" t="s">
        <v>8318</v>
      </c>
      <c r="S693" s="17">
        <f t="shared" si="46"/>
        <v>42158.028310185182</v>
      </c>
      <c r="T693" s="17">
        <f t="shared" si="47"/>
        <v>42186.028310185182</v>
      </c>
      <c r="U693">
        <f>MONTH(Table1[[#This Row],[Launched]])</f>
        <v>6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8220</v>
      </c>
      <c r="G694" t="s">
        <v>8224</v>
      </c>
      <c r="H694" t="s">
        <v>8246</v>
      </c>
      <c r="I694" s="8">
        <v>1482397263</v>
      </c>
      <c r="J694">
        <v>1479805263</v>
      </c>
      <c r="K694" t="b">
        <v>0</v>
      </c>
      <c r="L694" s="10">
        <v>201</v>
      </c>
      <c r="M694" t="b">
        <v>0</v>
      </c>
      <c r="N694" t="s">
        <v>8271</v>
      </c>
      <c r="O694" s="11">
        <f t="shared" si="44"/>
        <v>7</v>
      </c>
      <c r="P694" s="12">
        <f t="shared" si="45"/>
        <v>6</v>
      </c>
      <c r="Q694" s="14" t="s">
        <v>8316</v>
      </c>
      <c r="R694" t="s">
        <v>8318</v>
      </c>
      <c r="S694" s="17">
        <f t="shared" si="46"/>
        <v>42696.37572916667</v>
      </c>
      <c r="T694" s="17">
        <f t="shared" si="47"/>
        <v>42726.37572916667</v>
      </c>
      <c r="U694">
        <f>MONTH(Table1[[#This Row],[Launched]])</f>
        <v>11</v>
      </c>
    </row>
    <row r="695" spans="1:21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8220</v>
      </c>
      <c r="G695" t="s">
        <v>8223</v>
      </c>
      <c r="H695" t="s">
        <v>8245</v>
      </c>
      <c r="I695" s="8">
        <v>1430421827</v>
      </c>
      <c r="J695">
        <v>1427829827</v>
      </c>
      <c r="K695" t="b">
        <v>0</v>
      </c>
      <c r="L695" s="10">
        <v>296</v>
      </c>
      <c r="M695" t="b">
        <v>0</v>
      </c>
      <c r="N695" t="s">
        <v>8271</v>
      </c>
      <c r="O695" s="11">
        <f t="shared" si="44"/>
        <v>35</v>
      </c>
      <c r="P695" s="12">
        <f t="shared" si="45"/>
        <v>119</v>
      </c>
      <c r="Q695" s="14" t="s">
        <v>8316</v>
      </c>
      <c r="R695" t="s">
        <v>8318</v>
      </c>
      <c r="S695" s="17">
        <f t="shared" si="46"/>
        <v>42094.808182870373</v>
      </c>
      <c r="T695" s="17">
        <f t="shared" si="47"/>
        <v>42124.808182870373</v>
      </c>
      <c r="U695">
        <f>MONTH(Table1[[#This Row],[Launched]])</f>
        <v>3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8220</v>
      </c>
      <c r="G696" t="s">
        <v>8223</v>
      </c>
      <c r="H696" t="s">
        <v>8245</v>
      </c>
      <c r="I696" s="8">
        <v>1485964559</v>
      </c>
      <c r="J696">
        <v>1483372559</v>
      </c>
      <c r="K696" t="b">
        <v>0</v>
      </c>
      <c r="L696" s="10">
        <v>7</v>
      </c>
      <c r="M696" t="b">
        <v>0</v>
      </c>
      <c r="N696" t="s">
        <v>8271</v>
      </c>
      <c r="O696" s="11">
        <f t="shared" si="44"/>
        <v>0</v>
      </c>
      <c r="P696" s="12">
        <f t="shared" si="45"/>
        <v>84</v>
      </c>
      <c r="Q696" s="14" t="s">
        <v>8316</v>
      </c>
      <c r="R696" t="s">
        <v>8318</v>
      </c>
      <c r="S696" s="17">
        <f t="shared" si="46"/>
        <v>42737.663877314815</v>
      </c>
      <c r="T696" s="17">
        <f t="shared" si="47"/>
        <v>42767.663877314815</v>
      </c>
      <c r="U696">
        <f>MONTH(Table1[[#This Row],[Launched]])</f>
        <v>1</v>
      </c>
    </row>
    <row r="697" spans="1:21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8220</v>
      </c>
      <c r="G697" t="s">
        <v>8223</v>
      </c>
      <c r="H697" t="s">
        <v>8245</v>
      </c>
      <c r="I697" s="8">
        <v>1414758620</v>
      </c>
      <c r="J697">
        <v>1412166620</v>
      </c>
      <c r="K697" t="b">
        <v>0</v>
      </c>
      <c r="L697" s="10">
        <v>7</v>
      </c>
      <c r="M697" t="b">
        <v>0</v>
      </c>
      <c r="N697" t="s">
        <v>8271</v>
      </c>
      <c r="O697" s="11">
        <f t="shared" si="44"/>
        <v>1</v>
      </c>
      <c r="P697" s="12">
        <f t="shared" si="45"/>
        <v>91</v>
      </c>
      <c r="Q697" s="14" t="s">
        <v>8316</v>
      </c>
      <c r="R697" t="s">
        <v>8318</v>
      </c>
      <c r="S697" s="17">
        <f t="shared" si="46"/>
        <v>41913.521064814813</v>
      </c>
      <c r="T697" s="17">
        <f t="shared" si="47"/>
        <v>41943.521064814813</v>
      </c>
      <c r="U697">
        <f>MONTH(Table1[[#This Row],[Launched]])</f>
        <v>10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8220</v>
      </c>
      <c r="G698" t="s">
        <v>8232</v>
      </c>
      <c r="H698" t="s">
        <v>8248</v>
      </c>
      <c r="I698" s="8">
        <v>1406326502</v>
      </c>
      <c r="J698">
        <v>1403734502</v>
      </c>
      <c r="K698" t="b">
        <v>0</v>
      </c>
      <c r="L698" s="10">
        <v>1</v>
      </c>
      <c r="M698" t="b">
        <v>0</v>
      </c>
      <c r="N698" t="s">
        <v>8271</v>
      </c>
      <c r="O698" s="11">
        <f t="shared" si="44"/>
        <v>0</v>
      </c>
      <c r="P698" s="12">
        <f t="shared" si="45"/>
        <v>1</v>
      </c>
      <c r="Q698" s="14" t="s">
        <v>8316</v>
      </c>
      <c r="R698" t="s">
        <v>8318</v>
      </c>
      <c r="S698" s="17">
        <f t="shared" si="46"/>
        <v>41815.927106481482</v>
      </c>
      <c r="T698" s="17">
        <f t="shared" si="47"/>
        <v>41845.927106481482</v>
      </c>
      <c r="U698">
        <f>MONTH(Table1[[#This Row],[Launched]])</f>
        <v>6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8220</v>
      </c>
      <c r="G699" t="s">
        <v>8235</v>
      </c>
      <c r="H699" t="s">
        <v>8248</v>
      </c>
      <c r="I699" s="8">
        <v>1454502789</v>
      </c>
      <c r="J699">
        <v>1453206789</v>
      </c>
      <c r="K699" t="b">
        <v>0</v>
      </c>
      <c r="L699" s="10">
        <v>114</v>
      </c>
      <c r="M699" t="b">
        <v>0</v>
      </c>
      <c r="N699" t="s">
        <v>8271</v>
      </c>
      <c r="O699" s="11">
        <f t="shared" si="44"/>
        <v>46</v>
      </c>
      <c r="P699" s="12">
        <f t="shared" si="45"/>
        <v>20</v>
      </c>
      <c r="Q699" s="14" t="s">
        <v>8316</v>
      </c>
      <c r="R699" t="s">
        <v>8318</v>
      </c>
      <c r="S699" s="17">
        <f t="shared" si="46"/>
        <v>42388.523020833338</v>
      </c>
      <c r="T699" s="17">
        <f t="shared" si="47"/>
        <v>42403.523020833338</v>
      </c>
      <c r="U699">
        <f>MONTH(Table1[[#This Row],[Launched]])</f>
        <v>1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8220</v>
      </c>
      <c r="G700" t="s">
        <v>8223</v>
      </c>
      <c r="H700" t="s">
        <v>8245</v>
      </c>
      <c r="I700" s="8">
        <v>1411005600</v>
      </c>
      <c r="J700">
        <v>1408141245</v>
      </c>
      <c r="K700" t="b">
        <v>0</v>
      </c>
      <c r="L700" s="10">
        <v>29</v>
      </c>
      <c r="M700" t="b">
        <v>0</v>
      </c>
      <c r="N700" t="s">
        <v>8271</v>
      </c>
      <c r="O700" s="11">
        <f t="shared" si="44"/>
        <v>15</v>
      </c>
      <c r="P700" s="12">
        <f t="shared" si="45"/>
        <v>531</v>
      </c>
      <c r="Q700" s="14" t="s">
        <v>8316</v>
      </c>
      <c r="R700" t="s">
        <v>8318</v>
      </c>
      <c r="S700" s="17">
        <f t="shared" si="46"/>
        <v>41866.931076388886</v>
      </c>
      <c r="T700" s="17">
        <f t="shared" si="47"/>
        <v>41900.083333333336</v>
      </c>
      <c r="U700">
        <f>MONTH(Table1[[#This Row],[Launched]])</f>
        <v>8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 s="8">
        <v>1385136000</v>
      </c>
      <c r="J701">
        <v>1381923548</v>
      </c>
      <c r="K701" t="b">
        <v>0</v>
      </c>
      <c r="L701" s="10">
        <v>890</v>
      </c>
      <c r="M701" t="b">
        <v>0</v>
      </c>
      <c r="N701" t="s">
        <v>8271</v>
      </c>
      <c r="O701" s="11">
        <f t="shared" si="44"/>
        <v>82</v>
      </c>
      <c r="P701" s="12">
        <f t="shared" si="45"/>
        <v>120</v>
      </c>
      <c r="Q701" s="14" t="s">
        <v>8316</v>
      </c>
      <c r="R701" t="s">
        <v>8318</v>
      </c>
      <c r="S701" s="17">
        <f t="shared" si="46"/>
        <v>41563.485509259262</v>
      </c>
      <c r="T701" s="17">
        <f t="shared" si="47"/>
        <v>41600.666666666664</v>
      </c>
      <c r="U701">
        <f>MONTH(Table1[[#This Row],[Launched]])</f>
        <v>10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8220</v>
      </c>
      <c r="G702" t="s">
        <v>8226</v>
      </c>
      <c r="H702" t="s">
        <v>8248</v>
      </c>
      <c r="I702" s="8">
        <v>1484065881</v>
      </c>
      <c r="J702">
        <v>1481473881</v>
      </c>
      <c r="K702" t="b">
        <v>0</v>
      </c>
      <c r="L702" s="10">
        <v>31</v>
      </c>
      <c r="M702" t="b">
        <v>0</v>
      </c>
      <c r="N702" t="s">
        <v>8271</v>
      </c>
      <c r="O702" s="11">
        <f t="shared" si="44"/>
        <v>3</v>
      </c>
      <c r="P702" s="12">
        <f t="shared" si="45"/>
        <v>13</v>
      </c>
      <c r="Q702" s="14" t="s">
        <v>8316</v>
      </c>
      <c r="R702" t="s">
        <v>8318</v>
      </c>
      <c r="S702" s="17">
        <f t="shared" si="46"/>
        <v>42715.688437500001</v>
      </c>
      <c r="T702" s="17">
        <f t="shared" si="47"/>
        <v>42745.688437500001</v>
      </c>
      <c r="U702">
        <f>MONTH(Table1[[#This Row],[Launched]])</f>
        <v>12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8220</v>
      </c>
      <c r="G703" t="s">
        <v>8224</v>
      </c>
      <c r="H703" t="s">
        <v>8246</v>
      </c>
      <c r="I703" s="8">
        <v>1406130880</v>
      </c>
      <c r="J703">
        <v>1403538880</v>
      </c>
      <c r="K703" t="b">
        <v>0</v>
      </c>
      <c r="L703" s="10">
        <v>21</v>
      </c>
      <c r="M703" t="b">
        <v>0</v>
      </c>
      <c r="N703" t="s">
        <v>8271</v>
      </c>
      <c r="O703" s="11">
        <f t="shared" si="44"/>
        <v>27</v>
      </c>
      <c r="P703" s="12">
        <f t="shared" si="45"/>
        <v>291</v>
      </c>
      <c r="Q703" s="14" t="s">
        <v>8316</v>
      </c>
      <c r="R703" t="s">
        <v>8318</v>
      </c>
      <c r="S703" s="17">
        <f t="shared" si="46"/>
        <v>41813.662962962961</v>
      </c>
      <c r="T703" s="17">
        <f t="shared" si="47"/>
        <v>41843.662962962961</v>
      </c>
      <c r="U703">
        <f>MONTH(Table1[[#This Row],[Launched]])</f>
        <v>6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8220</v>
      </c>
      <c r="G704" t="s">
        <v>8223</v>
      </c>
      <c r="H704" t="s">
        <v>8245</v>
      </c>
      <c r="I704" s="8">
        <v>1480011987</v>
      </c>
      <c r="J704">
        <v>1477416387</v>
      </c>
      <c r="K704" t="b">
        <v>0</v>
      </c>
      <c r="L704" s="10">
        <v>37</v>
      </c>
      <c r="M704" t="b">
        <v>0</v>
      </c>
      <c r="N704" t="s">
        <v>8271</v>
      </c>
      <c r="O704" s="11">
        <f t="shared" si="44"/>
        <v>31</v>
      </c>
      <c r="P704" s="12">
        <f t="shared" si="45"/>
        <v>125</v>
      </c>
      <c r="Q704" s="14" t="s">
        <v>8316</v>
      </c>
      <c r="R704" t="s">
        <v>8318</v>
      </c>
      <c r="S704" s="17">
        <f t="shared" si="46"/>
        <v>42668.726701388892</v>
      </c>
      <c r="T704" s="17">
        <f t="shared" si="47"/>
        <v>42698.768368055549</v>
      </c>
      <c r="U704">
        <f>MONTH(Table1[[#This Row],[Launched]])</f>
        <v>10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8220</v>
      </c>
      <c r="G705" t="s">
        <v>8223</v>
      </c>
      <c r="H705" t="s">
        <v>8245</v>
      </c>
      <c r="I705" s="8">
        <v>1485905520</v>
      </c>
      <c r="J705">
        <v>1481150949</v>
      </c>
      <c r="K705" t="b">
        <v>0</v>
      </c>
      <c r="L705" s="10">
        <v>7</v>
      </c>
      <c r="M705" t="b">
        <v>0</v>
      </c>
      <c r="N705" t="s">
        <v>8271</v>
      </c>
      <c r="O705" s="11">
        <f t="shared" si="44"/>
        <v>6</v>
      </c>
      <c r="P705" s="12">
        <f t="shared" si="45"/>
        <v>120</v>
      </c>
      <c r="Q705" s="14" t="s">
        <v>8316</v>
      </c>
      <c r="R705" t="s">
        <v>8318</v>
      </c>
      <c r="S705" s="17">
        <f t="shared" si="46"/>
        <v>42711.950798611113</v>
      </c>
      <c r="T705" s="17">
        <f t="shared" si="47"/>
        <v>42766.98055555555</v>
      </c>
      <c r="U705">
        <f>MONTH(Table1[[#This Row],[Launched]])</f>
        <v>12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8220</v>
      </c>
      <c r="G706" t="s">
        <v>8228</v>
      </c>
      <c r="H706" t="s">
        <v>8250</v>
      </c>
      <c r="I706" s="8">
        <v>1487565468</v>
      </c>
      <c r="J706">
        <v>1482381468</v>
      </c>
      <c r="K706" t="b">
        <v>0</v>
      </c>
      <c r="L706" s="10">
        <v>4</v>
      </c>
      <c r="M706" t="b">
        <v>0</v>
      </c>
      <c r="N706" t="s">
        <v>8271</v>
      </c>
      <c r="O706" s="11">
        <f t="shared" ref="O706:O769" si="48">ROUND(E706/D706*100,0)</f>
        <v>1</v>
      </c>
      <c r="P706" s="12">
        <f t="shared" si="45"/>
        <v>120</v>
      </c>
      <c r="Q706" s="14" t="s">
        <v>8316</v>
      </c>
      <c r="R706" t="s">
        <v>8318</v>
      </c>
      <c r="S706" s="17">
        <f t="shared" si="46"/>
        <v>42726.192916666667</v>
      </c>
      <c r="T706" s="17">
        <f t="shared" si="47"/>
        <v>42786.192916666667</v>
      </c>
      <c r="U706">
        <f>MONTH(Table1[[#This Row],[Launched]])</f>
        <v>12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8220</v>
      </c>
      <c r="G707" t="s">
        <v>8232</v>
      </c>
      <c r="H707" t="s">
        <v>8248</v>
      </c>
      <c r="I707" s="8">
        <v>1484999278</v>
      </c>
      <c r="J707">
        <v>1482407278</v>
      </c>
      <c r="K707" t="b">
        <v>0</v>
      </c>
      <c r="L707" s="10">
        <v>5</v>
      </c>
      <c r="M707" t="b">
        <v>0</v>
      </c>
      <c r="N707" t="s">
        <v>8271</v>
      </c>
      <c r="O707" s="11">
        <f t="shared" si="48"/>
        <v>1</v>
      </c>
      <c r="P707" s="12">
        <f t="shared" ref="P707:P770" si="49">IFERROR(ROUND(E707/L707,),"No Backers")</f>
        <v>195</v>
      </c>
      <c r="Q707" s="14" t="s">
        <v>8316</v>
      </c>
      <c r="R707" t="s">
        <v>8318</v>
      </c>
      <c r="S707" s="17">
        <f t="shared" ref="S707:S770" si="50">(((J707/60)/60)/24)+DATE(1970,1,1)</f>
        <v>42726.491643518515</v>
      </c>
      <c r="T707" s="17">
        <f t="shared" ref="T707:T770" si="51">(((I707/60)/60)/24)+DATE(1970,1,1)</f>
        <v>42756.491643518515</v>
      </c>
      <c r="U707">
        <f>MONTH(Table1[[#This Row],[Launched]])</f>
        <v>12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8220</v>
      </c>
      <c r="G708" t="s">
        <v>8226</v>
      </c>
      <c r="H708" t="s">
        <v>8248</v>
      </c>
      <c r="I708" s="8">
        <v>1481740740</v>
      </c>
      <c r="J708">
        <v>1478130783</v>
      </c>
      <c r="K708" t="b">
        <v>0</v>
      </c>
      <c r="L708" s="10">
        <v>0</v>
      </c>
      <c r="M708" t="b">
        <v>0</v>
      </c>
      <c r="N708" t="s">
        <v>8271</v>
      </c>
      <c r="O708" s="11">
        <f t="shared" si="48"/>
        <v>0</v>
      </c>
      <c r="P708" s="12" t="str">
        <f t="shared" si="49"/>
        <v>No Backers</v>
      </c>
      <c r="Q708" s="14" t="s">
        <v>8316</v>
      </c>
      <c r="R708" t="s">
        <v>8318</v>
      </c>
      <c r="S708" s="17">
        <f t="shared" si="50"/>
        <v>42676.995173611111</v>
      </c>
      <c r="T708" s="17">
        <f t="shared" si="51"/>
        <v>42718.777083333334</v>
      </c>
      <c r="U708">
        <f>MONTH(Table1[[#This Row],[Launched]])</f>
        <v>11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8220</v>
      </c>
      <c r="G709" t="s">
        <v>8224</v>
      </c>
      <c r="H709" t="s">
        <v>8246</v>
      </c>
      <c r="I709" s="8">
        <v>1483286127</v>
      </c>
      <c r="J709">
        <v>1479830127</v>
      </c>
      <c r="K709" t="b">
        <v>0</v>
      </c>
      <c r="L709" s="10">
        <v>456</v>
      </c>
      <c r="M709" t="b">
        <v>0</v>
      </c>
      <c r="N709" t="s">
        <v>8271</v>
      </c>
      <c r="O709" s="11">
        <f t="shared" si="48"/>
        <v>79</v>
      </c>
      <c r="P709" s="12">
        <f t="shared" si="49"/>
        <v>118</v>
      </c>
      <c r="Q709" s="14" t="s">
        <v>8316</v>
      </c>
      <c r="R709" t="s">
        <v>8318</v>
      </c>
      <c r="S709" s="17">
        <f t="shared" si="50"/>
        <v>42696.663506944446</v>
      </c>
      <c r="T709" s="17">
        <f t="shared" si="51"/>
        <v>42736.663506944446</v>
      </c>
      <c r="U709">
        <f>MONTH(Table1[[#This Row],[Launched]])</f>
        <v>11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8220</v>
      </c>
      <c r="G710" t="s">
        <v>8224</v>
      </c>
      <c r="H710" t="s">
        <v>8246</v>
      </c>
      <c r="I710" s="8">
        <v>1410616600</v>
      </c>
      <c r="J710">
        <v>1405432600</v>
      </c>
      <c r="K710" t="b">
        <v>0</v>
      </c>
      <c r="L710" s="10">
        <v>369</v>
      </c>
      <c r="M710" t="b">
        <v>0</v>
      </c>
      <c r="N710" t="s">
        <v>8271</v>
      </c>
      <c r="O710" s="11">
        <f t="shared" si="48"/>
        <v>22</v>
      </c>
      <c r="P710" s="12">
        <f t="shared" si="49"/>
        <v>24</v>
      </c>
      <c r="Q710" s="14" t="s">
        <v>8316</v>
      </c>
      <c r="R710" t="s">
        <v>8318</v>
      </c>
      <c r="S710" s="17">
        <f t="shared" si="50"/>
        <v>41835.581018518518</v>
      </c>
      <c r="T710" s="17">
        <f t="shared" si="51"/>
        <v>41895.581018518518</v>
      </c>
      <c r="U710">
        <f>MONTH(Table1[[#This Row],[Launched]])</f>
        <v>7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8220</v>
      </c>
      <c r="G711" t="s">
        <v>8223</v>
      </c>
      <c r="H711" t="s">
        <v>8245</v>
      </c>
      <c r="I711" s="8">
        <v>1417741159</v>
      </c>
      <c r="J711">
        <v>1415149159</v>
      </c>
      <c r="K711" t="b">
        <v>0</v>
      </c>
      <c r="L711" s="10">
        <v>2</v>
      </c>
      <c r="M711" t="b">
        <v>0</v>
      </c>
      <c r="N711" t="s">
        <v>8271</v>
      </c>
      <c r="O711" s="11">
        <f t="shared" si="48"/>
        <v>0</v>
      </c>
      <c r="P711" s="12">
        <f t="shared" si="49"/>
        <v>31</v>
      </c>
      <c r="Q711" s="14" t="s">
        <v>8316</v>
      </c>
      <c r="R711" t="s">
        <v>8318</v>
      </c>
      <c r="S711" s="17">
        <f t="shared" si="50"/>
        <v>41948.041192129633</v>
      </c>
      <c r="T711" s="17">
        <f t="shared" si="51"/>
        <v>41978.041192129633</v>
      </c>
      <c r="U711">
        <f>MONTH(Table1[[#This Row],[Launched]])</f>
        <v>11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8220</v>
      </c>
      <c r="G712" t="s">
        <v>8228</v>
      </c>
      <c r="H712" t="s">
        <v>8250</v>
      </c>
      <c r="I712" s="8">
        <v>1408495440</v>
      </c>
      <c r="J712">
        <v>1405640302</v>
      </c>
      <c r="K712" t="b">
        <v>0</v>
      </c>
      <c r="L712" s="10">
        <v>0</v>
      </c>
      <c r="M712" t="b">
        <v>0</v>
      </c>
      <c r="N712" t="s">
        <v>8271</v>
      </c>
      <c r="O712" s="11">
        <f t="shared" si="48"/>
        <v>0</v>
      </c>
      <c r="P712" s="12" t="str">
        <f t="shared" si="49"/>
        <v>No Backers</v>
      </c>
      <c r="Q712" s="14" t="s">
        <v>8316</v>
      </c>
      <c r="R712" t="s">
        <v>8318</v>
      </c>
      <c r="S712" s="17">
        <f t="shared" si="50"/>
        <v>41837.984976851854</v>
      </c>
      <c r="T712" s="17">
        <f t="shared" si="51"/>
        <v>41871.030555555553</v>
      </c>
      <c r="U712">
        <f>MONTH(Table1[[#This Row],[Launched]])</f>
        <v>7</v>
      </c>
    </row>
    <row r="713" spans="1:21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8220</v>
      </c>
      <c r="G713" t="s">
        <v>8232</v>
      </c>
      <c r="H713" t="s">
        <v>8248</v>
      </c>
      <c r="I713" s="8">
        <v>1481716868</v>
      </c>
      <c r="J713">
        <v>1478257268</v>
      </c>
      <c r="K713" t="b">
        <v>0</v>
      </c>
      <c r="L713" s="10">
        <v>338</v>
      </c>
      <c r="M713" t="b">
        <v>0</v>
      </c>
      <c r="N713" t="s">
        <v>8271</v>
      </c>
      <c r="O713" s="11">
        <f t="shared" si="48"/>
        <v>34</v>
      </c>
      <c r="P713" s="12">
        <f t="shared" si="49"/>
        <v>100</v>
      </c>
      <c r="Q713" s="14" t="s">
        <v>8316</v>
      </c>
      <c r="R713" t="s">
        <v>8318</v>
      </c>
      <c r="S713" s="17">
        <f t="shared" si="50"/>
        <v>42678.459120370375</v>
      </c>
      <c r="T713" s="17">
        <f t="shared" si="51"/>
        <v>42718.500787037032</v>
      </c>
      <c r="U713">
        <f>MONTH(Table1[[#This Row],[Launched]])</f>
        <v>11</v>
      </c>
    </row>
    <row r="714" spans="1:21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8220</v>
      </c>
      <c r="G714" t="s">
        <v>8223</v>
      </c>
      <c r="H714" t="s">
        <v>8245</v>
      </c>
      <c r="I714" s="8">
        <v>1455466832</v>
      </c>
      <c r="J714">
        <v>1452874832</v>
      </c>
      <c r="K714" t="b">
        <v>0</v>
      </c>
      <c r="L714" s="10">
        <v>4</v>
      </c>
      <c r="M714" t="b">
        <v>0</v>
      </c>
      <c r="N714" t="s">
        <v>8271</v>
      </c>
      <c r="O714" s="11">
        <f t="shared" si="48"/>
        <v>0</v>
      </c>
      <c r="P714" s="12">
        <f t="shared" si="49"/>
        <v>26</v>
      </c>
      <c r="Q714" s="14" t="s">
        <v>8316</v>
      </c>
      <c r="R714" t="s">
        <v>8318</v>
      </c>
      <c r="S714" s="17">
        <f t="shared" si="50"/>
        <v>42384.680925925932</v>
      </c>
      <c r="T714" s="17">
        <f t="shared" si="51"/>
        <v>42414.680925925932</v>
      </c>
      <c r="U714">
        <f>MONTH(Table1[[#This Row],[Launched]])</f>
        <v>1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8220</v>
      </c>
      <c r="G715" t="s">
        <v>8236</v>
      </c>
      <c r="H715" t="s">
        <v>8248</v>
      </c>
      <c r="I715" s="8">
        <v>1465130532</v>
      </c>
      <c r="J715">
        <v>1462538532</v>
      </c>
      <c r="K715" t="b">
        <v>0</v>
      </c>
      <c r="L715" s="10">
        <v>1</v>
      </c>
      <c r="M715" t="b">
        <v>0</v>
      </c>
      <c r="N715" t="s">
        <v>8271</v>
      </c>
      <c r="O715" s="11">
        <f t="shared" si="48"/>
        <v>1</v>
      </c>
      <c r="P715" s="12">
        <f t="shared" si="49"/>
        <v>199</v>
      </c>
      <c r="Q715" s="14" t="s">
        <v>8316</v>
      </c>
      <c r="R715" t="s">
        <v>8318</v>
      </c>
      <c r="S715" s="17">
        <f t="shared" si="50"/>
        <v>42496.529305555552</v>
      </c>
      <c r="T715" s="17">
        <f t="shared" si="51"/>
        <v>42526.529305555552</v>
      </c>
      <c r="U715">
        <f>MONTH(Table1[[#This Row],[Launched]])</f>
        <v>5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8220</v>
      </c>
      <c r="G716" t="s">
        <v>8223</v>
      </c>
      <c r="H716" t="s">
        <v>8245</v>
      </c>
      <c r="I716" s="8">
        <v>1488308082</v>
      </c>
      <c r="J716">
        <v>1483124082</v>
      </c>
      <c r="K716" t="b">
        <v>0</v>
      </c>
      <c r="L716" s="10">
        <v>28</v>
      </c>
      <c r="M716" t="b">
        <v>0</v>
      </c>
      <c r="N716" t="s">
        <v>8271</v>
      </c>
      <c r="O716" s="11">
        <f t="shared" si="48"/>
        <v>15</v>
      </c>
      <c r="P716" s="12">
        <f t="shared" si="49"/>
        <v>80</v>
      </c>
      <c r="Q716" s="14" t="s">
        <v>8316</v>
      </c>
      <c r="R716" t="s">
        <v>8318</v>
      </c>
      <c r="S716" s="17">
        <f t="shared" si="50"/>
        <v>42734.787986111114</v>
      </c>
      <c r="T716" s="17">
        <f t="shared" si="51"/>
        <v>42794.787986111114</v>
      </c>
      <c r="U716">
        <f>MONTH(Table1[[#This Row],[Launched]])</f>
        <v>12</v>
      </c>
    </row>
    <row r="717" spans="1:21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8220</v>
      </c>
      <c r="G717" t="s">
        <v>8223</v>
      </c>
      <c r="H717" t="s">
        <v>8245</v>
      </c>
      <c r="I717" s="8">
        <v>1446693040</v>
      </c>
      <c r="J717">
        <v>1443233440</v>
      </c>
      <c r="K717" t="b">
        <v>0</v>
      </c>
      <c r="L717" s="10">
        <v>12</v>
      </c>
      <c r="M717" t="b">
        <v>0</v>
      </c>
      <c r="N717" t="s">
        <v>8271</v>
      </c>
      <c r="O717" s="11">
        <f t="shared" si="48"/>
        <v>5</v>
      </c>
      <c r="P717" s="12">
        <f t="shared" si="49"/>
        <v>116</v>
      </c>
      <c r="Q717" s="14" t="s">
        <v>8316</v>
      </c>
      <c r="R717" t="s">
        <v>8318</v>
      </c>
      <c r="S717" s="17">
        <f t="shared" si="50"/>
        <v>42273.090740740736</v>
      </c>
      <c r="T717" s="17">
        <f t="shared" si="51"/>
        <v>42313.132407407407</v>
      </c>
      <c r="U717">
        <f>MONTH(Table1[[#This Row],[Launched]])</f>
        <v>9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8220</v>
      </c>
      <c r="G718" t="s">
        <v>8223</v>
      </c>
      <c r="H718" t="s">
        <v>8245</v>
      </c>
      <c r="I718" s="8">
        <v>1417392000</v>
      </c>
      <c r="J718">
        <v>1414511307</v>
      </c>
      <c r="K718" t="b">
        <v>0</v>
      </c>
      <c r="L718" s="10">
        <v>16</v>
      </c>
      <c r="M718" t="b">
        <v>0</v>
      </c>
      <c r="N718" t="s">
        <v>8271</v>
      </c>
      <c r="O718" s="11">
        <f t="shared" si="48"/>
        <v>10</v>
      </c>
      <c r="P718" s="12">
        <f t="shared" si="49"/>
        <v>45</v>
      </c>
      <c r="Q718" s="14" t="s">
        <v>8316</v>
      </c>
      <c r="R718" t="s">
        <v>8318</v>
      </c>
      <c r="S718" s="17">
        <f t="shared" si="50"/>
        <v>41940.658645833333</v>
      </c>
      <c r="T718" s="17">
        <f t="shared" si="51"/>
        <v>41974</v>
      </c>
      <c r="U718">
        <f>MONTH(Table1[[#This Row],[Launched]])</f>
        <v>10</v>
      </c>
    </row>
    <row r="719" spans="1:21" ht="15.6" x14ac:dyDescent="0.3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8220</v>
      </c>
      <c r="G719" t="s">
        <v>8223</v>
      </c>
      <c r="H719" t="s">
        <v>8245</v>
      </c>
      <c r="I719" s="8">
        <v>1409949002</v>
      </c>
      <c r="J719">
        <v>1407357002</v>
      </c>
      <c r="K719" t="b">
        <v>0</v>
      </c>
      <c r="L719" s="10">
        <v>4</v>
      </c>
      <c r="M719" t="b">
        <v>0</v>
      </c>
      <c r="N719" t="s">
        <v>8271</v>
      </c>
      <c r="O719" s="11">
        <f t="shared" si="48"/>
        <v>0</v>
      </c>
      <c r="P719" s="12">
        <f t="shared" si="49"/>
        <v>76</v>
      </c>
      <c r="Q719" s="14" t="s">
        <v>8316</v>
      </c>
      <c r="R719" t="s">
        <v>8318</v>
      </c>
      <c r="S719" s="17">
        <f t="shared" si="50"/>
        <v>41857.854189814818</v>
      </c>
      <c r="T719" s="17">
        <f t="shared" si="51"/>
        <v>41887.854189814818</v>
      </c>
      <c r="U719">
        <f>MONTH(Table1[[#This Row],[Launched]])</f>
        <v>8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8220</v>
      </c>
      <c r="G720" t="s">
        <v>8223</v>
      </c>
      <c r="H720" t="s">
        <v>8245</v>
      </c>
      <c r="I720" s="8">
        <v>1487397540</v>
      </c>
      <c r="J720">
        <v>1484684247</v>
      </c>
      <c r="K720" t="b">
        <v>0</v>
      </c>
      <c r="L720" s="10">
        <v>4</v>
      </c>
      <c r="M720" t="b">
        <v>0</v>
      </c>
      <c r="N720" t="s">
        <v>8271</v>
      </c>
      <c r="O720" s="11">
        <f t="shared" si="48"/>
        <v>1</v>
      </c>
      <c r="P720" s="12">
        <f t="shared" si="49"/>
        <v>23</v>
      </c>
      <c r="Q720" s="14" t="s">
        <v>8316</v>
      </c>
      <c r="R720" t="s">
        <v>8318</v>
      </c>
      <c r="S720" s="17">
        <f t="shared" si="50"/>
        <v>42752.845451388886</v>
      </c>
      <c r="T720" s="17">
        <f t="shared" si="51"/>
        <v>42784.249305555553</v>
      </c>
      <c r="U720">
        <f>MONTH(Table1[[#This Row],[Launched]])</f>
        <v>1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8220</v>
      </c>
      <c r="G721" t="s">
        <v>8223</v>
      </c>
      <c r="H721" t="s">
        <v>8245</v>
      </c>
      <c r="I721" s="8">
        <v>1456189076</v>
      </c>
      <c r="J721">
        <v>1454979476</v>
      </c>
      <c r="K721" t="b">
        <v>0</v>
      </c>
      <c r="L721" s="10">
        <v>10</v>
      </c>
      <c r="M721" t="b">
        <v>0</v>
      </c>
      <c r="N721" t="s">
        <v>8271</v>
      </c>
      <c r="O721" s="11">
        <f t="shared" si="48"/>
        <v>1</v>
      </c>
      <c r="P721" s="12">
        <f t="shared" si="49"/>
        <v>19</v>
      </c>
      <c r="Q721" s="14" t="s">
        <v>8316</v>
      </c>
      <c r="R721" t="s">
        <v>8318</v>
      </c>
      <c r="S721" s="17">
        <f t="shared" si="50"/>
        <v>42409.040231481486</v>
      </c>
      <c r="T721" s="17">
        <f t="shared" si="51"/>
        <v>42423.040231481486</v>
      </c>
      <c r="U721">
        <f>MONTH(Table1[[#This Row],[Launched]])</f>
        <v>2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8218</v>
      </c>
      <c r="G722" t="s">
        <v>8223</v>
      </c>
      <c r="H722" t="s">
        <v>8245</v>
      </c>
      <c r="I722" s="8">
        <v>1327851291</v>
      </c>
      <c r="J722">
        <v>1325432091</v>
      </c>
      <c r="K722" t="b">
        <v>0</v>
      </c>
      <c r="L722" s="10">
        <v>41</v>
      </c>
      <c r="M722" t="b">
        <v>1</v>
      </c>
      <c r="N722" t="s">
        <v>8272</v>
      </c>
      <c r="O722" s="11">
        <f t="shared" si="48"/>
        <v>144</v>
      </c>
      <c r="P722" s="12">
        <f t="shared" si="49"/>
        <v>67</v>
      </c>
      <c r="Q722" s="14" t="s">
        <v>8319</v>
      </c>
      <c r="R722" t="s">
        <v>8320</v>
      </c>
      <c r="S722" s="17">
        <f t="shared" si="50"/>
        <v>40909.649201388893</v>
      </c>
      <c r="T722" s="17">
        <f t="shared" si="51"/>
        <v>40937.649201388893</v>
      </c>
      <c r="U722">
        <f>MONTH(Table1[[#This Row],[Launched]])</f>
        <v>1</v>
      </c>
    </row>
    <row r="723" spans="1:21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8218</v>
      </c>
      <c r="G723" t="s">
        <v>8223</v>
      </c>
      <c r="H723" t="s">
        <v>8245</v>
      </c>
      <c r="I723" s="8">
        <v>1406900607</v>
      </c>
      <c r="J723">
        <v>1403012607</v>
      </c>
      <c r="K723" t="b">
        <v>0</v>
      </c>
      <c r="L723" s="10">
        <v>119</v>
      </c>
      <c r="M723" t="b">
        <v>1</v>
      </c>
      <c r="N723" t="s">
        <v>8272</v>
      </c>
      <c r="O723" s="11">
        <f t="shared" si="48"/>
        <v>122</v>
      </c>
      <c r="P723" s="12">
        <f t="shared" si="49"/>
        <v>84</v>
      </c>
      <c r="Q723" s="14" t="s">
        <v>8319</v>
      </c>
      <c r="R723" t="s">
        <v>8320</v>
      </c>
      <c r="S723" s="17">
        <f t="shared" si="50"/>
        <v>41807.571840277778</v>
      </c>
      <c r="T723" s="17">
        <f t="shared" si="51"/>
        <v>41852.571840277778</v>
      </c>
      <c r="U723">
        <f>MONTH(Table1[[#This Row],[Launched]])</f>
        <v>6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8218</v>
      </c>
      <c r="G724" t="s">
        <v>8223</v>
      </c>
      <c r="H724" t="s">
        <v>8245</v>
      </c>
      <c r="I724" s="8">
        <v>1333909178</v>
      </c>
      <c r="J724">
        <v>1331320778</v>
      </c>
      <c r="K724" t="b">
        <v>0</v>
      </c>
      <c r="L724" s="10">
        <v>153</v>
      </c>
      <c r="M724" t="b">
        <v>1</v>
      </c>
      <c r="N724" t="s">
        <v>8272</v>
      </c>
      <c r="O724" s="11">
        <f t="shared" si="48"/>
        <v>132</v>
      </c>
      <c r="P724" s="12">
        <f t="shared" si="49"/>
        <v>216</v>
      </c>
      <c r="Q724" s="14" t="s">
        <v>8319</v>
      </c>
      <c r="R724" t="s">
        <v>8320</v>
      </c>
      <c r="S724" s="17">
        <f t="shared" si="50"/>
        <v>40977.805300925924</v>
      </c>
      <c r="T724" s="17">
        <f t="shared" si="51"/>
        <v>41007.76363425926</v>
      </c>
      <c r="U724">
        <f>MONTH(Table1[[#This Row],[Launched]])</f>
        <v>3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8218</v>
      </c>
      <c r="G725" t="s">
        <v>8223</v>
      </c>
      <c r="H725" t="s">
        <v>8245</v>
      </c>
      <c r="I725" s="8">
        <v>1438228740</v>
      </c>
      <c r="J725">
        <v>1435606549</v>
      </c>
      <c r="K725" t="b">
        <v>0</v>
      </c>
      <c r="L725" s="10">
        <v>100</v>
      </c>
      <c r="M725" t="b">
        <v>1</v>
      </c>
      <c r="N725" t="s">
        <v>8272</v>
      </c>
      <c r="O725" s="11">
        <f t="shared" si="48"/>
        <v>109</v>
      </c>
      <c r="P725" s="12">
        <f t="shared" si="49"/>
        <v>55</v>
      </c>
      <c r="Q725" s="14" t="s">
        <v>8319</v>
      </c>
      <c r="R725" t="s">
        <v>8320</v>
      </c>
      <c r="S725" s="17">
        <f t="shared" si="50"/>
        <v>42184.816539351858</v>
      </c>
      <c r="T725" s="17">
        <f t="shared" si="51"/>
        <v>42215.165972222225</v>
      </c>
      <c r="U725">
        <f>MONTH(Table1[[#This Row],[Launched]])</f>
        <v>6</v>
      </c>
    </row>
    <row r="726" spans="1:21" ht="57.6" x14ac:dyDescent="0.3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8218</v>
      </c>
      <c r="G726" t="s">
        <v>8223</v>
      </c>
      <c r="H726" t="s">
        <v>8245</v>
      </c>
      <c r="I726" s="8">
        <v>1309447163</v>
      </c>
      <c r="J726">
        <v>1306855163</v>
      </c>
      <c r="K726" t="b">
        <v>0</v>
      </c>
      <c r="L726" s="10">
        <v>143</v>
      </c>
      <c r="M726" t="b">
        <v>1</v>
      </c>
      <c r="N726" t="s">
        <v>8272</v>
      </c>
      <c r="O726" s="11">
        <f t="shared" si="48"/>
        <v>105</v>
      </c>
      <c r="P726" s="12">
        <f t="shared" si="49"/>
        <v>52</v>
      </c>
      <c r="Q726" s="14" t="s">
        <v>8319</v>
      </c>
      <c r="R726" t="s">
        <v>8320</v>
      </c>
      <c r="S726" s="17">
        <f t="shared" si="50"/>
        <v>40694.638460648144</v>
      </c>
      <c r="T726" s="17">
        <f t="shared" si="51"/>
        <v>40724.638460648144</v>
      </c>
      <c r="U726">
        <f>MONTH(Table1[[#This Row],[Launched]])</f>
        <v>5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8218</v>
      </c>
      <c r="G727" t="s">
        <v>8223</v>
      </c>
      <c r="H727" t="s">
        <v>8245</v>
      </c>
      <c r="I727" s="8">
        <v>1450018912</v>
      </c>
      <c r="J727">
        <v>1447426912</v>
      </c>
      <c r="K727" t="b">
        <v>0</v>
      </c>
      <c r="L727" s="10">
        <v>140</v>
      </c>
      <c r="M727" t="b">
        <v>1</v>
      </c>
      <c r="N727" t="s">
        <v>8272</v>
      </c>
      <c r="O727" s="11">
        <f t="shared" si="48"/>
        <v>100</v>
      </c>
      <c r="P727" s="12">
        <f t="shared" si="49"/>
        <v>143</v>
      </c>
      <c r="Q727" s="14" t="s">
        <v>8319</v>
      </c>
      <c r="R727" t="s">
        <v>8320</v>
      </c>
      <c r="S727" s="17">
        <f t="shared" si="50"/>
        <v>42321.626296296294</v>
      </c>
      <c r="T727" s="17">
        <f t="shared" si="51"/>
        <v>42351.626296296294</v>
      </c>
      <c r="U727">
        <f>MONTH(Table1[[#This Row],[Launched]])</f>
        <v>11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8218</v>
      </c>
      <c r="G728" t="s">
        <v>8223</v>
      </c>
      <c r="H728" t="s">
        <v>8245</v>
      </c>
      <c r="I728" s="8">
        <v>1365728487</v>
      </c>
      <c r="J728">
        <v>1363136487</v>
      </c>
      <c r="K728" t="b">
        <v>0</v>
      </c>
      <c r="L728" s="10">
        <v>35</v>
      </c>
      <c r="M728" t="b">
        <v>1</v>
      </c>
      <c r="N728" t="s">
        <v>8272</v>
      </c>
      <c r="O728" s="11">
        <f t="shared" si="48"/>
        <v>101</v>
      </c>
      <c r="P728" s="12">
        <f t="shared" si="49"/>
        <v>72</v>
      </c>
      <c r="Q728" s="14" t="s">
        <v>8319</v>
      </c>
      <c r="R728" t="s">
        <v>8320</v>
      </c>
      <c r="S728" s="17">
        <f t="shared" si="50"/>
        <v>41346.042673611111</v>
      </c>
      <c r="T728" s="17">
        <f t="shared" si="51"/>
        <v>41376.042673611111</v>
      </c>
      <c r="U728">
        <f>MONTH(Table1[[#This Row],[Launched]])</f>
        <v>3</v>
      </c>
    </row>
    <row r="729" spans="1:21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8218</v>
      </c>
      <c r="G729" t="s">
        <v>8223</v>
      </c>
      <c r="H729" t="s">
        <v>8245</v>
      </c>
      <c r="I729" s="8">
        <v>1358198400</v>
      </c>
      <c r="J729">
        <v>1354580949</v>
      </c>
      <c r="K729" t="b">
        <v>0</v>
      </c>
      <c r="L729" s="10">
        <v>149</v>
      </c>
      <c r="M729" t="b">
        <v>1</v>
      </c>
      <c r="N729" t="s">
        <v>8272</v>
      </c>
      <c r="O729" s="11">
        <f t="shared" si="48"/>
        <v>156</v>
      </c>
      <c r="P729" s="12">
        <f t="shared" si="49"/>
        <v>37</v>
      </c>
      <c r="Q729" s="14" t="s">
        <v>8319</v>
      </c>
      <c r="R729" t="s">
        <v>8320</v>
      </c>
      <c r="S729" s="17">
        <f t="shared" si="50"/>
        <v>41247.020243055551</v>
      </c>
      <c r="T729" s="17">
        <f t="shared" si="51"/>
        <v>41288.888888888891</v>
      </c>
      <c r="U729">
        <f>MONTH(Table1[[#This Row],[Launched]])</f>
        <v>12</v>
      </c>
    </row>
    <row r="730" spans="1:21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8218</v>
      </c>
      <c r="G730" t="s">
        <v>8223</v>
      </c>
      <c r="H730" t="s">
        <v>8245</v>
      </c>
      <c r="I730" s="8">
        <v>1313957157</v>
      </c>
      <c r="J730">
        <v>1310069157</v>
      </c>
      <c r="K730" t="b">
        <v>0</v>
      </c>
      <c r="L730" s="10">
        <v>130</v>
      </c>
      <c r="M730" t="b">
        <v>1</v>
      </c>
      <c r="N730" t="s">
        <v>8272</v>
      </c>
      <c r="O730" s="11">
        <f t="shared" si="48"/>
        <v>106</v>
      </c>
      <c r="P730" s="12">
        <f t="shared" si="49"/>
        <v>61</v>
      </c>
      <c r="Q730" s="14" t="s">
        <v>8319</v>
      </c>
      <c r="R730" t="s">
        <v>8320</v>
      </c>
      <c r="S730" s="17">
        <f t="shared" si="50"/>
        <v>40731.837465277778</v>
      </c>
      <c r="T730" s="17">
        <f t="shared" si="51"/>
        <v>40776.837465277778</v>
      </c>
      <c r="U730">
        <f>MONTH(Table1[[#This Row],[Launched]])</f>
        <v>7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8218</v>
      </c>
      <c r="G731" t="s">
        <v>8223</v>
      </c>
      <c r="H731" t="s">
        <v>8245</v>
      </c>
      <c r="I731" s="8">
        <v>1348028861</v>
      </c>
      <c r="J731">
        <v>1342844861</v>
      </c>
      <c r="K731" t="b">
        <v>0</v>
      </c>
      <c r="L731" s="10">
        <v>120</v>
      </c>
      <c r="M731" t="b">
        <v>1</v>
      </c>
      <c r="N731" t="s">
        <v>8272</v>
      </c>
      <c r="O731" s="11">
        <f t="shared" si="48"/>
        <v>131</v>
      </c>
      <c r="P731" s="12">
        <f t="shared" si="49"/>
        <v>44</v>
      </c>
      <c r="Q731" s="14" t="s">
        <v>8319</v>
      </c>
      <c r="R731" t="s">
        <v>8320</v>
      </c>
      <c r="S731" s="17">
        <f t="shared" si="50"/>
        <v>41111.185891203706</v>
      </c>
      <c r="T731" s="17">
        <f t="shared" si="51"/>
        <v>41171.185891203706</v>
      </c>
      <c r="U731">
        <f>MONTH(Table1[[#This Row],[Launched]])</f>
        <v>7</v>
      </c>
    </row>
    <row r="732" spans="1:21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8218</v>
      </c>
      <c r="G732" t="s">
        <v>8223</v>
      </c>
      <c r="H732" t="s">
        <v>8245</v>
      </c>
      <c r="I732" s="8">
        <v>1323280391</v>
      </c>
      <c r="J732">
        <v>1320688391</v>
      </c>
      <c r="K732" t="b">
        <v>0</v>
      </c>
      <c r="L732" s="10">
        <v>265</v>
      </c>
      <c r="M732" t="b">
        <v>1</v>
      </c>
      <c r="N732" t="s">
        <v>8272</v>
      </c>
      <c r="O732" s="11">
        <f t="shared" si="48"/>
        <v>132</v>
      </c>
      <c r="P732" s="12">
        <f t="shared" si="49"/>
        <v>100</v>
      </c>
      <c r="Q732" s="14" t="s">
        <v>8319</v>
      </c>
      <c r="R732" t="s">
        <v>8320</v>
      </c>
      <c r="S732" s="17">
        <f t="shared" si="50"/>
        <v>40854.745266203703</v>
      </c>
      <c r="T732" s="17">
        <f t="shared" si="51"/>
        <v>40884.745266203703</v>
      </c>
      <c r="U732">
        <f>MONTH(Table1[[#This Row],[Launched]])</f>
        <v>11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8218</v>
      </c>
      <c r="G733" t="s">
        <v>8223</v>
      </c>
      <c r="H733" t="s">
        <v>8245</v>
      </c>
      <c r="I733" s="8">
        <v>1327212000</v>
      </c>
      <c r="J733">
        <v>1322852747</v>
      </c>
      <c r="K733" t="b">
        <v>0</v>
      </c>
      <c r="L733" s="10">
        <v>71</v>
      </c>
      <c r="M733" t="b">
        <v>1</v>
      </c>
      <c r="N733" t="s">
        <v>8272</v>
      </c>
      <c r="O733" s="11">
        <f t="shared" si="48"/>
        <v>126</v>
      </c>
      <c r="P733" s="12">
        <f t="shared" si="49"/>
        <v>89</v>
      </c>
      <c r="Q733" s="14" t="s">
        <v>8319</v>
      </c>
      <c r="R733" t="s">
        <v>8320</v>
      </c>
      <c r="S733" s="17">
        <f t="shared" si="50"/>
        <v>40879.795682870368</v>
      </c>
      <c r="T733" s="17">
        <f t="shared" si="51"/>
        <v>40930.25</v>
      </c>
      <c r="U733">
        <f>MONTH(Table1[[#This Row],[Launched]])</f>
        <v>12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8218</v>
      </c>
      <c r="G734" t="s">
        <v>8224</v>
      </c>
      <c r="H734" t="s">
        <v>8246</v>
      </c>
      <c r="I734" s="8">
        <v>1380449461</v>
      </c>
      <c r="J734">
        <v>1375265461</v>
      </c>
      <c r="K734" t="b">
        <v>0</v>
      </c>
      <c r="L734" s="10">
        <v>13</v>
      </c>
      <c r="M734" t="b">
        <v>1</v>
      </c>
      <c r="N734" t="s">
        <v>8272</v>
      </c>
      <c r="O734" s="11">
        <f t="shared" si="48"/>
        <v>160</v>
      </c>
      <c r="P734" s="12">
        <f t="shared" si="49"/>
        <v>5</v>
      </c>
      <c r="Q734" s="14" t="s">
        <v>8319</v>
      </c>
      <c r="R734" t="s">
        <v>8320</v>
      </c>
      <c r="S734" s="17">
        <f t="shared" si="50"/>
        <v>41486.424317129626</v>
      </c>
      <c r="T734" s="17">
        <f t="shared" si="51"/>
        <v>41546.424317129626</v>
      </c>
      <c r="U734">
        <f>MONTH(Table1[[#This Row],[Launched]])</f>
        <v>7</v>
      </c>
    </row>
    <row r="735" spans="1:21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8218</v>
      </c>
      <c r="G735" t="s">
        <v>8224</v>
      </c>
      <c r="H735" t="s">
        <v>8246</v>
      </c>
      <c r="I735" s="8">
        <v>1387533892</v>
      </c>
      <c r="J735">
        <v>1384941892</v>
      </c>
      <c r="K735" t="b">
        <v>0</v>
      </c>
      <c r="L735" s="10">
        <v>169</v>
      </c>
      <c r="M735" t="b">
        <v>1</v>
      </c>
      <c r="N735" t="s">
        <v>8272</v>
      </c>
      <c r="O735" s="11">
        <f t="shared" si="48"/>
        <v>120</v>
      </c>
      <c r="P735" s="12">
        <f t="shared" si="49"/>
        <v>18</v>
      </c>
      <c r="Q735" s="14" t="s">
        <v>8319</v>
      </c>
      <c r="R735" t="s">
        <v>8320</v>
      </c>
      <c r="S735" s="17">
        <f t="shared" si="50"/>
        <v>41598.420046296298</v>
      </c>
      <c r="T735" s="17">
        <f t="shared" si="51"/>
        <v>41628.420046296298</v>
      </c>
      <c r="U735">
        <f>MONTH(Table1[[#This Row],[Launched]])</f>
        <v>11</v>
      </c>
    </row>
    <row r="736" spans="1:21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8218</v>
      </c>
      <c r="G736" t="s">
        <v>8228</v>
      </c>
      <c r="H736" t="s">
        <v>8250</v>
      </c>
      <c r="I736" s="8">
        <v>1431147600</v>
      </c>
      <c r="J736">
        <v>1428465420</v>
      </c>
      <c r="K736" t="b">
        <v>0</v>
      </c>
      <c r="L736" s="10">
        <v>57</v>
      </c>
      <c r="M736" t="b">
        <v>1</v>
      </c>
      <c r="N736" t="s">
        <v>8272</v>
      </c>
      <c r="O736" s="11">
        <f t="shared" si="48"/>
        <v>126</v>
      </c>
      <c r="P736" s="12">
        <f t="shared" si="49"/>
        <v>187</v>
      </c>
      <c r="Q736" s="14" t="s">
        <v>8319</v>
      </c>
      <c r="R736" t="s">
        <v>8320</v>
      </c>
      <c r="S736" s="17">
        <f t="shared" si="50"/>
        <v>42102.164583333331</v>
      </c>
      <c r="T736" s="17">
        <f t="shared" si="51"/>
        <v>42133.208333333328</v>
      </c>
      <c r="U736">
        <f>MONTH(Table1[[#This Row],[Launched]])</f>
        <v>4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8218</v>
      </c>
      <c r="G737" t="s">
        <v>8223</v>
      </c>
      <c r="H737" t="s">
        <v>8245</v>
      </c>
      <c r="I737" s="8">
        <v>1417653540</v>
      </c>
      <c r="J737">
        <v>1414975346</v>
      </c>
      <c r="K737" t="b">
        <v>0</v>
      </c>
      <c r="L737" s="10">
        <v>229</v>
      </c>
      <c r="M737" t="b">
        <v>1</v>
      </c>
      <c r="N737" t="s">
        <v>8272</v>
      </c>
      <c r="O737" s="11">
        <f t="shared" si="48"/>
        <v>114</v>
      </c>
      <c r="P737" s="12">
        <f t="shared" si="49"/>
        <v>235</v>
      </c>
      <c r="Q737" s="14" t="s">
        <v>8319</v>
      </c>
      <c r="R737" t="s">
        <v>8320</v>
      </c>
      <c r="S737" s="17">
        <f t="shared" si="50"/>
        <v>41946.029467592591</v>
      </c>
      <c r="T737" s="17">
        <f t="shared" si="51"/>
        <v>41977.027083333334</v>
      </c>
      <c r="U737">
        <f>MONTH(Table1[[#This Row],[Launched]])</f>
        <v>11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8218</v>
      </c>
      <c r="G738" t="s">
        <v>8223</v>
      </c>
      <c r="H738" t="s">
        <v>8245</v>
      </c>
      <c r="I738" s="8">
        <v>1385009940</v>
      </c>
      <c r="J738">
        <v>1383327440</v>
      </c>
      <c r="K738" t="b">
        <v>0</v>
      </c>
      <c r="L738" s="10">
        <v>108</v>
      </c>
      <c r="M738" t="b">
        <v>1</v>
      </c>
      <c r="N738" t="s">
        <v>8272</v>
      </c>
      <c r="O738" s="11">
        <f t="shared" si="48"/>
        <v>315</v>
      </c>
      <c r="P738" s="12">
        <f t="shared" si="49"/>
        <v>105</v>
      </c>
      <c r="Q738" s="14" t="s">
        <v>8319</v>
      </c>
      <c r="R738" t="s">
        <v>8320</v>
      </c>
      <c r="S738" s="17">
        <f t="shared" si="50"/>
        <v>41579.734259259261</v>
      </c>
      <c r="T738" s="17">
        <f t="shared" si="51"/>
        <v>41599.207638888889</v>
      </c>
      <c r="U738">
        <f>MONTH(Table1[[#This Row],[Launched]])</f>
        <v>11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8218</v>
      </c>
      <c r="G739" t="s">
        <v>8223</v>
      </c>
      <c r="H739" t="s">
        <v>8245</v>
      </c>
      <c r="I739" s="8">
        <v>1392408000</v>
      </c>
      <c r="J739">
        <v>1390890987</v>
      </c>
      <c r="K739" t="b">
        <v>0</v>
      </c>
      <c r="L739" s="10">
        <v>108</v>
      </c>
      <c r="M739" t="b">
        <v>1</v>
      </c>
      <c r="N739" t="s">
        <v>8272</v>
      </c>
      <c r="O739" s="11">
        <f t="shared" si="48"/>
        <v>122</v>
      </c>
      <c r="P739" s="12">
        <f t="shared" si="49"/>
        <v>57</v>
      </c>
      <c r="Q739" s="14" t="s">
        <v>8319</v>
      </c>
      <c r="R739" t="s">
        <v>8320</v>
      </c>
      <c r="S739" s="17">
        <f t="shared" si="50"/>
        <v>41667.275312500002</v>
      </c>
      <c r="T739" s="17">
        <f t="shared" si="51"/>
        <v>41684.833333333336</v>
      </c>
      <c r="U739">
        <f>MONTH(Table1[[#This Row],[Launched]])</f>
        <v>1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8218</v>
      </c>
      <c r="G740" t="s">
        <v>8223</v>
      </c>
      <c r="H740" t="s">
        <v>8245</v>
      </c>
      <c r="I740" s="8">
        <v>1417409940</v>
      </c>
      <c r="J740">
        <v>1414765794</v>
      </c>
      <c r="K740" t="b">
        <v>0</v>
      </c>
      <c r="L740" s="10">
        <v>41</v>
      </c>
      <c r="M740" t="b">
        <v>1</v>
      </c>
      <c r="N740" t="s">
        <v>8272</v>
      </c>
      <c r="O740" s="11">
        <f t="shared" si="48"/>
        <v>107</v>
      </c>
      <c r="P740" s="12">
        <f t="shared" si="49"/>
        <v>39</v>
      </c>
      <c r="Q740" s="14" t="s">
        <v>8319</v>
      </c>
      <c r="R740" t="s">
        <v>8320</v>
      </c>
      <c r="S740" s="17">
        <f t="shared" si="50"/>
        <v>41943.604097222218</v>
      </c>
      <c r="T740" s="17">
        <f t="shared" si="51"/>
        <v>41974.207638888889</v>
      </c>
      <c r="U740">
        <f>MONTH(Table1[[#This Row],[Launched]])</f>
        <v>10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8218</v>
      </c>
      <c r="G741" t="s">
        <v>8223</v>
      </c>
      <c r="H741" t="s">
        <v>8245</v>
      </c>
      <c r="I741" s="8">
        <v>1407758629</v>
      </c>
      <c r="J741">
        <v>1404907429</v>
      </c>
      <c r="K741" t="b">
        <v>0</v>
      </c>
      <c r="L741" s="10">
        <v>139</v>
      </c>
      <c r="M741" t="b">
        <v>1</v>
      </c>
      <c r="N741" t="s">
        <v>8272</v>
      </c>
      <c r="O741" s="11">
        <f t="shared" si="48"/>
        <v>158</v>
      </c>
      <c r="P741" s="12">
        <f t="shared" si="49"/>
        <v>68</v>
      </c>
      <c r="Q741" s="14" t="s">
        <v>8319</v>
      </c>
      <c r="R741" t="s">
        <v>8320</v>
      </c>
      <c r="S741" s="17">
        <f t="shared" si="50"/>
        <v>41829.502650462964</v>
      </c>
      <c r="T741" s="17">
        <f t="shared" si="51"/>
        <v>41862.502650462964</v>
      </c>
      <c r="U741">
        <f>MONTH(Table1[[#This Row],[Launched]])</f>
        <v>7</v>
      </c>
    </row>
    <row r="742" spans="1:21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8218</v>
      </c>
      <c r="G742" t="s">
        <v>8223</v>
      </c>
      <c r="H742" t="s">
        <v>8245</v>
      </c>
      <c r="I742" s="8">
        <v>1434857482</v>
      </c>
      <c r="J742">
        <v>1433647882</v>
      </c>
      <c r="K742" t="b">
        <v>0</v>
      </c>
      <c r="L742" s="10">
        <v>19</v>
      </c>
      <c r="M742" t="b">
        <v>1</v>
      </c>
      <c r="N742" t="s">
        <v>8272</v>
      </c>
      <c r="O742" s="11">
        <f t="shared" si="48"/>
        <v>107</v>
      </c>
      <c r="P742" s="12">
        <f t="shared" si="49"/>
        <v>170</v>
      </c>
      <c r="Q742" s="14" t="s">
        <v>8319</v>
      </c>
      <c r="R742" t="s">
        <v>8320</v>
      </c>
      <c r="S742" s="17">
        <f t="shared" si="50"/>
        <v>42162.146782407406</v>
      </c>
      <c r="T742" s="17">
        <f t="shared" si="51"/>
        <v>42176.146782407406</v>
      </c>
      <c r="U742">
        <f>MONTH(Table1[[#This Row],[Launched]])</f>
        <v>6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8218</v>
      </c>
      <c r="G743" t="s">
        <v>8223</v>
      </c>
      <c r="H743" t="s">
        <v>8245</v>
      </c>
      <c r="I743" s="8">
        <v>1370964806</v>
      </c>
      <c r="J743">
        <v>1367940806</v>
      </c>
      <c r="K743" t="b">
        <v>0</v>
      </c>
      <c r="L743" s="10">
        <v>94</v>
      </c>
      <c r="M743" t="b">
        <v>1</v>
      </c>
      <c r="N743" t="s">
        <v>8272</v>
      </c>
      <c r="O743" s="11">
        <f t="shared" si="48"/>
        <v>102</v>
      </c>
      <c r="P743" s="12">
        <f t="shared" si="49"/>
        <v>141</v>
      </c>
      <c r="Q743" s="14" t="s">
        <v>8319</v>
      </c>
      <c r="R743" t="s">
        <v>8320</v>
      </c>
      <c r="S743" s="17">
        <f t="shared" si="50"/>
        <v>41401.648217592592</v>
      </c>
      <c r="T743" s="17">
        <f t="shared" si="51"/>
        <v>41436.648217592592</v>
      </c>
      <c r="U743">
        <f>MONTH(Table1[[#This Row],[Launched]])</f>
        <v>5</v>
      </c>
    </row>
    <row r="744" spans="1:21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8218</v>
      </c>
      <c r="G744" t="s">
        <v>8223</v>
      </c>
      <c r="H744" t="s">
        <v>8245</v>
      </c>
      <c r="I744" s="8">
        <v>1395435712</v>
      </c>
      <c r="J744">
        <v>1392847312</v>
      </c>
      <c r="K744" t="b">
        <v>0</v>
      </c>
      <c r="L744" s="10">
        <v>23</v>
      </c>
      <c r="M744" t="b">
        <v>1</v>
      </c>
      <c r="N744" t="s">
        <v>8272</v>
      </c>
      <c r="O744" s="11">
        <f t="shared" si="48"/>
        <v>111</v>
      </c>
      <c r="P744" s="12">
        <f t="shared" si="49"/>
        <v>67</v>
      </c>
      <c r="Q744" s="14" t="s">
        <v>8319</v>
      </c>
      <c r="R744" t="s">
        <v>8320</v>
      </c>
      <c r="S744" s="17">
        <f t="shared" si="50"/>
        <v>41689.917962962965</v>
      </c>
      <c r="T744" s="17">
        <f t="shared" si="51"/>
        <v>41719.876296296294</v>
      </c>
      <c r="U744">
        <f>MONTH(Table1[[#This Row],[Launched]])</f>
        <v>2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8218</v>
      </c>
      <c r="G745" t="s">
        <v>8223</v>
      </c>
      <c r="H745" t="s">
        <v>8245</v>
      </c>
      <c r="I745" s="8">
        <v>1334610000</v>
      </c>
      <c r="J745">
        <v>1332435685</v>
      </c>
      <c r="K745" t="b">
        <v>0</v>
      </c>
      <c r="L745" s="10">
        <v>15</v>
      </c>
      <c r="M745" t="b">
        <v>1</v>
      </c>
      <c r="N745" t="s">
        <v>8272</v>
      </c>
      <c r="O745" s="11">
        <f t="shared" si="48"/>
        <v>148</v>
      </c>
      <c r="P745" s="12">
        <f t="shared" si="49"/>
        <v>54</v>
      </c>
      <c r="Q745" s="14" t="s">
        <v>8319</v>
      </c>
      <c r="R745" t="s">
        <v>8320</v>
      </c>
      <c r="S745" s="17">
        <f t="shared" si="50"/>
        <v>40990.709317129629</v>
      </c>
      <c r="T745" s="17">
        <f t="shared" si="51"/>
        <v>41015.875</v>
      </c>
      <c r="U745">
        <f>MONTH(Table1[[#This Row],[Launched]])</f>
        <v>3</v>
      </c>
    </row>
    <row r="746" spans="1:21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8218</v>
      </c>
      <c r="G746" t="s">
        <v>8223</v>
      </c>
      <c r="H746" t="s">
        <v>8245</v>
      </c>
      <c r="I746" s="8">
        <v>1355439503</v>
      </c>
      <c r="J746">
        <v>1352847503</v>
      </c>
      <c r="K746" t="b">
        <v>0</v>
      </c>
      <c r="L746" s="10">
        <v>62</v>
      </c>
      <c r="M746" t="b">
        <v>1</v>
      </c>
      <c r="N746" t="s">
        <v>8272</v>
      </c>
      <c r="O746" s="11">
        <f t="shared" si="48"/>
        <v>102</v>
      </c>
      <c r="P746" s="12">
        <f t="shared" si="49"/>
        <v>83</v>
      </c>
      <c r="Q746" s="14" t="s">
        <v>8319</v>
      </c>
      <c r="R746" t="s">
        <v>8320</v>
      </c>
      <c r="S746" s="17">
        <f t="shared" si="50"/>
        <v>41226.95721064815</v>
      </c>
      <c r="T746" s="17">
        <f t="shared" si="51"/>
        <v>41256.95721064815</v>
      </c>
      <c r="U746">
        <f>MONTH(Table1[[#This Row],[Launched]])</f>
        <v>11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8218</v>
      </c>
      <c r="G747" t="s">
        <v>8223</v>
      </c>
      <c r="H747" t="s">
        <v>8245</v>
      </c>
      <c r="I747" s="8">
        <v>1367588645</v>
      </c>
      <c r="J747">
        <v>1364996645</v>
      </c>
      <c r="K747" t="b">
        <v>0</v>
      </c>
      <c r="L747" s="10">
        <v>74</v>
      </c>
      <c r="M747" t="b">
        <v>1</v>
      </c>
      <c r="N747" t="s">
        <v>8272</v>
      </c>
      <c r="O747" s="11">
        <f t="shared" si="48"/>
        <v>179</v>
      </c>
      <c r="P747" s="12">
        <f t="shared" si="49"/>
        <v>54</v>
      </c>
      <c r="Q747" s="14" t="s">
        <v>8319</v>
      </c>
      <c r="R747" t="s">
        <v>8320</v>
      </c>
      <c r="S747" s="17">
        <f t="shared" si="50"/>
        <v>41367.572280092594</v>
      </c>
      <c r="T747" s="17">
        <f t="shared" si="51"/>
        <v>41397.572280092594</v>
      </c>
      <c r="U747">
        <f>MONTH(Table1[[#This Row],[Launched]])</f>
        <v>4</v>
      </c>
    </row>
    <row r="748" spans="1:21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8218</v>
      </c>
      <c r="G748" t="s">
        <v>8223</v>
      </c>
      <c r="H748" t="s">
        <v>8245</v>
      </c>
      <c r="I748" s="8">
        <v>1348372740</v>
      </c>
      <c r="J748">
        <v>1346806909</v>
      </c>
      <c r="K748" t="b">
        <v>0</v>
      </c>
      <c r="L748" s="10">
        <v>97</v>
      </c>
      <c r="M748" t="b">
        <v>1</v>
      </c>
      <c r="N748" t="s">
        <v>8272</v>
      </c>
      <c r="O748" s="11">
        <f t="shared" si="48"/>
        <v>111</v>
      </c>
      <c r="P748" s="12">
        <f t="shared" si="49"/>
        <v>34</v>
      </c>
      <c r="Q748" s="14" t="s">
        <v>8319</v>
      </c>
      <c r="R748" t="s">
        <v>8320</v>
      </c>
      <c r="S748" s="17">
        <f t="shared" si="50"/>
        <v>41157.042928240742</v>
      </c>
      <c r="T748" s="17">
        <f t="shared" si="51"/>
        <v>41175.165972222225</v>
      </c>
      <c r="U748">
        <f>MONTH(Table1[[#This Row],[Launched]])</f>
        <v>9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8218</v>
      </c>
      <c r="G749" t="s">
        <v>8232</v>
      </c>
      <c r="H749" t="s">
        <v>8248</v>
      </c>
      <c r="I749" s="8">
        <v>1421319240</v>
      </c>
      <c r="J749">
        <v>1418649019</v>
      </c>
      <c r="K749" t="b">
        <v>0</v>
      </c>
      <c r="L749" s="10">
        <v>55</v>
      </c>
      <c r="M749" t="b">
        <v>1</v>
      </c>
      <c r="N749" t="s">
        <v>8272</v>
      </c>
      <c r="O749" s="11">
        <f t="shared" si="48"/>
        <v>100</v>
      </c>
      <c r="P749" s="12">
        <f t="shared" si="49"/>
        <v>127</v>
      </c>
      <c r="Q749" s="14" t="s">
        <v>8319</v>
      </c>
      <c r="R749" t="s">
        <v>8320</v>
      </c>
      <c r="S749" s="17">
        <f t="shared" si="50"/>
        <v>41988.548831018517</v>
      </c>
      <c r="T749" s="17">
        <f t="shared" si="51"/>
        <v>42019.454166666663</v>
      </c>
      <c r="U749">
        <f>MONTH(Table1[[#This Row],[Launched]])</f>
        <v>12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8218</v>
      </c>
      <c r="G750" t="s">
        <v>8223</v>
      </c>
      <c r="H750" t="s">
        <v>8245</v>
      </c>
      <c r="I750" s="8">
        <v>1407701966</v>
      </c>
      <c r="J750">
        <v>1405109966</v>
      </c>
      <c r="K750" t="b">
        <v>0</v>
      </c>
      <c r="L750" s="10">
        <v>44</v>
      </c>
      <c r="M750" t="b">
        <v>1</v>
      </c>
      <c r="N750" t="s">
        <v>8272</v>
      </c>
      <c r="O750" s="11">
        <f t="shared" si="48"/>
        <v>100</v>
      </c>
      <c r="P750" s="12">
        <f t="shared" si="49"/>
        <v>46</v>
      </c>
      <c r="Q750" s="14" t="s">
        <v>8319</v>
      </c>
      <c r="R750" t="s">
        <v>8320</v>
      </c>
      <c r="S750" s="17">
        <f t="shared" si="50"/>
        <v>41831.846828703703</v>
      </c>
      <c r="T750" s="17">
        <f t="shared" si="51"/>
        <v>41861.846828703703</v>
      </c>
      <c r="U750">
        <f>MONTH(Table1[[#This Row],[Launched]])</f>
        <v>7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8218</v>
      </c>
      <c r="G751" t="s">
        <v>8223</v>
      </c>
      <c r="H751" t="s">
        <v>8245</v>
      </c>
      <c r="I751" s="8">
        <v>1485642930</v>
      </c>
      <c r="J751">
        <v>1483050930</v>
      </c>
      <c r="K751" t="b">
        <v>0</v>
      </c>
      <c r="L751" s="10">
        <v>110</v>
      </c>
      <c r="M751" t="b">
        <v>1</v>
      </c>
      <c r="N751" t="s">
        <v>8272</v>
      </c>
      <c r="O751" s="11">
        <f t="shared" si="48"/>
        <v>106</v>
      </c>
      <c r="P751" s="12">
        <f t="shared" si="49"/>
        <v>96</v>
      </c>
      <c r="Q751" s="14" t="s">
        <v>8319</v>
      </c>
      <c r="R751" t="s">
        <v>8320</v>
      </c>
      <c r="S751" s="17">
        <f t="shared" si="50"/>
        <v>42733.94131944445</v>
      </c>
      <c r="T751" s="17">
        <f t="shared" si="51"/>
        <v>42763.94131944445</v>
      </c>
      <c r="U751">
        <f>MONTH(Table1[[#This Row],[Launched]])</f>
        <v>12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8218</v>
      </c>
      <c r="G752" t="s">
        <v>8223</v>
      </c>
      <c r="H752" t="s">
        <v>8245</v>
      </c>
      <c r="I752" s="8">
        <v>1361739872</v>
      </c>
      <c r="J752">
        <v>1359147872</v>
      </c>
      <c r="K752" t="b">
        <v>0</v>
      </c>
      <c r="L752" s="10">
        <v>59</v>
      </c>
      <c r="M752" t="b">
        <v>1</v>
      </c>
      <c r="N752" t="s">
        <v>8272</v>
      </c>
      <c r="O752" s="11">
        <f t="shared" si="48"/>
        <v>103</v>
      </c>
      <c r="P752" s="12">
        <f t="shared" si="49"/>
        <v>77</v>
      </c>
      <c r="Q752" s="14" t="s">
        <v>8319</v>
      </c>
      <c r="R752" t="s">
        <v>8320</v>
      </c>
      <c r="S752" s="17">
        <f t="shared" si="50"/>
        <v>41299.878148148149</v>
      </c>
      <c r="T752" s="17">
        <f t="shared" si="51"/>
        <v>41329.878148148149</v>
      </c>
      <c r="U752">
        <f>MONTH(Table1[[#This Row],[Launched]])</f>
        <v>1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8218</v>
      </c>
      <c r="G753" t="s">
        <v>8223</v>
      </c>
      <c r="H753" t="s">
        <v>8245</v>
      </c>
      <c r="I753" s="8">
        <v>1312470475</v>
      </c>
      <c r="J753">
        <v>1308496075</v>
      </c>
      <c r="K753" t="b">
        <v>0</v>
      </c>
      <c r="L753" s="10">
        <v>62</v>
      </c>
      <c r="M753" t="b">
        <v>1</v>
      </c>
      <c r="N753" t="s">
        <v>8272</v>
      </c>
      <c r="O753" s="11">
        <f t="shared" si="48"/>
        <v>119</v>
      </c>
      <c r="P753" s="12">
        <f t="shared" si="49"/>
        <v>57</v>
      </c>
      <c r="Q753" s="14" t="s">
        <v>8319</v>
      </c>
      <c r="R753" t="s">
        <v>8320</v>
      </c>
      <c r="S753" s="17">
        <f t="shared" si="50"/>
        <v>40713.630497685182</v>
      </c>
      <c r="T753" s="17">
        <f t="shared" si="51"/>
        <v>40759.630497685182</v>
      </c>
      <c r="U753">
        <f>MONTH(Table1[[#This Row],[Launched]])</f>
        <v>6</v>
      </c>
    </row>
    <row r="754" spans="1:21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8218</v>
      </c>
      <c r="G754" t="s">
        <v>8225</v>
      </c>
      <c r="H754" t="s">
        <v>8247</v>
      </c>
      <c r="I754" s="8">
        <v>1476615600</v>
      </c>
      <c r="J754">
        <v>1474884417</v>
      </c>
      <c r="K754" t="b">
        <v>0</v>
      </c>
      <c r="L754" s="10">
        <v>105</v>
      </c>
      <c r="M754" t="b">
        <v>1</v>
      </c>
      <c r="N754" t="s">
        <v>8272</v>
      </c>
      <c r="O754" s="11">
        <f t="shared" si="48"/>
        <v>112</v>
      </c>
      <c r="P754" s="12">
        <f t="shared" si="49"/>
        <v>53</v>
      </c>
      <c r="Q754" s="14" t="s">
        <v>8319</v>
      </c>
      <c r="R754" t="s">
        <v>8320</v>
      </c>
      <c r="S754" s="17">
        <f t="shared" si="50"/>
        <v>42639.421493055561</v>
      </c>
      <c r="T754" s="17">
        <f t="shared" si="51"/>
        <v>42659.458333333328</v>
      </c>
      <c r="U754">
        <f>MONTH(Table1[[#This Row],[Launched]])</f>
        <v>9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8218</v>
      </c>
      <c r="G755" t="s">
        <v>8223</v>
      </c>
      <c r="H755" t="s">
        <v>8245</v>
      </c>
      <c r="I755" s="8">
        <v>1423922991</v>
      </c>
      <c r="J755">
        <v>1421330991</v>
      </c>
      <c r="K755" t="b">
        <v>0</v>
      </c>
      <c r="L755" s="10">
        <v>26</v>
      </c>
      <c r="M755" t="b">
        <v>1</v>
      </c>
      <c r="N755" t="s">
        <v>8272</v>
      </c>
      <c r="O755" s="11">
        <f t="shared" si="48"/>
        <v>128</v>
      </c>
      <c r="P755" s="12">
        <f t="shared" si="49"/>
        <v>492</v>
      </c>
      <c r="Q755" s="14" t="s">
        <v>8319</v>
      </c>
      <c r="R755" t="s">
        <v>8320</v>
      </c>
      <c r="S755" s="17">
        <f t="shared" si="50"/>
        <v>42019.590173611112</v>
      </c>
      <c r="T755" s="17">
        <f t="shared" si="51"/>
        <v>42049.590173611112</v>
      </c>
      <c r="U755">
        <f>MONTH(Table1[[#This Row],[Launched]])</f>
        <v>1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8218</v>
      </c>
      <c r="G756" t="s">
        <v>8223</v>
      </c>
      <c r="H756" t="s">
        <v>8245</v>
      </c>
      <c r="I756" s="8">
        <v>1357408721</v>
      </c>
      <c r="J756">
        <v>1354816721</v>
      </c>
      <c r="K756" t="b">
        <v>0</v>
      </c>
      <c r="L756" s="10">
        <v>49</v>
      </c>
      <c r="M756" t="b">
        <v>1</v>
      </c>
      <c r="N756" t="s">
        <v>8272</v>
      </c>
      <c r="O756" s="11">
        <f t="shared" si="48"/>
        <v>104</v>
      </c>
      <c r="P756" s="12">
        <f t="shared" si="49"/>
        <v>42</v>
      </c>
      <c r="Q756" s="14" t="s">
        <v>8319</v>
      </c>
      <c r="R756" t="s">
        <v>8320</v>
      </c>
      <c r="S756" s="17">
        <f t="shared" si="50"/>
        <v>41249.749085648145</v>
      </c>
      <c r="T756" s="17">
        <f t="shared" si="51"/>
        <v>41279.749085648145</v>
      </c>
      <c r="U756">
        <f>MONTH(Table1[[#This Row],[Launched]])</f>
        <v>12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8218</v>
      </c>
      <c r="G757" t="s">
        <v>8223</v>
      </c>
      <c r="H757" t="s">
        <v>8245</v>
      </c>
      <c r="I757" s="8">
        <v>1369010460</v>
      </c>
      <c r="J757">
        <v>1366381877</v>
      </c>
      <c r="K757" t="b">
        <v>0</v>
      </c>
      <c r="L757" s="10">
        <v>68</v>
      </c>
      <c r="M757" t="b">
        <v>1</v>
      </c>
      <c r="N757" t="s">
        <v>8272</v>
      </c>
      <c r="O757" s="11">
        <f t="shared" si="48"/>
        <v>102</v>
      </c>
      <c r="P757" s="12">
        <f t="shared" si="49"/>
        <v>37</v>
      </c>
      <c r="Q757" s="14" t="s">
        <v>8319</v>
      </c>
      <c r="R757" t="s">
        <v>8320</v>
      </c>
      <c r="S757" s="17">
        <f t="shared" si="50"/>
        <v>41383.605057870373</v>
      </c>
      <c r="T757" s="17">
        <f t="shared" si="51"/>
        <v>41414.02847222222</v>
      </c>
      <c r="U757">
        <f>MONTH(Table1[[#This Row],[Launched]])</f>
        <v>4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8218</v>
      </c>
      <c r="G758" t="s">
        <v>8223</v>
      </c>
      <c r="H758" t="s">
        <v>8245</v>
      </c>
      <c r="I758" s="8">
        <v>1303147459</v>
      </c>
      <c r="J758">
        <v>1297880659</v>
      </c>
      <c r="K758" t="b">
        <v>0</v>
      </c>
      <c r="L758" s="10">
        <v>22</v>
      </c>
      <c r="M758" t="b">
        <v>1</v>
      </c>
      <c r="N758" t="s">
        <v>8272</v>
      </c>
      <c r="O758" s="11">
        <f t="shared" si="48"/>
        <v>118</v>
      </c>
      <c r="P758" s="12">
        <f t="shared" si="49"/>
        <v>37</v>
      </c>
      <c r="Q758" s="14" t="s">
        <v>8319</v>
      </c>
      <c r="R758" t="s">
        <v>8320</v>
      </c>
      <c r="S758" s="17">
        <f t="shared" si="50"/>
        <v>40590.766886574071</v>
      </c>
      <c r="T758" s="17">
        <f t="shared" si="51"/>
        <v>40651.725219907406</v>
      </c>
      <c r="U758">
        <f>MONTH(Table1[[#This Row],[Launched]])</f>
        <v>2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8218</v>
      </c>
      <c r="G759" t="s">
        <v>8223</v>
      </c>
      <c r="H759" t="s">
        <v>8245</v>
      </c>
      <c r="I759" s="8">
        <v>1354756714</v>
      </c>
      <c r="J759">
        <v>1353547114</v>
      </c>
      <c r="K759" t="b">
        <v>0</v>
      </c>
      <c r="L759" s="10">
        <v>18</v>
      </c>
      <c r="M759" t="b">
        <v>1</v>
      </c>
      <c r="N759" t="s">
        <v>8272</v>
      </c>
      <c r="O759" s="11">
        <f t="shared" si="48"/>
        <v>238</v>
      </c>
      <c r="P759" s="12">
        <f t="shared" si="49"/>
        <v>33</v>
      </c>
      <c r="Q759" s="14" t="s">
        <v>8319</v>
      </c>
      <c r="R759" t="s">
        <v>8320</v>
      </c>
      <c r="S759" s="17">
        <f t="shared" si="50"/>
        <v>41235.054560185185</v>
      </c>
      <c r="T759" s="17">
        <f t="shared" si="51"/>
        <v>41249.054560185185</v>
      </c>
      <c r="U759">
        <f>MONTH(Table1[[#This Row],[Launched]])</f>
        <v>11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8218</v>
      </c>
      <c r="G760" t="s">
        <v>8223</v>
      </c>
      <c r="H760" t="s">
        <v>8245</v>
      </c>
      <c r="I760" s="8">
        <v>1286568268</v>
      </c>
      <c r="J760">
        <v>1283976268</v>
      </c>
      <c r="K760" t="b">
        <v>0</v>
      </c>
      <c r="L760" s="10">
        <v>19</v>
      </c>
      <c r="M760" t="b">
        <v>1</v>
      </c>
      <c r="N760" t="s">
        <v>8272</v>
      </c>
      <c r="O760" s="11">
        <f t="shared" si="48"/>
        <v>102</v>
      </c>
      <c r="P760" s="12">
        <f t="shared" si="49"/>
        <v>134</v>
      </c>
      <c r="Q760" s="14" t="s">
        <v>8319</v>
      </c>
      <c r="R760" t="s">
        <v>8320</v>
      </c>
      <c r="S760" s="17">
        <f t="shared" si="50"/>
        <v>40429.836435185185</v>
      </c>
      <c r="T760" s="17">
        <f t="shared" si="51"/>
        <v>40459.836435185185</v>
      </c>
      <c r="U760">
        <f>MONTH(Table1[[#This Row],[Launched]])</f>
        <v>9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8218</v>
      </c>
      <c r="G761" t="s">
        <v>8224</v>
      </c>
      <c r="H761" t="s">
        <v>8246</v>
      </c>
      <c r="I761" s="8">
        <v>1404892539</v>
      </c>
      <c r="J761">
        <v>1401436539</v>
      </c>
      <c r="K761" t="b">
        <v>0</v>
      </c>
      <c r="L761" s="10">
        <v>99</v>
      </c>
      <c r="M761" t="b">
        <v>1</v>
      </c>
      <c r="N761" t="s">
        <v>8272</v>
      </c>
      <c r="O761" s="11">
        <f t="shared" si="48"/>
        <v>102</v>
      </c>
      <c r="P761" s="12">
        <f t="shared" si="49"/>
        <v>51</v>
      </c>
      <c r="Q761" s="14" t="s">
        <v>8319</v>
      </c>
      <c r="R761" t="s">
        <v>8320</v>
      </c>
      <c r="S761" s="17">
        <f t="shared" si="50"/>
        <v>41789.330312500002</v>
      </c>
      <c r="T761" s="17">
        <f t="shared" si="51"/>
        <v>41829.330312500002</v>
      </c>
      <c r="U761">
        <f>MONTH(Table1[[#This Row],[Launched]])</f>
        <v>5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8220</v>
      </c>
      <c r="G762" t="s">
        <v>8223</v>
      </c>
      <c r="H762" t="s">
        <v>8245</v>
      </c>
      <c r="I762" s="8">
        <v>1480188013</v>
      </c>
      <c r="J762">
        <v>1477592413</v>
      </c>
      <c r="K762" t="b">
        <v>0</v>
      </c>
      <c r="L762" s="10">
        <v>0</v>
      </c>
      <c r="M762" t="b">
        <v>0</v>
      </c>
      <c r="N762" t="s">
        <v>8273</v>
      </c>
      <c r="O762" s="11">
        <f t="shared" si="48"/>
        <v>0</v>
      </c>
      <c r="P762" s="12" t="str">
        <f t="shared" si="49"/>
        <v>No Backers</v>
      </c>
      <c r="Q762" s="14" t="s">
        <v>8319</v>
      </c>
      <c r="R762" t="s">
        <v>8321</v>
      </c>
      <c r="S762" s="17">
        <f t="shared" si="50"/>
        <v>42670.764039351852</v>
      </c>
      <c r="T762" s="17">
        <f t="shared" si="51"/>
        <v>42700.805706018517</v>
      </c>
      <c r="U762">
        <f>MONTH(Table1[[#This Row],[Launched]])</f>
        <v>10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8220</v>
      </c>
      <c r="G763" t="s">
        <v>8223</v>
      </c>
      <c r="H763" t="s">
        <v>8245</v>
      </c>
      <c r="I763" s="8">
        <v>1391364126</v>
      </c>
      <c r="J763">
        <v>1388772126</v>
      </c>
      <c r="K763" t="b">
        <v>0</v>
      </c>
      <c r="L763" s="10">
        <v>6</v>
      </c>
      <c r="M763" t="b">
        <v>0</v>
      </c>
      <c r="N763" t="s">
        <v>8273</v>
      </c>
      <c r="O763" s="11">
        <f t="shared" si="48"/>
        <v>5</v>
      </c>
      <c r="P763" s="12">
        <f t="shared" si="49"/>
        <v>39</v>
      </c>
      <c r="Q763" s="14" t="s">
        <v>8319</v>
      </c>
      <c r="R763" t="s">
        <v>8321</v>
      </c>
      <c r="S763" s="17">
        <f t="shared" si="50"/>
        <v>41642.751458333332</v>
      </c>
      <c r="T763" s="17">
        <f t="shared" si="51"/>
        <v>41672.751458333332</v>
      </c>
      <c r="U763">
        <f>MONTH(Table1[[#This Row],[Launched]])</f>
        <v>1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8220</v>
      </c>
      <c r="G764" t="s">
        <v>8237</v>
      </c>
      <c r="H764" t="s">
        <v>8255</v>
      </c>
      <c r="I764" s="8">
        <v>1480831200</v>
      </c>
      <c r="J764">
        <v>1479328570</v>
      </c>
      <c r="K764" t="b">
        <v>0</v>
      </c>
      <c r="L764" s="10">
        <v>0</v>
      </c>
      <c r="M764" t="b">
        <v>0</v>
      </c>
      <c r="N764" t="s">
        <v>8273</v>
      </c>
      <c r="O764" s="11">
        <f t="shared" si="48"/>
        <v>0</v>
      </c>
      <c r="P764" s="12" t="str">
        <f t="shared" si="49"/>
        <v>No Backers</v>
      </c>
      <c r="Q764" s="14" t="s">
        <v>8319</v>
      </c>
      <c r="R764" t="s">
        <v>8321</v>
      </c>
      <c r="S764" s="17">
        <f t="shared" si="50"/>
        <v>42690.858449074076</v>
      </c>
      <c r="T764" s="17">
        <f t="shared" si="51"/>
        <v>42708.25</v>
      </c>
      <c r="U764">
        <f>MONTH(Table1[[#This Row],[Launched]])</f>
        <v>11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8220</v>
      </c>
      <c r="G765" t="s">
        <v>8224</v>
      </c>
      <c r="H765" t="s">
        <v>8246</v>
      </c>
      <c r="I765" s="8">
        <v>1376563408</v>
      </c>
      <c r="J765">
        <v>1373971408</v>
      </c>
      <c r="K765" t="b">
        <v>0</v>
      </c>
      <c r="L765" s="10">
        <v>1</v>
      </c>
      <c r="M765" t="b">
        <v>0</v>
      </c>
      <c r="N765" t="s">
        <v>8273</v>
      </c>
      <c r="O765" s="11">
        <f t="shared" si="48"/>
        <v>0</v>
      </c>
      <c r="P765" s="12">
        <f t="shared" si="49"/>
        <v>5</v>
      </c>
      <c r="Q765" s="14" t="s">
        <v>8319</v>
      </c>
      <c r="R765" t="s">
        <v>8321</v>
      </c>
      <c r="S765" s="17">
        <f t="shared" si="50"/>
        <v>41471.446851851848</v>
      </c>
      <c r="T765" s="17">
        <f t="shared" si="51"/>
        <v>41501.446851851848</v>
      </c>
      <c r="U765">
        <f>MONTH(Table1[[#This Row],[Launched]])</f>
        <v>7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8220</v>
      </c>
      <c r="G766" t="s">
        <v>8223</v>
      </c>
      <c r="H766" t="s">
        <v>8245</v>
      </c>
      <c r="I766" s="8">
        <v>1441858161</v>
      </c>
      <c r="J766">
        <v>1439266161</v>
      </c>
      <c r="K766" t="b">
        <v>0</v>
      </c>
      <c r="L766" s="10">
        <v>0</v>
      </c>
      <c r="M766" t="b">
        <v>0</v>
      </c>
      <c r="N766" t="s">
        <v>8273</v>
      </c>
      <c r="O766" s="11">
        <f t="shared" si="48"/>
        <v>0</v>
      </c>
      <c r="P766" s="12" t="str">
        <f t="shared" si="49"/>
        <v>No Backers</v>
      </c>
      <c r="Q766" s="14" t="s">
        <v>8319</v>
      </c>
      <c r="R766" t="s">
        <v>8321</v>
      </c>
      <c r="S766" s="17">
        <f t="shared" si="50"/>
        <v>42227.173159722224</v>
      </c>
      <c r="T766" s="17">
        <f t="shared" si="51"/>
        <v>42257.173159722224</v>
      </c>
      <c r="U766">
        <f>MONTH(Table1[[#This Row],[Launched]])</f>
        <v>8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8220</v>
      </c>
      <c r="G767" t="s">
        <v>8223</v>
      </c>
      <c r="H767" t="s">
        <v>8245</v>
      </c>
      <c r="I767" s="8">
        <v>1413723684</v>
      </c>
      <c r="J767">
        <v>1411131684</v>
      </c>
      <c r="K767" t="b">
        <v>0</v>
      </c>
      <c r="L767" s="10">
        <v>44</v>
      </c>
      <c r="M767" t="b">
        <v>0</v>
      </c>
      <c r="N767" t="s">
        <v>8273</v>
      </c>
      <c r="O767" s="11">
        <f t="shared" si="48"/>
        <v>36</v>
      </c>
      <c r="P767" s="12">
        <f t="shared" si="49"/>
        <v>57</v>
      </c>
      <c r="Q767" s="14" t="s">
        <v>8319</v>
      </c>
      <c r="R767" t="s">
        <v>8321</v>
      </c>
      <c r="S767" s="17">
        <f t="shared" si="50"/>
        <v>41901.542638888888</v>
      </c>
      <c r="T767" s="17">
        <f t="shared" si="51"/>
        <v>41931.542638888888</v>
      </c>
      <c r="U767">
        <f>MONTH(Table1[[#This Row],[Launched]])</f>
        <v>9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8220</v>
      </c>
      <c r="G768" t="s">
        <v>8228</v>
      </c>
      <c r="H768" t="s">
        <v>8250</v>
      </c>
      <c r="I768" s="8">
        <v>1424112483</v>
      </c>
      <c r="J768">
        <v>1421520483</v>
      </c>
      <c r="K768" t="b">
        <v>0</v>
      </c>
      <c r="L768" s="10">
        <v>0</v>
      </c>
      <c r="M768" t="b">
        <v>0</v>
      </c>
      <c r="N768" t="s">
        <v>8273</v>
      </c>
      <c r="O768" s="11">
        <f t="shared" si="48"/>
        <v>0</v>
      </c>
      <c r="P768" s="12" t="str">
        <f t="shared" si="49"/>
        <v>No Backers</v>
      </c>
      <c r="Q768" s="14" t="s">
        <v>8319</v>
      </c>
      <c r="R768" t="s">
        <v>8321</v>
      </c>
      <c r="S768" s="17">
        <f t="shared" si="50"/>
        <v>42021.783368055556</v>
      </c>
      <c r="T768" s="17">
        <f t="shared" si="51"/>
        <v>42051.783368055556</v>
      </c>
      <c r="U768">
        <f>MONTH(Table1[[#This Row],[Launched]])</f>
        <v>1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8220</v>
      </c>
      <c r="G769" t="s">
        <v>8223</v>
      </c>
      <c r="H769" t="s">
        <v>8245</v>
      </c>
      <c r="I769" s="8">
        <v>1432178810</v>
      </c>
      <c r="J769">
        <v>1429586810</v>
      </c>
      <c r="K769" t="b">
        <v>0</v>
      </c>
      <c r="L769" s="10">
        <v>3</v>
      </c>
      <c r="M769" t="b">
        <v>0</v>
      </c>
      <c r="N769" t="s">
        <v>8273</v>
      </c>
      <c r="O769" s="11">
        <f t="shared" si="48"/>
        <v>4</v>
      </c>
      <c r="P769" s="12">
        <f t="shared" si="49"/>
        <v>59</v>
      </c>
      <c r="Q769" s="14" t="s">
        <v>8319</v>
      </c>
      <c r="R769" t="s">
        <v>8321</v>
      </c>
      <c r="S769" s="17">
        <f t="shared" si="50"/>
        <v>42115.143634259264</v>
      </c>
      <c r="T769" s="17">
        <f t="shared" si="51"/>
        <v>42145.143634259264</v>
      </c>
      <c r="U769">
        <f>MONTH(Table1[[#This Row],[Launched]])</f>
        <v>4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8220</v>
      </c>
      <c r="G770" t="s">
        <v>8223</v>
      </c>
      <c r="H770" t="s">
        <v>8245</v>
      </c>
      <c r="I770" s="8">
        <v>1387169890</v>
      </c>
      <c r="J770">
        <v>1384577890</v>
      </c>
      <c r="K770" t="b">
        <v>0</v>
      </c>
      <c r="L770" s="10">
        <v>0</v>
      </c>
      <c r="M770" t="b">
        <v>0</v>
      </c>
      <c r="N770" t="s">
        <v>8273</v>
      </c>
      <c r="O770" s="11">
        <f t="shared" ref="O770:O833" si="52">ROUND(E770/D770*100,0)</f>
        <v>0</v>
      </c>
      <c r="P770" s="12" t="str">
        <f t="shared" si="49"/>
        <v>No Backers</v>
      </c>
      <c r="Q770" s="14" t="s">
        <v>8319</v>
      </c>
      <c r="R770" t="s">
        <v>8321</v>
      </c>
      <c r="S770" s="17">
        <f t="shared" si="50"/>
        <v>41594.207060185188</v>
      </c>
      <c r="T770" s="17">
        <f t="shared" si="51"/>
        <v>41624.207060185188</v>
      </c>
      <c r="U770">
        <f>MONTH(Table1[[#This Row],[Launched]])</f>
        <v>11</v>
      </c>
    </row>
    <row r="771" spans="1:21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8220</v>
      </c>
      <c r="G771" t="s">
        <v>8223</v>
      </c>
      <c r="H771" t="s">
        <v>8245</v>
      </c>
      <c r="I771" s="8">
        <v>1388102094</v>
      </c>
      <c r="J771">
        <v>1385510094</v>
      </c>
      <c r="K771" t="b">
        <v>0</v>
      </c>
      <c r="L771" s="10">
        <v>52</v>
      </c>
      <c r="M771" t="b">
        <v>0</v>
      </c>
      <c r="N771" t="s">
        <v>8273</v>
      </c>
      <c r="O771" s="11">
        <f t="shared" si="52"/>
        <v>41</v>
      </c>
      <c r="P771" s="12">
        <f t="shared" ref="P771:P834" si="53">IFERROR(ROUND(E771/L771,),"No Backers")</f>
        <v>32</v>
      </c>
      <c r="Q771" s="14" t="s">
        <v>8319</v>
      </c>
      <c r="R771" t="s">
        <v>8321</v>
      </c>
      <c r="S771" s="17">
        <f t="shared" ref="S771:S834" si="54">(((J771/60)/60)/24)+DATE(1970,1,1)</f>
        <v>41604.996458333335</v>
      </c>
      <c r="T771" s="17">
        <f t="shared" ref="T771:T834" si="55">(((I771/60)/60)/24)+DATE(1970,1,1)</f>
        <v>41634.996458333335</v>
      </c>
      <c r="U771">
        <f>MONTH(Table1[[#This Row],[Launched]])</f>
        <v>11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8220</v>
      </c>
      <c r="G772" t="s">
        <v>8223</v>
      </c>
      <c r="H772" t="s">
        <v>8245</v>
      </c>
      <c r="I772" s="8">
        <v>1361750369</v>
      </c>
      <c r="J772">
        <v>1358294369</v>
      </c>
      <c r="K772" t="b">
        <v>0</v>
      </c>
      <c r="L772" s="10">
        <v>0</v>
      </c>
      <c r="M772" t="b">
        <v>0</v>
      </c>
      <c r="N772" t="s">
        <v>8273</v>
      </c>
      <c r="O772" s="11">
        <f t="shared" si="52"/>
        <v>0</v>
      </c>
      <c r="P772" s="12" t="str">
        <f t="shared" si="53"/>
        <v>No Backers</v>
      </c>
      <c r="Q772" s="14" t="s">
        <v>8319</v>
      </c>
      <c r="R772" t="s">
        <v>8321</v>
      </c>
      <c r="S772" s="17">
        <f t="shared" si="54"/>
        <v>41289.999641203707</v>
      </c>
      <c r="T772" s="17">
        <f t="shared" si="55"/>
        <v>41329.999641203707</v>
      </c>
      <c r="U772">
        <f>MONTH(Table1[[#This Row],[Launched]])</f>
        <v>1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8220</v>
      </c>
      <c r="G773" t="s">
        <v>8223</v>
      </c>
      <c r="H773" t="s">
        <v>8245</v>
      </c>
      <c r="I773" s="8">
        <v>1454183202</v>
      </c>
      <c r="J773">
        <v>1449863202</v>
      </c>
      <c r="K773" t="b">
        <v>0</v>
      </c>
      <c r="L773" s="10">
        <v>1</v>
      </c>
      <c r="M773" t="b">
        <v>0</v>
      </c>
      <c r="N773" t="s">
        <v>8273</v>
      </c>
      <c r="O773" s="11">
        <f t="shared" si="52"/>
        <v>0</v>
      </c>
      <c r="P773" s="12">
        <f t="shared" si="53"/>
        <v>10</v>
      </c>
      <c r="Q773" s="14" t="s">
        <v>8319</v>
      </c>
      <c r="R773" t="s">
        <v>8321</v>
      </c>
      <c r="S773" s="17">
        <f t="shared" si="54"/>
        <v>42349.824097222227</v>
      </c>
      <c r="T773" s="17">
        <f t="shared" si="55"/>
        <v>42399.824097222227</v>
      </c>
      <c r="U773">
        <f>MONTH(Table1[[#This Row],[Launched]])</f>
        <v>12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8220</v>
      </c>
      <c r="G774" t="s">
        <v>8223</v>
      </c>
      <c r="H774" t="s">
        <v>8245</v>
      </c>
      <c r="I774" s="8">
        <v>1257047940</v>
      </c>
      <c r="J774">
        <v>1252718519</v>
      </c>
      <c r="K774" t="b">
        <v>0</v>
      </c>
      <c r="L774" s="10">
        <v>1</v>
      </c>
      <c r="M774" t="b">
        <v>0</v>
      </c>
      <c r="N774" t="s">
        <v>8273</v>
      </c>
      <c r="O774" s="11">
        <f t="shared" si="52"/>
        <v>3</v>
      </c>
      <c r="P774" s="12">
        <f t="shared" si="53"/>
        <v>50</v>
      </c>
      <c r="Q774" s="14" t="s">
        <v>8319</v>
      </c>
      <c r="R774" t="s">
        <v>8321</v>
      </c>
      <c r="S774" s="17">
        <f t="shared" si="54"/>
        <v>40068.056932870371</v>
      </c>
      <c r="T774" s="17">
        <f t="shared" si="55"/>
        <v>40118.165972222225</v>
      </c>
      <c r="U774">
        <f>MONTH(Table1[[#This Row],[Launched]])</f>
        <v>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8220</v>
      </c>
      <c r="G775" t="s">
        <v>8224</v>
      </c>
      <c r="H775" t="s">
        <v>8246</v>
      </c>
      <c r="I775" s="8">
        <v>1431298860</v>
      </c>
      <c r="J775">
        <v>1428341985</v>
      </c>
      <c r="K775" t="b">
        <v>0</v>
      </c>
      <c r="L775" s="10">
        <v>2</v>
      </c>
      <c r="M775" t="b">
        <v>0</v>
      </c>
      <c r="N775" t="s">
        <v>8273</v>
      </c>
      <c r="O775" s="11">
        <f t="shared" si="52"/>
        <v>1</v>
      </c>
      <c r="P775" s="12">
        <f t="shared" si="53"/>
        <v>16</v>
      </c>
      <c r="Q775" s="14" t="s">
        <v>8319</v>
      </c>
      <c r="R775" t="s">
        <v>8321</v>
      </c>
      <c r="S775" s="17">
        <f t="shared" si="54"/>
        <v>42100.735937499994</v>
      </c>
      <c r="T775" s="17">
        <f t="shared" si="55"/>
        <v>42134.959027777775</v>
      </c>
      <c r="U775">
        <f>MONTH(Table1[[#This Row],[Launched]])</f>
        <v>4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8220</v>
      </c>
      <c r="G776" t="s">
        <v>8223</v>
      </c>
      <c r="H776" t="s">
        <v>8245</v>
      </c>
      <c r="I776" s="8">
        <v>1393181018</v>
      </c>
      <c r="J776">
        <v>1390589018</v>
      </c>
      <c r="K776" t="b">
        <v>0</v>
      </c>
      <c r="L776" s="10">
        <v>9</v>
      </c>
      <c r="M776" t="b">
        <v>0</v>
      </c>
      <c r="N776" t="s">
        <v>8273</v>
      </c>
      <c r="O776" s="11">
        <f t="shared" si="52"/>
        <v>70</v>
      </c>
      <c r="P776" s="12">
        <f t="shared" si="53"/>
        <v>39</v>
      </c>
      <c r="Q776" s="14" t="s">
        <v>8319</v>
      </c>
      <c r="R776" t="s">
        <v>8321</v>
      </c>
      <c r="S776" s="17">
        <f t="shared" si="54"/>
        <v>41663.780300925922</v>
      </c>
      <c r="T776" s="17">
        <f t="shared" si="55"/>
        <v>41693.780300925922</v>
      </c>
      <c r="U776">
        <f>MONTH(Table1[[#This Row],[Launched]])</f>
        <v>1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8220</v>
      </c>
      <c r="G777" t="s">
        <v>8223</v>
      </c>
      <c r="H777" t="s">
        <v>8245</v>
      </c>
      <c r="I777" s="8">
        <v>1323998795</v>
      </c>
      <c r="J777">
        <v>1321406795</v>
      </c>
      <c r="K777" t="b">
        <v>0</v>
      </c>
      <c r="L777" s="10">
        <v>5</v>
      </c>
      <c r="M777" t="b">
        <v>0</v>
      </c>
      <c r="N777" t="s">
        <v>8273</v>
      </c>
      <c r="O777" s="11">
        <f t="shared" si="52"/>
        <v>2</v>
      </c>
      <c r="P777" s="12">
        <f t="shared" si="53"/>
        <v>34</v>
      </c>
      <c r="Q777" s="14" t="s">
        <v>8319</v>
      </c>
      <c r="R777" t="s">
        <v>8321</v>
      </c>
      <c r="S777" s="17">
        <f t="shared" si="54"/>
        <v>40863.060127314813</v>
      </c>
      <c r="T777" s="17">
        <f t="shared" si="55"/>
        <v>40893.060127314813</v>
      </c>
      <c r="U777">
        <f>MONTH(Table1[[#This Row],[Launched]])</f>
        <v>11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8220</v>
      </c>
      <c r="G778" t="s">
        <v>8223</v>
      </c>
      <c r="H778" t="s">
        <v>8245</v>
      </c>
      <c r="I778" s="8">
        <v>1444539600</v>
      </c>
      <c r="J778">
        <v>1441297645</v>
      </c>
      <c r="K778" t="b">
        <v>0</v>
      </c>
      <c r="L778" s="10">
        <v>57</v>
      </c>
      <c r="M778" t="b">
        <v>0</v>
      </c>
      <c r="N778" t="s">
        <v>8273</v>
      </c>
      <c r="O778" s="11">
        <f t="shared" si="52"/>
        <v>51</v>
      </c>
      <c r="P778" s="12">
        <f t="shared" si="53"/>
        <v>63</v>
      </c>
      <c r="Q778" s="14" t="s">
        <v>8319</v>
      </c>
      <c r="R778" t="s">
        <v>8321</v>
      </c>
      <c r="S778" s="17">
        <f t="shared" si="54"/>
        <v>42250.685706018514</v>
      </c>
      <c r="T778" s="17">
        <f t="shared" si="55"/>
        <v>42288.208333333328</v>
      </c>
      <c r="U778">
        <f>MONTH(Table1[[#This Row],[Launched]])</f>
        <v>9</v>
      </c>
    </row>
    <row r="779" spans="1:21" ht="57.6" x14ac:dyDescent="0.3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8220</v>
      </c>
      <c r="G779" t="s">
        <v>8223</v>
      </c>
      <c r="H779" t="s">
        <v>8245</v>
      </c>
      <c r="I779" s="8">
        <v>1375313577</v>
      </c>
      <c r="J779">
        <v>1372721577</v>
      </c>
      <c r="K779" t="b">
        <v>0</v>
      </c>
      <c r="L779" s="10">
        <v>3</v>
      </c>
      <c r="M779" t="b">
        <v>0</v>
      </c>
      <c r="N779" t="s">
        <v>8273</v>
      </c>
      <c r="O779" s="11">
        <f t="shared" si="52"/>
        <v>1</v>
      </c>
      <c r="P779" s="12">
        <f t="shared" si="53"/>
        <v>7</v>
      </c>
      <c r="Q779" s="14" t="s">
        <v>8319</v>
      </c>
      <c r="R779" t="s">
        <v>8321</v>
      </c>
      <c r="S779" s="17">
        <f t="shared" si="54"/>
        <v>41456.981215277774</v>
      </c>
      <c r="T779" s="17">
        <f t="shared" si="55"/>
        <v>41486.981215277774</v>
      </c>
      <c r="U779">
        <f>MONTH(Table1[[#This Row],[Launched]])</f>
        <v>7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8220</v>
      </c>
      <c r="G780" t="s">
        <v>8223</v>
      </c>
      <c r="H780" t="s">
        <v>8245</v>
      </c>
      <c r="I780" s="8">
        <v>1398876680</v>
      </c>
      <c r="J780">
        <v>1396284680</v>
      </c>
      <c r="K780" t="b">
        <v>0</v>
      </c>
      <c r="L780" s="10">
        <v>1</v>
      </c>
      <c r="M780" t="b">
        <v>0</v>
      </c>
      <c r="N780" t="s">
        <v>8273</v>
      </c>
      <c r="O780" s="11">
        <f t="shared" si="52"/>
        <v>0</v>
      </c>
      <c r="P780" s="12">
        <f t="shared" si="53"/>
        <v>2</v>
      </c>
      <c r="Q780" s="14" t="s">
        <v>8319</v>
      </c>
      <c r="R780" t="s">
        <v>8321</v>
      </c>
      <c r="S780" s="17">
        <f t="shared" si="54"/>
        <v>41729.702314814815</v>
      </c>
      <c r="T780" s="17">
        <f t="shared" si="55"/>
        <v>41759.702314814815</v>
      </c>
      <c r="U780">
        <f>MONTH(Table1[[#This Row],[Launched]])</f>
        <v>3</v>
      </c>
    </row>
    <row r="781" spans="1:21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8220</v>
      </c>
      <c r="G781" t="s">
        <v>8223</v>
      </c>
      <c r="H781" t="s">
        <v>8245</v>
      </c>
      <c r="I781" s="8">
        <v>1287115200</v>
      </c>
      <c r="J781">
        <v>1284567905</v>
      </c>
      <c r="K781" t="b">
        <v>0</v>
      </c>
      <c r="L781" s="10">
        <v>6</v>
      </c>
      <c r="M781" t="b">
        <v>0</v>
      </c>
      <c r="N781" t="s">
        <v>8273</v>
      </c>
      <c r="O781" s="11">
        <f t="shared" si="52"/>
        <v>3</v>
      </c>
      <c r="P781" s="12">
        <f t="shared" si="53"/>
        <v>67</v>
      </c>
      <c r="Q781" s="14" t="s">
        <v>8319</v>
      </c>
      <c r="R781" t="s">
        <v>8321</v>
      </c>
      <c r="S781" s="17">
        <f t="shared" si="54"/>
        <v>40436.68408564815</v>
      </c>
      <c r="T781" s="17">
        <f t="shared" si="55"/>
        <v>40466.166666666664</v>
      </c>
      <c r="U781">
        <f>MONTH(Table1[[#This Row],[Launched]])</f>
        <v>9</v>
      </c>
    </row>
    <row r="782" spans="1:21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8218</v>
      </c>
      <c r="G782" t="s">
        <v>8223</v>
      </c>
      <c r="H782" t="s">
        <v>8245</v>
      </c>
      <c r="I782" s="8">
        <v>1304439025</v>
      </c>
      <c r="J782">
        <v>1301847025</v>
      </c>
      <c r="K782" t="b">
        <v>0</v>
      </c>
      <c r="L782" s="10">
        <v>27</v>
      </c>
      <c r="M782" t="b">
        <v>1</v>
      </c>
      <c r="N782" t="s">
        <v>8274</v>
      </c>
      <c r="O782" s="11">
        <f t="shared" si="52"/>
        <v>104</v>
      </c>
      <c r="P782" s="12">
        <f t="shared" si="53"/>
        <v>39</v>
      </c>
      <c r="Q782" s="14" t="s">
        <v>8322</v>
      </c>
      <c r="R782" t="s">
        <v>8323</v>
      </c>
      <c r="S782" s="17">
        <f t="shared" si="54"/>
        <v>40636.673900462964</v>
      </c>
      <c r="T782" s="17">
        <f t="shared" si="55"/>
        <v>40666.673900462964</v>
      </c>
      <c r="U782">
        <f>MONTH(Table1[[#This Row],[Launched]])</f>
        <v>4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8218</v>
      </c>
      <c r="G783" t="s">
        <v>8223</v>
      </c>
      <c r="H783" t="s">
        <v>8245</v>
      </c>
      <c r="I783" s="8">
        <v>1370649674</v>
      </c>
      <c r="J783">
        <v>1368057674</v>
      </c>
      <c r="K783" t="b">
        <v>0</v>
      </c>
      <c r="L783" s="10">
        <v>25</v>
      </c>
      <c r="M783" t="b">
        <v>1</v>
      </c>
      <c r="N783" t="s">
        <v>8274</v>
      </c>
      <c r="O783" s="11">
        <f t="shared" si="52"/>
        <v>133</v>
      </c>
      <c r="P783" s="12">
        <f t="shared" si="53"/>
        <v>43</v>
      </c>
      <c r="Q783" s="14" t="s">
        <v>8322</v>
      </c>
      <c r="R783" t="s">
        <v>8323</v>
      </c>
      <c r="S783" s="17">
        <f t="shared" si="54"/>
        <v>41403.000856481485</v>
      </c>
      <c r="T783" s="17">
        <f t="shared" si="55"/>
        <v>41433.000856481485</v>
      </c>
      <c r="U783">
        <f>MONTH(Table1[[#This Row],[Launched]])</f>
        <v>5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8218</v>
      </c>
      <c r="G784" t="s">
        <v>8223</v>
      </c>
      <c r="H784" t="s">
        <v>8245</v>
      </c>
      <c r="I784" s="8">
        <v>1345918302</v>
      </c>
      <c r="J784">
        <v>1343326302</v>
      </c>
      <c r="K784" t="b">
        <v>0</v>
      </c>
      <c r="L784" s="10">
        <v>14</v>
      </c>
      <c r="M784" t="b">
        <v>1</v>
      </c>
      <c r="N784" t="s">
        <v>8274</v>
      </c>
      <c r="O784" s="11">
        <f t="shared" si="52"/>
        <v>100</v>
      </c>
      <c r="P784" s="12">
        <f t="shared" si="53"/>
        <v>50</v>
      </c>
      <c r="Q784" s="14" t="s">
        <v>8322</v>
      </c>
      <c r="R784" t="s">
        <v>8323</v>
      </c>
      <c r="S784" s="17">
        <f t="shared" si="54"/>
        <v>41116.758125</v>
      </c>
      <c r="T784" s="17">
        <f t="shared" si="55"/>
        <v>41146.758125</v>
      </c>
      <c r="U784">
        <f>MONTH(Table1[[#This Row],[Launched]])</f>
        <v>7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8218</v>
      </c>
      <c r="G785" t="s">
        <v>8223</v>
      </c>
      <c r="H785" t="s">
        <v>8245</v>
      </c>
      <c r="I785" s="8">
        <v>1335564000</v>
      </c>
      <c r="J785">
        <v>1332182049</v>
      </c>
      <c r="K785" t="b">
        <v>0</v>
      </c>
      <c r="L785" s="10">
        <v>35</v>
      </c>
      <c r="M785" t="b">
        <v>1</v>
      </c>
      <c r="N785" t="s">
        <v>8274</v>
      </c>
      <c r="O785" s="11">
        <f t="shared" si="52"/>
        <v>148</v>
      </c>
      <c r="P785" s="12">
        <f t="shared" si="53"/>
        <v>63</v>
      </c>
      <c r="Q785" s="14" t="s">
        <v>8322</v>
      </c>
      <c r="R785" t="s">
        <v>8323</v>
      </c>
      <c r="S785" s="17">
        <f t="shared" si="54"/>
        <v>40987.773715277777</v>
      </c>
      <c r="T785" s="17">
        <f t="shared" si="55"/>
        <v>41026.916666666664</v>
      </c>
      <c r="U785">
        <f>MONTH(Table1[[#This Row],[Launched]])</f>
        <v>3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8218</v>
      </c>
      <c r="G786" t="s">
        <v>8223</v>
      </c>
      <c r="H786" t="s">
        <v>8245</v>
      </c>
      <c r="I786" s="8">
        <v>1395023719</v>
      </c>
      <c r="J786">
        <v>1391571319</v>
      </c>
      <c r="K786" t="b">
        <v>0</v>
      </c>
      <c r="L786" s="10">
        <v>10</v>
      </c>
      <c r="M786" t="b">
        <v>1</v>
      </c>
      <c r="N786" t="s">
        <v>8274</v>
      </c>
      <c r="O786" s="11">
        <f t="shared" si="52"/>
        <v>103</v>
      </c>
      <c r="P786" s="12">
        <f t="shared" si="53"/>
        <v>103</v>
      </c>
      <c r="Q786" s="14" t="s">
        <v>8322</v>
      </c>
      <c r="R786" t="s">
        <v>8323</v>
      </c>
      <c r="S786" s="17">
        <f t="shared" si="54"/>
        <v>41675.149525462963</v>
      </c>
      <c r="T786" s="17">
        <f t="shared" si="55"/>
        <v>41715.107858796298</v>
      </c>
      <c r="U786">
        <f>MONTH(Table1[[#This Row],[Launched]])</f>
        <v>2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8218</v>
      </c>
      <c r="G787" t="s">
        <v>8223</v>
      </c>
      <c r="H787" t="s">
        <v>8245</v>
      </c>
      <c r="I787" s="8">
        <v>1362060915</v>
      </c>
      <c r="J787">
        <v>1359468915</v>
      </c>
      <c r="K787" t="b">
        <v>0</v>
      </c>
      <c r="L787" s="10">
        <v>29</v>
      </c>
      <c r="M787" t="b">
        <v>1</v>
      </c>
      <c r="N787" t="s">
        <v>8274</v>
      </c>
      <c r="O787" s="11">
        <f t="shared" si="52"/>
        <v>181</v>
      </c>
      <c r="P787" s="12">
        <f t="shared" si="53"/>
        <v>31</v>
      </c>
      <c r="Q787" s="14" t="s">
        <v>8322</v>
      </c>
      <c r="R787" t="s">
        <v>8323</v>
      </c>
      <c r="S787" s="17">
        <f t="shared" si="54"/>
        <v>41303.593923611108</v>
      </c>
      <c r="T787" s="17">
        <f t="shared" si="55"/>
        <v>41333.593923611108</v>
      </c>
      <c r="U787">
        <f>MONTH(Table1[[#This Row],[Launched]])</f>
        <v>1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8218</v>
      </c>
      <c r="G788" t="s">
        <v>8223</v>
      </c>
      <c r="H788" t="s">
        <v>8245</v>
      </c>
      <c r="I788" s="8">
        <v>1336751220</v>
      </c>
      <c r="J788">
        <v>1331774434</v>
      </c>
      <c r="K788" t="b">
        <v>0</v>
      </c>
      <c r="L788" s="10">
        <v>44</v>
      </c>
      <c r="M788" t="b">
        <v>1</v>
      </c>
      <c r="N788" t="s">
        <v>8274</v>
      </c>
      <c r="O788" s="11">
        <f t="shared" si="52"/>
        <v>143</v>
      </c>
      <c r="P788" s="12">
        <f t="shared" si="53"/>
        <v>162</v>
      </c>
      <c r="Q788" s="14" t="s">
        <v>8322</v>
      </c>
      <c r="R788" t="s">
        <v>8323</v>
      </c>
      <c r="S788" s="17">
        <f t="shared" si="54"/>
        <v>40983.055949074071</v>
      </c>
      <c r="T788" s="17">
        <f t="shared" si="55"/>
        <v>41040.657638888886</v>
      </c>
      <c r="U788">
        <f>MONTH(Table1[[#This Row],[Launched]])</f>
        <v>3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8218</v>
      </c>
      <c r="G789" t="s">
        <v>8223</v>
      </c>
      <c r="H789" t="s">
        <v>8245</v>
      </c>
      <c r="I789" s="8">
        <v>1383318226</v>
      </c>
      <c r="J789">
        <v>1380726226</v>
      </c>
      <c r="K789" t="b">
        <v>0</v>
      </c>
      <c r="L789" s="10">
        <v>17</v>
      </c>
      <c r="M789" t="b">
        <v>1</v>
      </c>
      <c r="N789" t="s">
        <v>8274</v>
      </c>
      <c r="O789" s="11">
        <f t="shared" si="52"/>
        <v>114</v>
      </c>
      <c r="P789" s="12">
        <f t="shared" si="53"/>
        <v>81</v>
      </c>
      <c r="Q789" s="14" t="s">
        <v>8322</v>
      </c>
      <c r="R789" t="s">
        <v>8323</v>
      </c>
      <c r="S789" s="17">
        <f t="shared" si="54"/>
        <v>41549.627615740741</v>
      </c>
      <c r="T789" s="17">
        <f t="shared" si="55"/>
        <v>41579.627615740741</v>
      </c>
      <c r="U789">
        <f>MONTH(Table1[[#This Row],[Launched]])</f>
        <v>10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8218</v>
      </c>
      <c r="G790" t="s">
        <v>8223</v>
      </c>
      <c r="H790" t="s">
        <v>8245</v>
      </c>
      <c r="I790" s="8">
        <v>1341633540</v>
      </c>
      <c r="J790">
        <v>1338336588</v>
      </c>
      <c r="K790" t="b">
        <v>0</v>
      </c>
      <c r="L790" s="10">
        <v>34</v>
      </c>
      <c r="M790" t="b">
        <v>1</v>
      </c>
      <c r="N790" t="s">
        <v>8274</v>
      </c>
      <c r="O790" s="11">
        <f t="shared" si="52"/>
        <v>204</v>
      </c>
      <c r="P790" s="12">
        <f t="shared" si="53"/>
        <v>60</v>
      </c>
      <c r="Q790" s="14" t="s">
        <v>8322</v>
      </c>
      <c r="R790" t="s">
        <v>8323</v>
      </c>
      <c r="S790" s="17">
        <f t="shared" si="54"/>
        <v>41059.006805555553</v>
      </c>
      <c r="T790" s="17">
        <f t="shared" si="55"/>
        <v>41097.165972222225</v>
      </c>
      <c r="U790">
        <f>MONTH(Table1[[#This Row],[Launched]])</f>
        <v>5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8218</v>
      </c>
      <c r="G791" t="s">
        <v>8223</v>
      </c>
      <c r="H791" t="s">
        <v>8245</v>
      </c>
      <c r="I791" s="8">
        <v>1358755140</v>
      </c>
      <c r="J791">
        <v>1357187280</v>
      </c>
      <c r="K791" t="b">
        <v>0</v>
      </c>
      <c r="L791" s="10">
        <v>14</v>
      </c>
      <c r="M791" t="b">
        <v>1</v>
      </c>
      <c r="N791" t="s">
        <v>8274</v>
      </c>
      <c r="O791" s="11">
        <f t="shared" si="52"/>
        <v>109</v>
      </c>
      <c r="P791" s="12">
        <f t="shared" si="53"/>
        <v>133</v>
      </c>
      <c r="Q791" s="14" t="s">
        <v>8322</v>
      </c>
      <c r="R791" t="s">
        <v>8323</v>
      </c>
      <c r="S791" s="17">
        <f t="shared" si="54"/>
        <v>41277.186111111114</v>
      </c>
      <c r="T791" s="17">
        <f t="shared" si="55"/>
        <v>41295.332638888889</v>
      </c>
      <c r="U791">
        <f>MONTH(Table1[[#This Row],[Launched]])</f>
        <v>1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 s="8">
        <v>1359680939</v>
      </c>
      <c r="J792">
        <v>1357088939</v>
      </c>
      <c r="K792" t="b">
        <v>0</v>
      </c>
      <c r="L792" s="10">
        <v>156</v>
      </c>
      <c r="M792" t="b">
        <v>1</v>
      </c>
      <c r="N792" t="s">
        <v>8274</v>
      </c>
      <c r="O792" s="11">
        <f t="shared" si="52"/>
        <v>144</v>
      </c>
      <c r="P792" s="12">
        <f t="shared" si="53"/>
        <v>93</v>
      </c>
      <c r="Q792" s="14" t="s">
        <v>8322</v>
      </c>
      <c r="R792" t="s">
        <v>8323</v>
      </c>
      <c r="S792" s="17">
        <f t="shared" si="54"/>
        <v>41276.047905092593</v>
      </c>
      <c r="T792" s="17">
        <f t="shared" si="55"/>
        <v>41306.047905092593</v>
      </c>
      <c r="U792">
        <f>MONTH(Table1[[#This Row],[Launched]])</f>
        <v>1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8218</v>
      </c>
      <c r="G793" t="s">
        <v>8223</v>
      </c>
      <c r="H793" t="s">
        <v>8245</v>
      </c>
      <c r="I793" s="8">
        <v>1384322340</v>
      </c>
      <c r="J793">
        <v>1381430646</v>
      </c>
      <c r="K793" t="b">
        <v>0</v>
      </c>
      <c r="L793" s="10">
        <v>128</v>
      </c>
      <c r="M793" t="b">
        <v>1</v>
      </c>
      <c r="N793" t="s">
        <v>8274</v>
      </c>
      <c r="O793" s="11">
        <f t="shared" si="52"/>
        <v>104</v>
      </c>
      <c r="P793" s="12">
        <f t="shared" si="53"/>
        <v>61</v>
      </c>
      <c r="Q793" s="14" t="s">
        <v>8322</v>
      </c>
      <c r="R793" t="s">
        <v>8323</v>
      </c>
      <c r="S793" s="17">
        <f t="shared" si="54"/>
        <v>41557.780624999999</v>
      </c>
      <c r="T793" s="17">
        <f t="shared" si="55"/>
        <v>41591.249305555553</v>
      </c>
      <c r="U793">
        <f>MONTH(Table1[[#This Row],[Launched]])</f>
        <v>10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8218</v>
      </c>
      <c r="G794" t="s">
        <v>8223</v>
      </c>
      <c r="H794" t="s">
        <v>8245</v>
      </c>
      <c r="I794" s="8">
        <v>1383861483</v>
      </c>
      <c r="J794">
        <v>1381265883</v>
      </c>
      <c r="K794" t="b">
        <v>0</v>
      </c>
      <c r="L794" s="10">
        <v>60</v>
      </c>
      <c r="M794" t="b">
        <v>1</v>
      </c>
      <c r="N794" t="s">
        <v>8274</v>
      </c>
      <c r="O794" s="11">
        <f t="shared" si="52"/>
        <v>100</v>
      </c>
      <c r="P794" s="12">
        <f t="shared" si="53"/>
        <v>42</v>
      </c>
      <c r="Q794" s="14" t="s">
        <v>8322</v>
      </c>
      <c r="R794" t="s">
        <v>8323</v>
      </c>
      <c r="S794" s="17">
        <f t="shared" si="54"/>
        <v>41555.873645833337</v>
      </c>
      <c r="T794" s="17">
        <f t="shared" si="55"/>
        <v>41585.915312500001</v>
      </c>
      <c r="U794">
        <f>MONTH(Table1[[#This Row],[Launched]])</f>
        <v>10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8218</v>
      </c>
      <c r="G795" t="s">
        <v>8223</v>
      </c>
      <c r="H795" t="s">
        <v>8245</v>
      </c>
      <c r="I795" s="8">
        <v>1372827540</v>
      </c>
      <c r="J795">
        <v>1371491244</v>
      </c>
      <c r="K795" t="b">
        <v>0</v>
      </c>
      <c r="L795" s="10">
        <v>32</v>
      </c>
      <c r="M795" t="b">
        <v>1</v>
      </c>
      <c r="N795" t="s">
        <v>8274</v>
      </c>
      <c r="O795" s="11">
        <f t="shared" si="52"/>
        <v>103</v>
      </c>
      <c r="P795" s="12">
        <f t="shared" si="53"/>
        <v>88</v>
      </c>
      <c r="Q795" s="14" t="s">
        <v>8322</v>
      </c>
      <c r="R795" t="s">
        <v>8323</v>
      </c>
      <c r="S795" s="17">
        <f t="shared" si="54"/>
        <v>41442.741249999999</v>
      </c>
      <c r="T795" s="17">
        <f t="shared" si="55"/>
        <v>41458.207638888889</v>
      </c>
      <c r="U795">
        <f>MONTH(Table1[[#This Row],[Launched]])</f>
        <v>6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8218</v>
      </c>
      <c r="G796" t="s">
        <v>8223</v>
      </c>
      <c r="H796" t="s">
        <v>8245</v>
      </c>
      <c r="I796" s="8">
        <v>1315242360</v>
      </c>
      <c r="J796">
        <v>1310438737</v>
      </c>
      <c r="K796" t="b">
        <v>0</v>
      </c>
      <c r="L796" s="10">
        <v>53</v>
      </c>
      <c r="M796" t="b">
        <v>1</v>
      </c>
      <c r="N796" t="s">
        <v>8274</v>
      </c>
      <c r="O796" s="11">
        <f t="shared" si="52"/>
        <v>105</v>
      </c>
      <c r="P796" s="12">
        <f t="shared" si="53"/>
        <v>159</v>
      </c>
      <c r="Q796" s="14" t="s">
        <v>8322</v>
      </c>
      <c r="R796" t="s">
        <v>8323</v>
      </c>
      <c r="S796" s="17">
        <f t="shared" si="54"/>
        <v>40736.115011574075</v>
      </c>
      <c r="T796" s="17">
        <f t="shared" si="55"/>
        <v>40791.712500000001</v>
      </c>
      <c r="U796">
        <f>MONTH(Table1[[#This Row],[Launched]])</f>
        <v>7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8218</v>
      </c>
      <c r="G797" t="s">
        <v>8223</v>
      </c>
      <c r="H797" t="s">
        <v>8245</v>
      </c>
      <c r="I797" s="8">
        <v>1333774740</v>
      </c>
      <c r="J797">
        <v>1330094566</v>
      </c>
      <c r="K797" t="b">
        <v>0</v>
      </c>
      <c r="L797" s="10">
        <v>184</v>
      </c>
      <c r="M797" t="b">
        <v>1</v>
      </c>
      <c r="N797" t="s">
        <v>8274</v>
      </c>
      <c r="O797" s="11">
        <f t="shared" si="52"/>
        <v>112</v>
      </c>
      <c r="P797" s="12">
        <f t="shared" si="53"/>
        <v>85</v>
      </c>
      <c r="Q797" s="14" t="s">
        <v>8322</v>
      </c>
      <c r="R797" t="s">
        <v>8323</v>
      </c>
      <c r="S797" s="17">
        <f t="shared" si="54"/>
        <v>40963.613032407404</v>
      </c>
      <c r="T797" s="17">
        <f t="shared" si="55"/>
        <v>41006.207638888889</v>
      </c>
      <c r="U797">
        <f>MONTH(Table1[[#This Row],[Launched]])</f>
        <v>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8218</v>
      </c>
      <c r="G798" t="s">
        <v>8223</v>
      </c>
      <c r="H798" t="s">
        <v>8245</v>
      </c>
      <c r="I798" s="8">
        <v>1379279400</v>
      </c>
      <c r="J798">
        <v>1376687485</v>
      </c>
      <c r="K798" t="b">
        <v>0</v>
      </c>
      <c r="L798" s="10">
        <v>90</v>
      </c>
      <c r="M798" t="b">
        <v>1</v>
      </c>
      <c r="N798" t="s">
        <v>8274</v>
      </c>
      <c r="O798" s="11">
        <f t="shared" si="52"/>
        <v>101</v>
      </c>
      <c r="P798" s="12">
        <f t="shared" si="53"/>
        <v>113</v>
      </c>
      <c r="Q798" s="14" t="s">
        <v>8322</v>
      </c>
      <c r="R798" t="s">
        <v>8323</v>
      </c>
      <c r="S798" s="17">
        <f t="shared" si="54"/>
        <v>41502.882928240739</v>
      </c>
      <c r="T798" s="17">
        <f t="shared" si="55"/>
        <v>41532.881944444445</v>
      </c>
      <c r="U798">
        <f>MONTH(Table1[[#This Row],[Launched]])</f>
        <v>8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8218</v>
      </c>
      <c r="G799" t="s">
        <v>8223</v>
      </c>
      <c r="H799" t="s">
        <v>8245</v>
      </c>
      <c r="I799" s="8">
        <v>1335672000</v>
      </c>
      <c r="J799">
        <v>1332978688</v>
      </c>
      <c r="K799" t="b">
        <v>0</v>
      </c>
      <c r="L799" s="10">
        <v>71</v>
      </c>
      <c r="M799" t="b">
        <v>1</v>
      </c>
      <c r="N799" t="s">
        <v>8274</v>
      </c>
      <c r="O799" s="11">
        <f t="shared" si="52"/>
        <v>108</v>
      </c>
      <c r="P799" s="12">
        <f t="shared" si="53"/>
        <v>45</v>
      </c>
      <c r="Q799" s="14" t="s">
        <v>8322</v>
      </c>
      <c r="R799" t="s">
        <v>8323</v>
      </c>
      <c r="S799" s="17">
        <f t="shared" si="54"/>
        <v>40996.994074074071</v>
      </c>
      <c r="T799" s="17">
        <f t="shared" si="55"/>
        <v>41028.166666666664</v>
      </c>
      <c r="U799">
        <f>MONTH(Table1[[#This Row],[Launched]])</f>
        <v>3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8218</v>
      </c>
      <c r="G800" t="s">
        <v>8223</v>
      </c>
      <c r="H800" t="s">
        <v>8245</v>
      </c>
      <c r="I800" s="8">
        <v>1412086187</v>
      </c>
      <c r="J800">
        <v>1409494187</v>
      </c>
      <c r="K800" t="b">
        <v>0</v>
      </c>
      <c r="L800" s="10">
        <v>87</v>
      </c>
      <c r="M800" t="b">
        <v>1</v>
      </c>
      <c r="N800" t="s">
        <v>8274</v>
      </c>
      <c r="O800" s="11">
        <f t="shared" si="52"/>
        <v>115</v>
      </c>
      <c r="P800" s="12">
        <f t="shared" si="53"/>
        <v>46</v>
      </c>
      <c r="Q800" s="14" t="s">
        <v>8322</v>
      </c>
      <c r="R800" t="s">
        <v>8323</v>
      </c>
      <c r="S800" s="17">
        <f t="shared" si="54"/>
        <v>41882.590127314819</v>
      </c>
      <c r="T800" s="17">
        <f t="shared" si="55"/>
        <v>41912.590127314819</v>
      </c>
      <c r="U800">
        <f>MONTH(Table1[[#This Row],[Launched]])</f>
        <v>8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8218</v>
      </c>
      <c r="G801" t="s">
        <v>8223</v>
      </c>
      <c r="H801" t="s">
        <v>8245</v>
      </c>
      <c r="I801" s="8">
        <v>1335542446</v>
      </c>
      <c r="J801">
        <v>1332950446</v>
      </c>
      <c r="K801" t="b">
        <v>0</v>
      </c>
      <c r="L801" s="10">
        <v>28</v>
      </c>
      <c r="M801" t="b">
        <v>1</v>
      </c>
      <c r="N801" t="s">
        <v>8274</v>
      </c>
      <c r="O801" s="11">
        <f t="shared" si="52"/>
        <v>100</v>
      </c>
      <c r="P801" s="12">
        <f t="shared" si="53"/>
        <v>179</v>
      </c>
      <c r="Q801" s="14" t="s">
        <v>8322</v>
      </c>
      <c r="R801" t="s">
        <v>8323</v>
      </c>
      <c r="S801" s="17">
        <f t="shared" si="54"/>
        <v>40996.667199074072</v>
      </c>
      <c r="T801" s="17">
        <f t="shared" si="55"/>
        <v>41026.667199074072</v>
      </c>
      <c r="U801">
        <f>MONTH(Table1[[#This Row],[Launched]])</f>
        <v>3</v>
      </c>
    </row>
    <row r="802" spans="1:21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8218</v>
      </c>
      <c r="G802" t="s">
        <v>8224</v>
      </c>
      <c r="H802" t="s">
        <v>8246</v>
      </c>
      <c r="I802" s="8">
        <v>1410431054</v>
      </c>
      <c r="J802">
        <v>1407839054</v>
      </c>
      <c r="K802" t="b">
        <v>0</v>
      </c>
      <c r="L802" s="10">
        <v>56</v>
      </c>
      <c r="M802" t="b">
        <v>1</v>
      </c>
      <c r="N802" t="s">
        <v>8274</v>
      </c>
      <c r="O802" s="11">
        <f t="shared" si="52"/>
        <v>152</v>
      </c>
      <c r="P802" s="12">
        <f t="shared" si="53"/>
        <v>41</v>
      </c>
      <c r="Q802" s="14" t="s">
        <v>8322</v>
      </c>
      <c r="R802" t="s">
        <v>8323</v>
      </c>
      <c r="S802" s="17">
        <f t="shared" si="54"/>
        <v>41863.433495370373</v>
      </c>
      <c r="T802" s="17">
        <f t="shared" si="55"/>
        <v>41893.433495370373</v>
      </c>
      <c r="U802">
        <f>MONTH(Table1[[#This Row],[Launched]])</f>
        <v>8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 s="8">
        <v>1309547120</v>
      </c>
      <c r="J803">
        <v>1306955120</v>
      </c>
      <c r="K803" t="b">
        <v>0</v>
      </c>
      <c r="L803" s="10">
        <v>51</v>
      </c>
      <c r="M803" t="b">
        <v>1</v>
      </c>
      <c r="N803" t="s">
        <v>8274</v>
      </c>
      <c r="O803" s="11">
        <f t="shared" si="52"/>
        <v>112</v>
      </c>
      <c r="P803" s="12">
        <f t="shared" si="53"/>
        <v>44</v>
      </c>
      <c r="Q803" s="14" t="s">
        <v>8322</v>
      </c>
      <c r="R803" t="s">
        <v>8323</v>
      </c>
      <c r="S803" s="17">
        <f t="shared" si="54"/>
        <v>40695.795370370368</v>
      </c>
      <c r="T803" s="17">
        <f t="shared" si="55"/>
        <v>40725.795370370368</v>
      </c>
      <c r="U803">
        <f>MONTH(Table1[[#This Row],[Launched]])</f>
        <v>6</v>
      </c>
    </row>
    <row r="804" spans="1:21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8218</v>
      </c>
      <c r="G804" t="s">
        <v>8223</v>
      </c>
      <c r="H804" t="s">
        <v>8245</v>
      </c>
      <c r="I804" s="8">
        <v>1347854700</v>
      </c>
      <c r="J804">
        <v>1343867524</v>
      </c>
      <c r="K804" t="b">
        <v>0</v>
      </c>
      <c r="L804" s="10">
        <v>75</v>
      </c>
      <c r="M804" t="b">
        <v>1</v>
      </c>
      <c r="N804" t="s">
        <v>8274</v>
      </c>
      <c r="O804" s="11">
        <f t="shared" si="52"/>
        <v>101</v>
      </c>
      <c r="P804" s="12">
        <f t="shared" si="53"/>
        <v>81</v>
      </c>
      <c r="Q804" s="14" t="s">
        <v>8322</v>
      </c>
      <c r="R804" t="s">
        <v>8323</v>
      </c>
      <c r="S804" s="17">
        <f t="shared" si="54"/>
        <v>41123.022268518522</v>
      </c>
      <c r="T804" s="17">
        <f t="shared" si="55"/>
        <v>41169.170138888891</v>
      </c>
      <c r="U804">
        <f>MONTH(Table1[[#This Row],[Launched]])</f>
        <v>8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8218</v>
      </c>
      <c r="G805" t="s">
        <v>8223</v>
      </c>
      <c r="H805" t="s">
        <v>8245</v>
      </c>
      <c r="I805" s="8">
        <v>1306630800</v>
      </c>
      <c r="J805">
        <v>1304376478</v>
      </c>
      <c r="K805" t="b">
        <v>0</v>
      </c>
      <c r="L805" s="10">
        <v>38</v>
      </c>
      <c r="M805" t="b">
        <v>1</v>
      </c>
      <c r="N805" t="s">
        <v>8274</v>
      </c>
      <c r="O805" s="11">
        <f t="shared" si="52"/>
        <v>123</v>
      </c>
      <c r="P805" s="12">
        <f t="shared" si="53"/>
        <v>75</v>
      </c>
      <c r="Q805" s="14" t="s">
        <v>8322</v>
      </c>
      <c r="R805" t="s">
        <v>8323</v>
      </c>
      <c r="S805" s="17">
        <f t="shared" si="54"/>
        <v>40665.949976851851</v>
      </c>
      <c r="T805" s="17">
        <f t="shared" si="55"/>
        <v>40692.041666666664</v>
      </c>
      <c r="U805">
        <f>MONTH(Table1[[#This Row],[Launched]])</f>
        <v>5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8218</v>
      </c>
      <c r="G806" t="s">
        <v>8223</v>
      </c>
      <c r="H806" t="s">
        <v>8245</v>
      </c>
      <c r="I806" s="8">
        <v>1311393540</v>
      </c>
      <c r="J806">
        <v>1309919526</v>
      </c>
      <c r="K806" t="b">
        <v>0</v>
      </c>
      <c r="L806" s="10">
        <v>18</v>
      </c>
      <c r="M806" t="b">
        <v>1</v>
      </c>
      <c r="N806" t="s">
        <v>8274</v>
      </c>
      <c r="O806" s="11">
        <f t="shared" si="52"/>
        <v>100</v>
      </c>
      <c r="P806" s="12">
        <f t="shared" si="53"/>
        <v>306</v>
      </c>
      <c r="Q806" s="14" t="s">
        <v>8322</v>
      </c>
      <c r="R806" t="s">
        <v>8323</v>
      </c>
      <c r="S806" s="17">
        <f t="shared" si="54"/>
        <v>40730.105625000004</v>
      </c>
      <c r="T806" s="17">
        <f t="shared" si="55"/>
        <v>40747.165972222225</v>
      </c>
      <c r="U806">
        <f>MONTH(Table1[[#This Row],[Launched]])</f>
        <v>7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8218</v>
      </c>
      <c r="G807" t="s">
        <v>8223</v>
      </c>
      <c r="H807" t="s">
        <v>8245</v>
      </c>
      <c r="I807" s="8">
        <v>1310857200</v>
      </c>
      <c r="J807">
        <v>1306525512</v>
      </c>
      <c r="K807" t="b">
        <v>0</v>
      </c>
      <c r="L807" s="10">
        <v>54</v>
      </c>
      <c r="M807" t="b">
        <v>1</v>
      </c>
      <c r="N807" t="s">
        <v>8274</v>
      </c>
      <c r="O807" s="11">
        <f t="shared" si="52"/>
        <v>105</v>
      </c>
      <c r="P807" s="12">
        <f t="shared" si="53"/>
        <v>58</v>
      </c>
      <c r="Q807" s="14" t="s">
        <v>8322</v>
      </c>
      <c r="R807" t="s">
        <v>8323</v>
      </c>
      <c r="S807" s="17">
        <f t="shared" si="54"/>
        <v>40690.823055555556</v>
      </c>
      <c r="T807" s="17">
        <f t="shared" si="55"/>
        <v>40740.958333333336</v>
      </c>
      <c r="U807">
        <f>MONTH(Table1[[#This Row],[Launched]])</f>
        <v>5</v>
      </c>
    </row>
    <row r="808" spans="1:21" ht="15.6" x14ac:dyDescent="0.3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8218</v>
      </c>
      <c r="G808" t="s">
        <v>8223</v>
      </c>
      <c r="H808" t="s">
        <v>8245</v>
      </c>
      <c r="I808" s="8">
        <v>1315413339</v>
      </c>
      <c r="J808">
        <v>1312821339</v>
      </c>
      <c r="K808" t="b">
        <v>0</v>
      </c>
      <c r="L808" s="10">
        <v>71</v>
      </c>
      <c r="M808" t="b">
        <v>1</v>
      </c>
      <c r="N808" t="s">
        <v>8274</v>
      </c>
      <c r="O808" s="11">
        <f t="shared" si="52"/>
        <v>104</v>
      </c>
      <c r="P808" s="12">
        <f t="shared" si="53"/>
        <v>118</v>
      </c>
      <c r="Q808" s="14" t="s">
        <v>8322</v>
      </c>
      <c r="R808" t="s">
        <v>8323</v>
      </c>
      <c r="S808" s="17">
        <f t="shared" si="54"/>
        <v>40763.691423611112</v>
      </c>
      <c r="T808" s="17">
        <f t="shared" si="55"/>
        <v>40793.691423611112</v>
      </c>
      <c r="U808">
        <f>MONTH(Table1[[#This Row],[Launched]])</f>
        <v>8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8218</v>
      </c>
      <c r="G809" t="s">
        <v>8223</v>
      </c>
      <c r="H809" t="s">
        <v>8245</v>
      </c>
      <c r="I809" s="8">
        <v>1488333600</v>
      </c>
      <c r="J809">
        <v>1485270311</v>
      </c>
      <c r="K809" t="b">
        <v>0</v>
      </c>
      <c r="L809" s="10">
        <v>57</v>
      </c>
      <c r="M809" t="b">
        <v>1</v>
      </c>
      <c r="N809" t="s">
        <v>8274</v>
      </c>
      <c r="O809" s="11">
        <f t="shared" si="52"/>
        <v>105</v>
      </c>
      <c r="P809" s="12">
        <f t="shared" si="53"/>
        <v>74</v>
      </c>
      <c r="Q809" s="14" t="s">
        <v>8322</v>
      </c>
      <c r="R809" t="s">
        <v>8323</v>
      </c>
      <c r="S809" s="17">
        <f t="shared" si="54"/>
        <v>42759.628599537042</v>
      </c>
      <c r="T809" s="17">
        <f t="shared" si="55"/>
        <v>42795.083333333328</v>
      </c>
      <c r="U809">
        <f>MONTH(Table1[[#This Row],[Launched]])</f>
        <v>1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8218</v>
      </c>
      <c r="G810" t="s">
        <v>8228</v>
      </c>
      <c r="H810" t="s">
        <v>8250</v>
      </c>
      <c r="I810" s="8">
        <v>1419224340</v>
      </c>
      <c r="J810">
        <v>1416363886</v>
      </c>
      <c r="K810" t="b">
        <v>0</v>
      </c>
      <c r="L810" s="10">
        <v>43</v>
      </c>
      <c r="M810" t="b">
        <v>1</v>
      </c>
      <c r="N810" t="s">
        <v>8274</v>
      </c>
      <c r="O810" s="11">
        <f t="shared" si="52"/>
        <v>100</v>
      </c>
      <c r="P810" s="12">
        <f t="shared" si="53"/>
        <v>105</v>
      </c>
      <c r="Q810" s="14" t="s">
        <v>8322</v>
      </c>
      <c r="R810" t="s">
        <v>8323</v>
      </c>
      <c r="S810" s="17">
        <f t="shared" si="54"/>
        <v>41962.100532407407</v>
      </c>
      <c r="T810" s="17">
        <f t="shared" si="55"/>
        <v>41995.207638888889</v>
      </c>
      <c r="U810">
        <f>MONTH(Table1[[#This Row],[Launched]])</f>
        <v>11</v>
      </c>
    </row>
    <row r="811" spans="1:21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8218</v>
      </c>
      <c r="G811" t="s">
        <v>8223</v>
      </c>
      <c r="H811" t="s">
        <v>8245</v>
      </c>
      <c r="I811" s="8">
        <v>1390161630</v>
      </c>
      <c r="J811">
        <v>1387569630</v>
      </c>
      <c r="K811" t="b">
        <v>0</v>
      </c>
      <c r="L811" s="10">
        <v>52</v>
      </c>
      <c r="M811" t="b">
        <v>1</v>
      </c>
      <c r="N811" t="s">
        <v>8274</v>
      </c>
      <c r="O811" s="11">
        <f t="shared" si="52"/>
        <v>104</v>
      </c>
      <c r="P811" s="12">
        <f t="shared" si="53"/>
        <v>80</v>
      </c>
      <c r="Q811" s="14" t="s">
        <v>8322</v>
      </c>
      <c r="R811" t="s">
        <v>8323</v>
      </c>
      <c r="S811" s="17">
        <f t="shared" si="54"/>
        <v>41628.833680555559</v>
      </c>
      <c r="T811" s="17">
        <f t="shared" si="55"/>
        <v>41658.833680555559</v>
      </c>
      <c r="U811">
        <f>MONTH(Table1[[#This Row],[Launched]])</f>
        <v>12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8218</v>
      </c>
      <c r="G812" t="s">
        <v>8223</v>
      </c>
      <c r="H812" t="s">
        <v>8245</v>
      </c>
      <c r="I812" s="8">
        <v>1346462462</v>
      </c>
      <c r="J812">
        <v>1343870462</v>
      </c>
      <c r="K812" t="b">
        <v>0</v>
      </c>
      <c r="L812" s="10">
        <v>27</v>
      </c>
      <c r="M812" t="b">
        <v>1</v>
      </c>
      <c r="N812" t="s">
        <v>8274</v>
      </c>
      <c r="O812" s="11">
        <f t="shared" si="52"/>
        <v>105</v>
      </c>
      <c r="P812" s="12">
        <f t="shared" si="53"/>
        <v>58</v>
      </c>
      <c r="Q812" s="14" t="s">
        <v>8322</v>
      </c>
      <c r="R812" t="s">
        <v>8323</v>
      </c>
      <c r="S812" s="17">
        <f t="shared" si="54"/>
        <v>41123.056273148148</v>
      </c>
      <c r="T812" s="17">
        <f t="shared" si="55"/>
        <v>41153.056273148148</v>
      </c>
      <c r="U812">
        <f>MONTH(Table1[[#This Row],[Launched]])</f>
        <v>8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8218</v>
      </c>
      <c r="G813" t="s">
        <v>8223</v>
      </c>
      <c r="H813" t="s">
        <v>8245</v>
      </c>
      <c r="I813" s="8">
        <v>1373475120</v>
      </c>
      <c r="J813">
        <v>1371569202</v>
      </c>
      <c r="K813" t="b">
        <v>0</v>
      </c>
      <c r="L813" s="10">
        <v>12</v>
      </c>
      <c r="M813" t="b">
        <v>1</v>
      </c>
      <c r="N813" t="s">
        <v>8274</v>
      </c>
      <c r="O813" s="11">
        <f t="shared" si="52"/>
        <v>104</v>
      </c>
      <c r="P813" s="12">
        <f t="shared" si="53"/>
        <v>87</v>
      </c>
      <c r="Q813" s="14" t="s">
        <v>8322</v>
      </c>
      <c r="R813" t="s">
        <v>8323</v>
      </c>
      <c r="S813" s="17">
        <f t="shared" si="54"/>
        <v>41443.643541666665</v>
      </c>
      <c r="T813" s="17">
        <f t="shared" si="55"/>
        <v>41465.702777777777</v>
      </c>
      <c r="U813">
        <f>MONTH(Table1[[#This Row],[Launched]])</f>
        <v>6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8218</v>
      </c>
      <c r="G814" t="s">
        <v>8223</v>
      </c>
      <c r="H814" t="s">
        <v>8245</v>
      </c>
      <c r="I814" s="8">
        <v>1362146280</v>
      </c>
      <c r="J814">
        <v>1357604752</v>
      </c>
      <c r="K814" t="b">
        <v>0</v>
      </c>
      <c r="L814" s="10">
        <v>33</v>
      </c>
      <c r="M814" t="b">
        <v>1</v>
      </c>
      <c r="N814" t="s">
        <v>8274</v>
      </c>
      <c r="O814" s="11">
        <f t="shared" si="52"/>
        <v>152</v>
      </c>
      <c r="P814" s="12">
        <f t="shared" si="53"/>
        <v>28</v>
      </c>
      <c r="Q814" s="14" t="s">
        <v>8322</v>
      </c>
      <c r="R814" t="s">
        <v>8323</v>
      </c>
      <c r="S814" s="17">
        <f t="shared" si="54"/>
        <v>41282.017962962964</v>
      </c>
      <c r="T814" s="17">
        <f t="shared" si="55"/>
        <v>41334.581944444442</v>
      </c>
      <c r="U814">
        <f>MONTH(Table1[[#This Row],[Launched]])</f>
        <v>1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8218</v>
      </c>
      <c r="G815" t="s">
        <v>8223</v>
      </c>
      <c r="H815" t="s">
        <v>8245</v>
      </c>
      <c r="I815" s="8">
        <v>1342825365</v>
      </c>
      <c r="J815">
        <v>1340233365</v>
      </c>
      <c r="K815" t="b">
        <v>0</v>
      </c>
      <c r="L815" s="10">
        <v>96</v>
      </c>
      <c r="M815" t="b">
        <v>1</v>
      </c>
      <c r="N815" t="s">
        <v>8274</v>
      </c>
      <c r="O815" s="11">
        <f t="shared" si="52"/>
        <v>160</v>
      </c>
      <c r="P815" s="12">
        <f t="shared" si="53"/>
        <v>25</v>
      </c>
      <c r="Q815" s="14" t="s">
        <v>8322</v>
      </c>
      <c r="R815" t="s">
        <v>8323</v>
      </c>
      <c r="S815" s="17">
        <f t="shared" si="54"/>
        <v>41080.960243055553</v>
      </c>
      <c r="T815" s="17">
        <f t="shared" si="55"/>
        <v>41110.960243055553</v>
      </c>
      <c r="U815">
        <f>MONTH(Table1[[#This Row],[Launched]])</f>
        <v>6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8218</v>
      </c>
      <c r="G816" t="s">
        <v>8223</v>
      </c>
      <c r="H816" t="s">
        <v>8245</v>
      </c>
      <c r="I816" s="8">
        <v>1306865040</v>
      </c>
      <c r="J816">
        <v>1305568201</v>
      </c>
      <c r="K816" t="b">
        <v>0</v>
      </c>
      <c r="L816" s="10">
        <v>28</v>
      </c>
      <c r="M816" t="b">
        <v>1</v>
      </c>
      <c r="N816" t="s">
        <v>8274</v>
      </c>
      <c r="O816" s="11">
        <f t="shared" si="52"/>
        <v>127</v>
      </c>
      <c r="P816" s="12">
        <f t="shared" si="53"/>
        <v>45</v>
      </c>
      <c r="Q816" s="14" t="s">
        <v>8322</v>
      </c>
      <c r="R816" t="s">
        <v>8323</v>
      </c>
      <c r="S816" s="17">
        <f t="shared" si="54"/>
        <v>40679.743067129632</v>
      </c>
      <c r="T816" s="17">
        <f t="shared" si="55"/>
        <v>40694.75277777778</v>
      </c>
      <c r="U816">
        <f>MONTH(Table1[[#This Row],[Launched]])</f>
        <v>5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8218</v>
      </c>
      <c r="G817" t="s">
        <v>8223</v>
      </c>
      <c r="H817" t="s">
        <v>8245</v>
      </c>
      <c r="I817" s="8">
        <v>1414879303</v>
      </c>
      <c r="J817">
        <v>1412287303</v>
      </c>
      <c r="K817" t="b">
        <v>0</v>
      </c>
      <c r="L817" s="10">
        <v>43</v>
      </c>
      <c r="M817" t="b">
        <v>1</v>
      </c>
      <c r="N817" t="s">
        <v>8274</v>
      </c>
      <c r="O817" s="11">
        <f t="shared" si="52"/>
        <v>107</v>
      </c>
      <c r="P817" s="12">
        <f t="shared" si="53"/>
        <v>100</v>
      </c>
      <c r="Q817" s="14" t="s">
        <v>8322</v>
      </c>
      <c r="R817" t="s">
        <v>8323</v>
      </c>
      <c r="S817" s="17">
        <f t="shared" si="54"/>
        <v>41914.917858796296</v>
      </c>
      <c r="T817" s="17">
        <f t="shared" si="55"/>
        <v>41944.917858796296</v>
      </c>
      <c r="U817">
        <f>MONTH(Table1[[#This Row],[Launched]])</f>
        <v>10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8218</v>
      </c>
      <c r="G818" t="s">
        <v>8223</v>
      </c>
      <c r="H818" t="s">
        <v>8245</v>
      </c>
      <c r="I818" s="8">
        <v>1365489000</v>
      </c>
      <c r="J818">
        <v>1362776043</v>
      </c>
      <c r="K818" t="b">
        <v>0</v>
      </c>
      <c r="L818" s="10">
        <v>205</v>
      </c>
      <c r="M818" t="b">
        <v>1</v>
      </c>
      <c r="N818" t="s">
        <v>8274</v>
      </c>
      <c r="O818" s="11">
        <f t="shared" si="52"/>
        <v>115</v>
      </c>
      <c r="P818" s="12">
        <f t="shared" si="53"/>
        <v>39</v>
      </c>
      <c r="Q818" s="14" t="s">
        <v>8322</v>
      </c>
      <c r="R818" t="s">
        <v>8323</v>
      </c>
      <c r="S818" s="17">
        <f t="shared" si="54"/>
        <v>41341.870868055557</v>
      </c>
      <c r="T818" s="17">
        <f t="shared" si="55"/>
        <v>41373.270833333336</v>
      </c>
      <c r="U818">
        <f>MONTH(Table1[[#This Row],[Launched]])</f>
        <v>3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8218</v>
      </c>
      <c r="G819" t="s">
        <v>8223</v>
      </c>
      <c r="H819" t="s">
        <v>8245</v>
      </c>
      <c r="I819" s="8">
        <v>1331441940</v>
      </c>
      <c r="J819">
        <v>1326810211</v>
      </c>
      <c r="K819" t="b">
        <v>0</v>
      </c>
      <c r="L819" s="10">
        <v>23</v>
      </c>
      <c r="M819" t="b">
        <v>1</v>
      </c>
      <c r="N819" t="s">
        <v>8274</v>
      </c>
      <c r="O819" s="11">
        <f t="shared" si="52"/>
        <v>137</v>
      </c>
      <c r="P819" s="12">
        <f t="shared" si="53"/>
        <v>89</v>
      </c>
      <c r="Q819" s="14" t="s">
        <v>8322</v>
      </c>
      <c r="R819" t="s">
        <v>8323</v>
      </c>
      <c r="S819" s="17">
        <f t="shared" si="54"/>
        <v>40925.599664351852</v>
      </c>
      <c r="T819" s="17">
        <f t="shared" si="55"/>
        <v>40979.207638888889</v>
      </c>
      <c r="U819">
        <f>MONTH(Table1[[#This Row],[Launched]])</f>
        <v>1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8218</v>
      </c>
      <c r="G820" t="s">
        <v>8223</v>
      </c>
      <c r="H820" t="s">
        <v>8245</v>
      </c>
      <c r="I820" s="8">
        <v>1344358860</v>
      </c>
      <c r="J820">
        <v>1343682681</v>
      </c>
      <c r="K820" t="b">
        <v>0</v>
      </c>
      <c r="L820" s="10">
        <v>19</v>
      </c>
      <c r="M820" t="b">
        <v>1</v>
      </c>
      <c r="N820" t="s">
        <v>8274</v>
      </c>
      <c r="O820" s="11">
        <f t="shared" si="52"/>
        <v>156</v>
      </c>
      <c r="P820" s="12">
        <f t="shared" si="53"/>
        <v>29</v>
      </c>
      <c r="Q820" s="14" t="s">
        <v>8322</v>
      </c>
      <c r="R820" t="s">
        <v>8323</v>
      </c>
      <c r="S820" s="17">
        <f t="shared" si="54"/>
        <v>41120.882881944446</v>
      </c>
      <c r="T820" s="17">
        <f t="shared" si="55"/>
        <v>41128.709027777775</v>
      </c>
      <c r="U820">
        <f>MONTH(Table1[[#This Row],[Launched]])</f>
        <v>7</v>
      </c>
    </row>
    <row r="821" spans="1:21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8218</v>
      </c>
      <c r="G821" t="s">
        <v>8223</v>
      </c>
      <c r="H821" t="s">
        <v>8245</v>
      </c>
      <c r="I821" s="8">
        <v>1387601040</v>
      </c>
      <c r="J821">
        <v>1386806254</v>
      </c>
      <c r="K821" t="b">
        <v>0</v>
      </c>
      <c r="L821" s="10">
        <v>14</v>
      </c>
      <c r="M821" t="b">
        <v>1</v>
      </c>
      <c r="N821" t="s">
        <v>8274</v>
      </c>
      <c r="O821" s="11">
        <f t="shared" si="52"/>
        <v>109</v>
      </c>
      <c r="P821" s="12">
        <f t="shared" si="53"/>
        <v>31</v>
      </c>
      <c r="Q821" s="14" t="s">
        <v>8322</v>
      </c>
      <c r="R821" t="s">
        <v>8323</v>
      </c>
      <c r="S821" s="17">
        <f t="shared" si="54"/>
        <v>41619.998310185183</v>
      </c>
      <c r="T821" s="17">
        <f t="shared" si="55"/>
        <v>41629.197222222225</v>
      </c>
      <c r="U821">
        <f>MONTH(Table1[[#This Row],[Launched]])</f>
        <v>12</v>
      </c>
    </row>
    <row r="822" spans="1:21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8218</v>
      </c>
      <c r="G822" t="s">
        <v>8223</v>
      </c>
      <c r="H822" t="s">
        <v>8245</v>
      </c>
      <c r="I822" s="8">
        <v>1402290000</v>
      </c>
      <c r="J822">
        <v>1399666342</v>
      </c>
      <c r="K822" t="b">
        <v>0</v>
      </c>
      <c r="L822" s="10">
        <v>38</v>
      </c>
      <c r="M822" t="b">
        <v>1</v>
      </c>
      <c r="N822" t="s">
        <v>8274</v>
      </c>
      <c r="O822" s="11">
        <f t="shared" si="52"/>
        <v>134</v>
      </c>
      <c r="P822" s="12">
        <f t="shared" si="53"/>
        <v>71</v>
      </c>
      <c r="Q822" s="14" t="s">
        <v>8322</v>
      </c>
      <c r="R822" t="s">
        <v>8323</v>
      </c>
      <c r="S822" s="17">
        <f t="shared" si="54"/>
        <v>41768.841921296298</v>
      </c>
      <c r="T822" s="17">
        <f t="shared" si="55"/>
        <v>41799.208333333336</v>
      </c>
      <c r="U822">
        <f>MONTH(Table1[[#This Row],[Launched]])</f>
        <v>5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8218</v>
      </c>
      <c r="G823" t="s">
        <v>8223</v>
      </c>
      <c r="H823" t="s">
        <v>8245</v>
      </c>
      <c r="I823" s="8">
        <v>1430712060</v>
      </c>
      <c r="J823">
        <v>1427753265</v>
      </c>
      <c r="K823" t="b">
        <v>0</v>
      </c>
      <c r="L823" s="10">
        <v>78</v>
      </c>
      <c r="M823" t="b">
        <v>1</v>
      </c>
      <c r="N823" t="s">
        <v>8274</v>
      </c>
      <c r="O823" s="11">
        <f t="shared" si="52"/>
        <v>100</v>
      </c>
      <c r="P823" s="12">
        <f t="shared" si="53"/>
        <v>224</v>
      </c>
      <c r="Q823" s="14" t="s">
        <v>8322</v>
      </c>
      <c r="R823" t="s">
        <v>8323</v>
      </c>
      <c r="S823" s="17">
        <f t="shared" si="54"/>
        <v>42093.922048611115</v>
      </c>
      <c r="T823" s="17">
        <f t="shared" si="55"/>
        <v>42128.167361111111</v>
      </c>
      <c r="U823">
        <f>MONTH(Table1[[#This Row],[Launched]])</f>
        <v>3</v>
      </c>
    </row>
    <row r="824" spans="1:21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8218</v>
      </c>
      <c r="G824" t="s">
        <v>8223</v>
      </c>
      <c r="H824" t="s">
        <v>8245</v>
      </c>
      <c r="I824" s="8">
        <v>1349477050</v>
      </c>
      <c r="J824">
        <v>1346885050</v>
      </c>
      <c r="K824" t="b">
        <v>0</v>
      </c>
      <c r="L824" s="10">
        <v>69</v>
      </c>
      <c r="M824" t="b">
        <v>1</v>
      </c>
      <c r="N824" t="s">
        <v>8274</v>
      </c>
      <c r="O824" s="11">
        <f t="shared" si="52"/>
        <v>119</v>
      </c>
      <c r="P824" s="12">
        <f t="shared" si="53"/>
        <v>52</v>
      </c>
      <c r="Q824" s="14" t="s">
        <v>8322</v>
      </c>
      <c r="R824" t="s">
        <v>8323</v>
      </c>
      <c r="S824" s="17">
        <f t="shared" si="54"/>
        <v>41157.947337962964</v>
      </c>
      <c r="T824" s="17">
        <f t="shared" si="55"/>
        <v>41187.947337962964</v>
      </c>
      <c r="U824">
        <f>MONTH(Table1[[#This Row],[Launched]])</f>
        <v>9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8218</v>
      </c>
      <c r="G825" t="s">
        <v>8223</v>
      </c>
      <c r="H825" t="s">
        <v>8245</v>
      </c>
      <c r="I825" s="8">
        <v>1427062852</v>
      </c>
      <c r="J825">
        <v>1424474452</v>
      </c>
      <c r="K825" t="b">
        <v>0</v>
      </c>
      <c r="L825" s="10">
        <v>33</v>
      </c>
      <c r="M825" t="b">
        <v>1</v>
      </c>
      <c r="N825" t="s">
        <v>8274</v>
      </c>
      <c r="O825" s="11">
        <f t="shared" si="52"/>
        <v>180</v>
      </c>
      <c r="P825" s="12">
        <f t="shared" si="53"/>
        <v>44</v>
      </c>
      <c r="Q825" s="14" t="s">
        <v>8322</v>
      </c>
      <c r="R825" t="s">
        <v>8323</v>
      </c>
      <c r="S825" s="17">
        <f t="shared" si="54"/>
        <v>42055.972824074073</v>
      </c>
      <c r="T825" s="17">
        <f t="shared" si="55"/>
        <v>42085.931157407409</v>
      </c>
      <c r="U825">
        <f>MONTH(Table1[[#This Row],[Launched]])</f>
        <v>2</v>
      </c>
    </row>
    <row r="826" spans="1:21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8218</v>
      </c>
      <c r="G826" t="s">
        <v>8223</v>
      </c>
      <c r="H826" t="s">
        <v>8245</v>
      </c>
      <c r="I826" s="8">
        <v>1271573940</v>
      </c>
      <c r="J826">
        <v>1268459318</v>
      </c>
      <c r="K826" t="b">
        <v>0</v>
      </c>
      <c r="L826" s="10">
        <v>54</v>
      </c>
      <c r="M826" t="b">
        <v>1</v>
      </c>
      <c r="N826" t="s">
        <v>8274</v>
      </c>
      <c r="O826" s="11">
        <f t="shared" si="52"/>
        <v>134</v>
      </c>
      <c r="P826" s="12">
        <f t="shared" si="53"/>
        <v>40</v>
      </c>
      <c r="Q826" s="14" t="s">
        <v>8322</v>
      </c>
      <c r="R826" t="s">
        <v>8323</v>
      </c>
      <c r="S826" s="17">
        <f t="shared" si="54"/>
        <v>40250.242106481484</v>
      </c>
      <c r="T826" s="17">
        <f t="shared" si="55"/>
        <v>40286.290972222225</v>
      </c>
      <c r="U826">
        <f>MONTH(Table1[[#This Row],[Launched]])</f>
        <v>3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8218</v>
      </c>
      <c r="G827" t="s">
        <v>8223</v>
      </c>
      <c r="H827" t="s">
        <v>8245</v>
      </c>
      <c r="I827" s="8">
        <v>1351495284</v>
      </c>
      <c r="J827">
        <v>1349335284</v>
      </c>
      <c r="K827" t="b">
        <v>0</v>
      </c>
      <c r="L827" s="10">
        <v>99</v>
      </c>
      <c r="M827" t="b">
        <v>1</v>
      </c>
      <c r="N827" t="s">
        <v>8274</v>
      </c>
      <c r="O827" s="11">
        <f t="shared" si="52"/>
        <v>100</v>
      </c>
      <c r="P827" s="12">
        <f t="shared" si="53"/>
        <v>127</v>
      </c>
      <c r="Q827" s="14" t="s">
        <v>8322</v>
      </c>
      <c r="R827" t="s">
        <v>8323</v>
      </c>
      <c r="S827" s="17">
        <f t="shared" si="54"/>
        <v>41186.306527777779</v>
      </c>
      <c r="T827" s="17">
        <f t="shared" si="55"/>
        <v>41211.306527777779</v>
      </c>
      <c r="U827">
        <f>MONTH(Table1[[#This Row],[Launched]])</f>
        <v>10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8218</v>
      </c>
      <c r="G828" t="s">
        <v>8223</v>
      </c>
      <c r="H828" t="s">
        <v>8245</v>
      </c>
      <c r="I828" s="8">
        <v>1332719730</v>
      </c>
      <c r="J828">
        <v>1330908930</v>
      </c>
      <c r="K828" t="b">
        <v>0</v>
      </c>
      <c r="L828" s="10">
        <v>49</v>
      </c>
      <c r="M828" t="b">
        <v>1</v>
      </c>
      <c r="N828" t="s">
        <v>8274</v>
      </c>
      <c r="O828" s="11">
        <f t="shared" si="52"/>
        <v>101</v>
      </c>
      <c r="P828" s="12">
        <f t="shared" si="53"/>
        <v>114</v>
      </c>
      <c r="Q828" s="14" t="s">
        <v>8322</v>
      </c>
      <c r="R828" t="s">
        <v>8323</v>
      </c>
      <c r="S828" s="17">
        <f t="shared" si="54"/>
        <v>40973.038541666669</v>
      </c>
      <c r="T828" s="17">
        <f t="shared" si="55"/>
        <v>40993.996874999997</v>
      </c>
      <c r="U828">
        <f>MONTH(Table1[[#This Row],[Launched]])</f>
        <v>3</v>
      </c>
    </row>
    <row r="829" spans="1:21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8218</v>
      </c>
      <c r="G829" t="s">
        <v>8223</v>
      </c>
      <c r="H829" t="s">
        <v>8245</v>
      </c>
      <c r="I829" s="8">
        <v>1329248940</v>
      </c>
      <c r="J829">
        <v>1326972107</v>
      </c>
      <c r="K829" t="b">
        <v>0</v>
      </c>
      <c r="L829" s="10">
        <v>11</v>
      </c>
      <c r="M829" t="b">
        <v>1</v>
      </c>
      <c r="N829" t="s">
        <v>8274</v>
      </c>
      <c r="O829" s="11">
        <f t="shared" si="52"/>
        <v>103</v>
      </c>
      <c r="P829" s="12">
        <f t="shared" si="53"/>
        <v>28</v>
      </c>
      <c r="Q829" s="14" t="s">
        <v>8322</v>
      </c>
      <c r="R829" t="s">
        <v>8323</v>
      </c>
      <c r="S829" s="17">
        <f t="shared" si="54"/>
        <v>40927.473460648151</v>
      </c>
      <c r="T829" s="17">
        <f t="shared" si="55"/>
        <v>40953.825694444444</v>
      </c>
      <c r="U829">
        <f>MONTH(Table1[[#This Row],[Launched]])</f>
        <v>1</v>
      </c>
    </row>
    <row r="830" spans="1:21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8218</v>
      </c>
      <c r="G830" t="s">
        <v>8223</v>
      </c>
      <c r="H830" t="s">
        <v>8245</v>
      </c>
      <c r="I830" s="8">
        <v>1340641440</v>
      </c>
      <c r="J830">
        <v>1339549982</v>
      </c>
      <c r="K830" t="b">
        <v>0</v>
      </c>
      <c r="L830" s="10">
        <v>38</v>
      </c>
      <c r="M830" t="b">
        <v>1</v>
      </c>
      <c r="N830" t="s">
        <v>8274</v>
      </c>
      <c r="O830" s="11">
        <f t="shared" si="52"/>
        <v>107</v>
      </c>
      <c r="P830" s="12">
        <f t="shared" si="53"/>
        <v>37</v>
      </c>
      <c r="Q830" s="14" t="s">
        <v>8322</v>
      </c>
      <c r="R830" t="s">
        <v>8323</v>
      </c>
      <c r="S830" s="17">
        <f t="shared" si="54"/>
        <v>41073.050717592596</v>
      </c>
      <c r="T830" s="17">
        <f t="shared" si="55"/>
        <v>41085.683333333334</v>
      </c>
      <c r="U830">
        <f>MONTH(Table1[[#This Row],[Launched]])</f>
        <v>6</v>
      </c>
    </row>
    <row r="831" spans="1:21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8218</v>
      </c>
      <c r="G831" t="s">
        <v>8224</v>
      </c>
      <c r="H831" t="s">
        <v>8246</v>
      </c>
      <c r="I831" s="8">
        <v>1468437240</v>
      </c>
      <c r="J831">
        <v>1463253240</v>
      </c>
      <c r="K831" t="b">
        <v>0</v>
      </c>
      <c r="L831" s="10">
        <v>16</v>
      </c>
      <c r="M831" t="b">
        <v>1</v>
      </c>
      <c r="N831" t="s">
        <v>8274</v>
      </c>
      <c r="O831" s="11">
        <f t="shared" si="52"/>
        <v>104</v>
      </c>
      <c r="P831" s="12">
        <f t="shared" si="53"/>
        <v>33</v>
      </c>
      <c r="Q831" s="14" t="s">
        <v>8322</v>
      </c>
      <c r="R831" t="s">
        <v>8323</v>
      </c>
      <c r="S831" s="17">
        <f t="shared" si="54"/>
        <v>42504.801388888889</v>
      </c>
      <c r="T831" s="17">
        <f t="shared" si="55"/>
        <v>42564.801388888889</v>
      </c>
      <c r="U831">
        <f>MONTH(Table1[[#This Row],[Launched]])</f>
        <v>5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8218</v>
      </c>
      <c r="G832" t="s">
        <v>8223</v>
      </c>
      <c r="H832" t="s">
        <v>8245</v>
      </c>
      <c r="I832" s="8">
        <v>1363952225</v>
      </c>
      <c r="J832">
        <v>1361363825</v>
      </c>
      <c r="K832" t="b">
        <v>0</v>
      </c>
      <c r="L832" s="10">
        <v>32</v>
      </c>
      <c r="M832" t="b">
        <v>1</v>
      </c>
      <c r="N832" t="s">
        <v>8274</v>
      </c>
      <c r="O832" s="11">
        <f t="shared" si="52"/>
        <v>108</v>
      </c>
      <c r="P832" s="12">
        <f t="shared" si="53"/>
        <v>61</v>
      </c>
      <c r="Q832" s="14" t="s">
        <v>8322</v>
      </c>
      <c r="R832" t="s">
        <v>8323</v>
      </c>
      <c r="S832" s="17">
        <f t="shared" si="54"/>
        <v>41325.525752314818</v>
      </c>
      <c r="T832" s="17">
        <f t="shared" si="55"/>
        <v>41355.484085648146</v>
      </c>
      <c r="U832">
        <f>MONTH(Table1[[#This Row],[Launched]])</f>
        <v>2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8218</v>
      </c>
      <c r="G833" t="s">
        <v>8223</v>
      </c>
      <c r="H833" t="s">
        <v>8245</v>
      </c>
      <c r="I833" s="8">
        <v>1335540694</v>
      </c>
      <c r="J833">
        <v>1332948694</v>
      </c>
      <c r="K833" t="b">
        <v>0</v>
      </c>
      <c r="L833" s="10">
        <v>20</v>
      </c>
      <c r="M833" t="b">
        <v>1</v>
      </c>
      <c r="N833" t="s">
        <v>8274</v>
      </c>
      <c r="O833" s="11">
        <f t="shared" si="52"/>
        <v>233</v>
      </c>
      <c r="P833" s="12">
        <f t="shared" si="53"/>
        <v>175</v>
      </c>
      <c r="Q833" s="14" t="s">
        <v>8322</v>
      </c>
      <c r="R833" t="s">
        <v>8323</v>
      </c>
      <c r="S833" s="17">
        <f t="shared" si="54"/>
        <v>40996.646921296298</v>
      </c>
      <c r="T833" s="17">
        <f t="shared" si="55"/>
        <v>41026.646921296298</v>
      </c>
      <c r="U833">
        <f>MONTH(Table1[[#This Row],[Launched]])</f>
        <v>3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 s="8">
        <v>1327133580</v>
      </c>
      <c r="J834">
        <v>1321978335</v>
      </c>
      <c r="K834" t="b">
        <v>0</v>
      </c>
      <c r="L834" s="10">
        <v>154</v>
      </c>
      <c r="M834" t="b">
        <v>1</v>
      </c>
      <c r="N834" t="s">
        <v>8274</v>
      </c>
      <c r="O834" s="11">
        <f t="shared" ref="O834:O897" si="56">ROUND(E834/D834*100,0)</f>
        <v>101</v>
      </c>
      <c r="P834" s="12">
        <f t="shared" si="53"/>
        <v>98</v>
      </c>
      <c r="Q834" s="14" t="s">
        <v>8322</v>
      </c>
      <c r="R834" t="s">
        <v>8323</v>
      </c>
      <c r="S834" s="17">
        <f t="shared" si="54"/>
        <v>40869.675173611111</v>
      </c>
      <c r="T834" s="17">
        <f t="shared" si="55"/>
        <v>40929.342361111114</v>
      </c>
      <c r="U834">
        <f>MONTH(Table1[[#This Row],[Launched]])</f>
        <v>11</v>
      </c>
    </row>
    <row r="835" spans="1:21" ht="15.6" x14ac:dyDescent="0.3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8218</v>
      </c>
      <c r="G835" t="s">
        <v>8223</v>
      </c>
      <c r="H835" t="s">
        <v>8245</v>
      </c>
      <c r="I835" s="8">
        <v>1397941475</v>
      </c>
      <c r="J835">
        <v>1395349475</v>
      </c>
      <c r="K835" t="b">
        <v>0</v>
      </c>
      <c r="L835" s="10">
        <v>41</v>
      </c>
      <c r="M835" t="b">
        <v>1</v>
      </c>
      <c r="N835" t="s">
        <v>8274</v>
      </c>
      <c r="O835" s="11">
        <f t="shared" si="56"/>
        <v>102</v>
      </c>
      <c r="P835" s="12">
        <f t="shared" ref="P835:P898" si="57">IFERROR(ROUND(E835/L835,),"No Backers")</f>
        <v>149</v>
      </c>
      <c r="Q835" s="14" t="s">
        <v>8322</v>
      </c>
      <c r="R835" t="s">
        <v>8323</v>
      </c>
      <c r="S835" s="17">
        <f t="shared" ref="S835:S898" si="58">(((J835/60)/60)/24)+DATE(1970,1,1)</f>
        <v>41718.878182870372</v>
      </c>
      <c r="T835" s="17">
        <f t="shared" ref="T835:T898" si="59">(((I835/60)/60)/24)+DATE(1970,1,1)</f>
        <v>41748.878182870372</v>
      </c>
      <c r="U835">
        <f>MONTH(Table1[[#This Row],[Launched]])</f>
        <v>3</v>
      </c>
    </row>
    <row r="836" spans="1:21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8218</v>
      </c>
      <c r="G836" t="s">
        <v>8223</v>
      </c>
      <c r="H836" t="s">
        <v>8245</v>
      </c>
      <c r="I836" s="8">
        <v>1372651140</v>
      </c>
      <c r="J836">
        <v>1369770292</v>
      </c>
      <c r="K836" t="b">
        <v>0</v>
      </c>
      <c r="L836" s="10">
        <v>75</v>
      </c>
      <c r="M836" t="b">
        <v>1</v>
      </c>
      <c r="N836" t="s">
        <v>8274</v>
      </c>
      <c r="O836" s="11">
        <f t="shared" si="56"/>
        <v>131</v>
      </c>
      <c r="P836" s="12">
        <f t="shared" si="57"/>
        <v>96</v>
      </c>
      <c r="Q836" s="14" t="s">
        <v>8322</v>
      </c>
      <c r="R836" t="s">
        <v>8323</v>
      </c>
      <c r="S836" s="17">
        <f t="shared" si="58"/>
        <v>41422.822824074072</v>
      </c>
      <c r="T836" s="17">
        <f t="shared" si="59"/>
        <v>41456.165972222225</v>
      </c>
      <c r="U836">
        <f>MONTH(Table1[[#This Row],[Launched]])</f>
        <v>5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8218</v>
      </c>
      <c r="G837" t="s">
        <v>8223</v>
      </c>
      <c r="H837" t="s">
        <v>8245</v>
      </c>
      <c r="I837" s="8">
        <v>1337396400</v>
      </c>
      <c r="J837">
        <v>1333709958</v>
      </c>
      <c r="K837" t="b">
        <v>0</v>
      </c>
      <c r="L837" s="10">
        <v>40</v>
      </c>
      <c r="M837" t="b">
        <v>1</v>
      </c>
      <c r="N837" t="s">
        <v>8274</v>
      </c>
      <c r="O837" s="11">
        <f t="shared" si="56"/>
        <v>117</v>
      </c>
      <c r="P837" s="12">
        <f t="shared" si="57"/>
        <v>59</v>
      </c>
      <c r="Q837" s="14" t="s">
        <v>8322</v>
      </c>
      <c r="R837" t="s">
        <v>8323</v>
      </c>
      <c r="S837" s="17">
        <f t="shared" si="58"/>
        <v>41005.45784722222</v>
      </c>
      <c r="T837" s="17">
        <f t="shared" si="59"/>
        <v>41048.125</v>
      </c>
      <c r="U837">
        <f>MONTH(Table1[[#This Row],[Launched]])</f>
        <v>4</v>
      </c>
    </row>
    <row r="838" spans="1:21" ht="15.6" x14ac:dyDescent="0.3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 s="8">
        <v>1381108918</v>
      </c>
      <c r="J838">
        <v>1378516918</v>
      </c>
      <c r="K838" t="b">
        <v>0</v>
      </c>
      <c r="L838" s="10">
        <v>46</v>
      </c>
      <c r="M838" t="b">
        <v>1</v>
      </c>
      <c r="N838" t="s">
        <v>8274</v>
      </c>
      <c r="O838" s="11">
        <f t="shared" si="56"/>
        <v>101</v>
      </c>
      <c r="P838" s="12">
        <f t="shared" si="57"/>
        <v>110</v>
      </c>
      <c r="Q838" s="14" t="s">
        <v>8322</v>
      </c>
      <c r="R838" t="s">
        <v>8323</v>
      </c>
      <c r="S838" s="17">
        <f t="shared" si="58"/>
        <v>41524.056921296295</v>
      </c>
      <c r="T838" s="17">
        <f t="shared" si="59"/>
        <v>41554.056921296295</v>
      </c>
      <c r="U838">
        <f>MONTH(Table1[[#This Row],[Launched]])</f>
        <v>9</v>
      </c>
    </row>
    <row r="839" spans="1:21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8218</v>
      </c>
      <c r="G839" t="s">
        <v>8223</v>
      </c>
      <c r="H839" t="s">
        <v>8245</v>
      </c>
      <c r="I839" s="8">
        <v>1398988662</v>
      </c>
      <c r="J839">
        <v>1396396662</v>
      </c>
      <c r="K839" t="b">
        <v>0</v>
      </c>
      <c r="L839" s="10">
        <v>62</v>
      </c>
      <c r="M839" t="b">
        <v>1</v>
      </c>
      <c r="N839" t="s">
        <v>8274</v>
      </c>
      <c r="O839" s="11">
        <f t="shared" si="56"/>
        <v>122</v>
      </c>
      <c r="P839" s="12">
        <f t="shared" si="57"/>
        <v>49</v>
      </c>
      <c r="Q839" s="14" t="s">
        <v>8322</v>
      </c>
      <c r="R839" t="s">
        <v>8323</v>
      </c>
      <c r="S839" s="17">
        <f t="shared" si="58"/>
        <v>41730.998402777775</v>
      </c>
      <c r="T839" s="17">
        <f t="shared" si="59"/>
        <v>41760.998402777775</v>
      </c>
      <c r="U839">
        <f>MONTH(Table1[[#This Row],[Launched]])</f>
        <v>4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8218</v>
      </c>
      <c r="G840" t="s">
        <v>8223</v>
      </c>
      <c r="H840" t="s">
        <v>8245</v>
      </c>
      <c r="I840" s="8">
        <v>1326835985</v>
      </c>
      <c r="J840">
        <v>1324243985</v>
      </c>
      <c r="K840" t="b">
        <v>0</v>
      </c>
      <c r="L840" s="10">
        <v>61</v>
      </c>
      <c r="M840" t="b">
        <v>1</v>
      </c>
      <c r="N840" t="s">
        <v>8274</v>
      </c>
      <c r="O840" s="11">
        <f t="shared" si="56"/>
        <v>145</v>
      </c>
      <c r="P840" s="12">
        <f t="shared" si="57"/>
        <v>48</v>
      </c>
      <c r="Q840" s="14" t="s">
        <v>8322</v>
      </c>
      <c r="R840" t="s">
        <v>8323</v>
      </c>
      <c r="S840" s="17">
        <f t="shared" si="58"/>
        <v>40895.897974537038</v>
      </c>
      <c r="T840" s="17">
        <f t="shared" si="59"/>
        <v>40925.897974537038</v>
      </c>
      <c r="U840">
        <f>MONTH(Table1[[#This Row],[Launched]])</f>
        <v>12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8218</v>
      </c>
      <c r="G841" t="s">
        <v>8223</v>
      </c>
      <c r="H841" t="s">
        <v>8245</v>
      </c>
      <c r="I841" s="8">
        <v>1348337956</v>
      </c>
      <c r="J841">
        <v>1345745956</v>
      </c>
      <c r="K841" t="b">
        <v>0</v>
      </c>
      <c r="L841" s="10">
        <v>96</v>
      </c>
      <c r="M841" t="b">
        <v>1</v>
      </c>
      <c r="N841" t="s">
        <v>8274</v>
      </c>
      <c r="O841" s="11">
        <f t="shared" si="56"/>
        <v>117</v>
      </c>
      <c r="P841" s="12">
        <f t="shared" si="57"/>
        <v>61</v>
      </c>
      <c r="Q841" s="14" t="s">
        <v>8322</v>
      </c>
      <c r="R841" t="s">
        <v>8323</v>
      </c>
      <c r="S841" s="17">
        <f t="shared" si="58"/>
        <v>41144.763379629629</v>
      </c>
      <c r="T841" s="17">
        <f t="shared" si="59"/>
        <v>41174.763379629629</v>
      </c>
      <c r="U841">
        <f>MONTH(Table1[[#This Row],[Launched]])</f>
        <v>8</v>
      </c>
    </row>
    <row r="842" spans="1:21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 s="8">
        <v>1474694787</v>
      </c>
      <c r="J842">
        <v>1472102787</v>
      </c>
      <c r="K842" t="b">
        <v>0</v>
      </c>
      <c r="L842" s="10">
        <v>190</v>
      </c>
      <c r="M842" t="b">
        <v>1</v>
      </c>
      <c r="N842" t="s">
        <v>8275</v>
      </c>
      <c r="O842" s="11">
        <f t="shared" si="56"/>
        <v>120</v>
      </c>
      <c r="P842" s="12">
        <f t="shared" si="57"/>
        <v>63</v>
      </c>
      <c r="Q842" s="14" t="s">
        <v>8322</v>
      </c>
      <c r="R842" t="s">
        <v>8324</v>
      </c>
      <c r="S842" s="17">
        <f t="shared" si="58"/>
        <v>42607.226701388892</v>
      </c>
      <c r="T842" s="17">
        <f t="shared" si="59"/>
        <v>42637.226701388892</v>
      </c>
      <c r="U842">
        <f>MONTH(Table1[[#This Row],[Launched]])</f>
        <v>8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8218</v>
      </c>
      <c r="G843" t="s">
        <v>8223</v>
      </c>
      <c r="H843" t="s">
        <v>8245</v>
      </c>
      <c r="I843" s="8">
        <v>1415653663</v>
      </c>
      <c r="J843">
        <v>1413058063</v>
      </c>
      <c r="K843" t="b">
        <v>1</v>
      </c>
      <c r="L843" s="10">
        <v>94</v>
      </c>
      <c r="M843" t="b">
        <v>1</v>
      </c>
      <c r="N843" t="s">
        <v>8275</v>
      </c>
      <c r="O843" s="11">
        <f t="shared" si="56"/>
        <v>101</v>
      </c>
      <c r="P843" s="12">
        <f t="shared" si="57"/>
        <v>54</v>
      </c>
      <c r="Q843" s="14" t="s">
        <v>8322</v>
      </c>
      <c r="R843" t="s">
        <v>8324</v>
      </c>
      <c r="S843" s="17">
        <f t="shared" si="58"/>
        <v>41923.838692129626</v>
      </c>
      <c r="T843" s="17">
        <f t="shared" si="59"/>
        <v>41953.88035879629</v>
      </c>
      <c r="U843">
        <f>MONTH(Table1[[#This Row],[Launched]])</f>
        <v>10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8218</v>
      </c>
      <c r="G844" t="s">
        <v>8228</v>
      </c>
      <c r="H844" t="s">
        <v>8250</v>
      </c>
      <c r="I844" s="8">
        <v>1381723140</v>
      </c>
      <c r="J844">
        <v>1378735983</v>
      </c>
      <c r="K844" t="b">
        <v>1</v>
      </c>
      <c r="L844" s="10">
        <v>39</v>
      </c>
      <c r="M844" t="b">
        <v>1</v>
      </c>
      <c r="N844" t="s">
        <v>8275</v>
      </c>
      <c r="O844" s="11">
        <f t="shared" si="56"/>
        <v>104</v>
      </c>
      <c r="P844" s="12">
        <f t="shared" si="57"/>
        <v>67</v>
      </c>
      <c r="Q844" s="14" t="s">
        <v>8322</v>
      </c>
      <c r="R844" t="s">
        <v>8324</v>
      </c>
      <c r="S844" s="17">
        <f t="shared" si="58"/>
        <v>41526.592395833337</v>
      </c>
      <c r="T844" s="17">
        <f t="shared" si="59"/>
        <v>41561.165972222225</v>
      </c>
      <c r="U844">
        <f>MONTH(Table1[[#This Row],[Launched]])</f>
        <v>9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8218</v>
      </c>
      <c r="G845" t="s">
        <v>8223</v>
      </c>
      <c r="H845" t="s">
        <v>8245</v>
      </c>
      <c r="I845" s="8">
        <v>1481184000</v>
      </c>
      <c r="J845">
        <v>1479708680</v>
      </c>
      <c r="K845" t="b">
        <v>0</v>
      </c>
      <c r="L845" s="10">
        <v>127</v>
      </c>
      <c r="M845" t="b">
        <v>1</v>
      </c>
      <c r="N845" t="s">
        <v>8275</v>
      </c>
      <c r="O845" s="11">
        <f t="shared" si="56"/>
        <v>267</v>
      </c>
      <c r="P845" s="12">
        <f t="shared" si="57"/>
        <v>63</v>
      </c>
      <c r="Q845" s="14" t="s">
        <v>8322</v>
      </c>
      <c r="R845" t="s">
        <v>8324</v>
      </c>
      <c r="S845" s="17">
        <f t="shared" si="58"/>
        <v>42695.257870370369</v>
      </c>
      <c r="T845" s="17">
        <f t="shared" si="59"/>
        <v>42712.333333333328</v>
      </c>
      <c r="U845">
        <f>MONTH(Table1[[#This Row],[Launched]])</f>
        <v>11</v>
      </c>
    </row>
    <row r="846" spans="1:21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8218</v>
      </c>
      <c r="G846" t="s">
        <v>8223</v>
      </c>
      <c r="H846" t="s">
        <v>8245</v>
      </c>
      <c r="I846" s="8">
        <v>1414817940</v>
      </c>
      <c r="J846">
        <v>1411489552</v>
      </c>
      <c r="K846" t="b">
        <v>1</v>
      </c>
      <c r="L846" s="10">
        <v>159</v>
      </c>
      <c r="M846" t="b">
        <v>1</v>
      </c>
      <c r="N846" t="s">
        <v>8275</v>
      </c>
      <c r="O846" s="11">
        <f t="shared" si="56"/>
        <v>194</v>
      </c>
      <c r="P846" s="12">
        <f t="shared" si="57"/>
        <v>37</v>
      </c>
      <c r="Q846" s="14" t="s">
        <v>8322</v>
      </c>
      <c r="R846" t="s">
        <v>8324</v>
      </c>
      <c r="S846" s="17">
        <f t="shared" si="58"/>
        <v>41905.684629629628</v>
      </c>
      <c r="T846" s="17">
        <f t="shared" si="59"/>
        <v>41944.207638888889</v>
      </c>
      <c r="U846">
        <f>MONTH(Table1[[#This Row],[Launched]])</f>
        <v>9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8218</v>
      </c>
      <c r="G847" t="s">
        <v>8223</v>
      </c>
      <c r="H847" t="s">
        <v>8245</v>
      </c>
      <c r="I847" s="8">
        <v>1473047940</v>
      </c>
      <c r="J847">
        <v>1469595396</v>
      </c>
      <c r="K847" t="b">
        <v>0</v>
      </c>
      <c r="L847" s="10">
        <v>177</v>
      </c>
      <c r="M847" t="b">
        <v>1</v>
      </c>
      <c r="N847" t="s">
        <v>8275</v>
      </c>
      <c r="O847" s="11">
        <f t="shared" si="56"/>
        <v>120</v>
      </c>
      <c r="P847" s="12">
        <f t="shared" si="57"/>
        <v>34</v>
      </c>
      <c r="Q847" s="14" t="s">
        <v>8322</v>
      </c>
      <c r="R847" t="s">
        <v>8324</v>
      </c>
      <c r="S847" s="17">
        <f t="shared" si="58"/>
        <v>42578.205972222218</v>
      </c>
      <c r="T847" s="17">
        <f t="shared" si="59"/>
        <v>42618.165972222225</v>
      </c>
      <c r="U847">
        <f>MONTH(Table1[[#This Row],[Launched]])</f>
        <v>7</v>
      </c>
    </row>
    <row r="848" spans="1:21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8218</v>
      </c>
      <c r="G848" t="s">
        <v>8224</v>
      </c>
      <c r="H848" t="s">
        <v>8246</v>
      </c>
      <c r="I848" s="8">
        <v>1394460000</v>
      </c>
      <c r="J848">
        <v>1393233855</v>
      </c>
      <c r="K848" t="b">
        <v>0</v>
      </c>
      <c r="L848" s="10">
        <v>47</v>
      </c>
      <c r="M848" t="b">
        <v>1</v>
      </c>
      <c r="N848" t="s">
        <v>8275</v>
      </c>
      <c r="O848" s="11">
        <f t="shared" si="56"/>
        <v>122</v>
      </c>
      <c r="P848" s="12">
        <f t="shared" si="57"/>
        <v>29</v>
      </c>
      <c r="Q848" s="14" t="s">
        <v>8322</v>
      </c>
      <c r="R848" t="s">
        <v>8324</v>
      </c>
      <c r="S848" s="17">
        <f t="shared" si="58"/>
        <v>41694.391840277778</v>
      </c>
      <c r="T848" s="17">
        <f t="shared" si="59"/>
        <v>41708.583333333336</v>
      </c>
      <c r="U848">
        <f>MONTH(Table1[[#This Row],[Launched]])</f>
        <v>2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8218</v>
      </c>
      <c r="G849" t="s">
        <v>8223</v>
      </c>
      <c r="H849" t="s">
        <v>8245</v>
      </c>
      <c r="I849" s="8">
        <v>1436555376</v>
      </c>
      <c r="J849">
        <v>1433963376</v>
      </c>
      <c r="K849" t="b">
        <v>0</v>
      </c>
      <c r="L849" s="10">
        <v>1</v>
      </c>
      <c r="M849" t="b">
        <v>1</v>
      </c>
      <c r="N849" t="s">
        <v>8275</v>
      </c>
      <c r="O849" s="11">
        <f t="shared" si="56"/>
        <v>100</v>
      </c>
      <c r="P849" s="12">
        <f t="shared" si="57"/>
        <v>10</v>
      </c>
      <c r="Q849" s="14" t="s">
        <v>8322</v>
      </c>
      <c r="R849" t="s">
        <v>8324</v>
      </c>
      <c r="S849" s="17">
        <f t="shared" si="58"/>
        <v>42165.79833333334</v>
      </c>
      <c r="T849" s="17">
        <f t="shared" si="59"/>
        <v>42195.79833333334</v>
      </c>
      <c r="U849">
        <f>MONTH(Table1[[#This Row],[Launched]])</f>
        <v>6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8218</v>
      </c>
      <c r="G850" t="s">
        <v>8223</v>
      </c>
      <c r="H850" t="s">
        <v>8245</v>
      </c>
      <c r="I850" s="8">
        <v>1429038033</v>
      </c>
      <c r="J850">
        <v>1426446033</v>
      </c>
      <c r="K850" t="b">
        <v>0</v>
      </c>
      <c r="L850" s="10">
        <v>16</v>
      </c>
      <c r="M850" t="b">
        <v>1</v>
      </c>
      <c r="N850" t="s">
        <v>8275</v>
      </c>
      <c r="O850" s="11">
        <f t="shared" si="56"/>
        <v>100</v>
      </c>
      <c r="P850" s="12">
        <f t="shared" si="57"/>
        <v>19</v>
      </c>
      <c r="Q850" s="14" t="s">
        <v>8322</v>
      </c>
      <c r="R850" t="s">
        <v>8324</v>
      </c>
      <c r="S850" s="17">
        <f t="shared" si="58"/>
        <v>42078.792048611111</v>
      </c>
      <c r="T850" s="17">
        <f t="shared" si="59"/>
        <v>42108.792048611111</v>
      </c>
      <c r="U850">
        <f>MONTH(Table1[[#This Row],[Launched]])</f>
        <v>3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8218</v>
      </c>
      <c r="G851" t="s">
        <v>8223</v>
      </c>
      <c r="H851" t="s">
        <v>8245</v>
      </c>
      <c r="I851" s="8">
        <v>1426473264</v>
      </c>
      <c r="J851">
        <v>1424057664</v>
      </c>
      <c r="K851" t="b">
        <v>0</v>
      </c>
      <c r="L851" s="10">
        <v>115</v>
      </c>
      <c r="M851" t="b">
        <v>1</v>
      </c>
      <c r="N851" t="s">
        <v>8275</v>
      </c>
      <c r="O851" s="11">
        <f t="shared" si="56"/>
        <v>120</v>
      </c>
      <c r="P851" s="12">
        <f t="shared" si="57"/>
        <v>42</v>
      </c>
      <c r="Q851" s="14" t="s">
        <v>8322</v>
      </c>
      <c r="R851" t="s">
        <v>8324</v>
      </c>
      <c r="S851" s="17">
        <f t="shared" si="58"/>
        <v>42051.148888888885</v>
      </c>
      <c r="T851" s="17">
        <f t="shared" si="59"/>
        <v>42079.107222222221</v>
      </c>
      <c r="U851">
        <f>MONTH(Table1[[#This Row],[Launched]])</f>
        <v>2</v>
      </c>
    </row>
    <row r="852" spans="1:21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8218</v>
      </c>
      <c r="G852" t="s">
        <v>8223</v>
      </c>
      <c r="H852" t="s">
        <v>8245</v>
      </c>
      <c r="I852" s="8">
        <v>1461560340</v>
      </c>
      <c r="J852">
        <v>1458762717</v>
      </c>
      <c r="K852" t="b">
        <v>0</v>
      </c>
      <c r="L852" s="10">
        <v>133</v>
      </c>
      <c r="M852" t="b">
        <v>1</v>
      </c>
      <c r="N852" t="s">
        <v>8275</v>
      </c>
      <c r="O852" s="11">
        <f t="shared" si="56"/>
        <v>155</v>
      </c>
      <c r="P852" s="12">
        <f t="shared" si="57"/>
        <v>47</v>
      </c>
      <c r="Q852" s="14" t="s">
        <v>8322</v>
      </c>
      <c r="R852" t="s">
        <v>8324</v>
      </c>
      <c r="S852" s="17">
        <f t="shared" si="58"/>
        <v>42452.827743055561</v>
      </c>
      <c r="T852" s="17">
        <f t="shared" si="59"/>
        <v>42485.207638888889</v>
      </c>
      <c r="U852">
        <f>MONTH(Table1[[#This Row],[Launched]])</f>
        <v>3</v>
      </c>
    </row>
    <row r="853" spans="1:21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8218</v>
      </c>
      <c r="G853" t="s">
        <v>8229</v>
      </c>
      <c r="H853" t="s">
        <v>8248</v>
      </c>
      <c r="I853" s="8">
        <v>1469994300</v>
      </c>
      <c r="J853">
        <v>1464815253</v>
      </c>
      <c r="K853" t="b">
        <v>0</v>
      </c>
      <c r="L853" s="10">
        <v>70</v>
      </c>
      <c r="M853" t="b">
        <v>1</v>
      </c>
      <c r="N853" t="s">
        <v>8275</v>
      </c>
      <c r="O853" s="11">
        <f t="shared" si="56"/>
        <v>130</v>
      </c>
      <c r="P853" s="12">
        <f t="shared" si="57"/>
        <v>37</v>
      </c>
      <c r="Q853" s="14" t="s">
        <v>8322</v>
      </c>
      <c r="R853" t="s">
        <v>8324</v>
      </c>
      <c r="S853" s="17">
        <f t="shared" si="58"/>
        <v>42522.880243055552</v>
      </c>
      <c r="T853" s="17">
        <f t="shared" si="59"/>
        <v>42582.822916666672</v>
      </c>
      <c r="U853">
        <f>MONTH(Table1[[#This Row],[Launched]])</f>
        <v>6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8218</v>
      </c>
      <c r="G854" t="s">
        <v>8223</v>
      </c>
      <c r="H854" t="s">
        <v>8245</v>
      </c>
      <c r="I854" s="8">
        <v>1477342800</v>
      </c>
      <c r="J854">
        <v>1476386395</v>
      </c>
      <c r="K854" t="b">
        <v>0</v>
      </c>
      <c r="L854" s="10">
        <v>62</v>
      </c>
      <c r="M854" t="b">
        <v>1</v>
      </c>
      <c r="N854" t="s">
        <v>8275</v>
      </c>
      <c r="O854" s="11">
        <f t="shared" si="56"/>
        <v>105</v>
      </c>
      <c r="P854" s="12">
        <f t="shared" si="57"/>
        <v>59</v>
      </c>
      <c r="Q854" s="14" t="s">
        <v>8322</v>
      </c>
      <c r="R854" t="s">
        <v>8324</v>
      </c>
      <c r="S854" s="17">
        <f t="shared" si="58"/>
        <v>42656.805497685185</v>
      </c>
      <c r="T854" s="17">
        <f t="shared" si="59"/>
        <v>42667.875</v>
      </c>
      <c r="U854">
        <f>MONTH(Table1[[#This Row],[Launched]])</f>
        <v>10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8218</v>
      </c>
      <c r="G855" t="s">
        <v>8223</v>
      </c>
      <c r="H855" t="s">
        <v>8245</v>
      </c>
      <c r="I855" s="8">
        <v>1424116709</v>
      </c>
      <c r="J855">
        <v>1421524709</v>
      </c>
      <c r="K855" t="b">
        <v>0</v>
      </c>
      <c r="L855" s="10">
        <v>10</v>
      </c>
      <c r="M855" t="b">
        <v>1</v>
      </c>
      <c r="N855" t="s">
        <v>8275</v>
      </c>
      <c r="O855" s="11">
        <f t="shared" si="56"/>
        <v>100</v>
      </c>
      <c r="P855" s="12">
        <f t="shared" si="57"/>
        <v>30</v>
      </c>
      <c r="Q855" s="14" t="s">
        <v>8322</v>
      </c>
      <c r="R855" t="s">
        <v>8324</v>
      </c>
      <c r="S855" s="17">
        <f t="shared" si="58"/>
        <v>42021.832280092596</v>
      </c>
      <c r="T855" s="17">
        <f t="shared" si="59"/>
        <v>42051.832280092596</v>
      </c>
      <c r="U855">
        <f>MONTH(Table1[[#This Row],[Launched]])</f>
        <v>1</v>
      </c>
    </row>
    <row r="856" spans="1:21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 s="8">
        <v>1482901546</v>
      </c>
      <c r="J856">
        <v>1480309546</v>
      </c>
      <c r="K856" t="b">
        <v>0</v>
      </c>
      <c r="L856" s="10">
        <v>499</v>
      </c>
      <c r="M856" t="b">
        <v>1</v>
      </c>
      <c r="N856" t="s">
        <v>8275</v>
      </c>
      <c r="O856" s="11">
        <f t="shared" si="56"/>
        <v>118</v>
      </c>
      <c r="P856" s="12">
        <f t="shared" si="57"/>
        <v>66</v>
      </c>
      <c r="Q856" s="14" t="s">
        <v>8322</v>
      </c>
      <c r="R856" t="s">
        <v>8324</v>
      </c>
      <c r="S856" s="17">
        <f t="shared" si="58"/>
        <v>42702.212337962963</v>
      </c>
      <c r="T856" s="17">
        <f t="shared" si="59"/>
        <v>42732.212337962963</v>
      </c>
      <c r="U856">
        <f>MONTH(Table1[[#This Row],[Launched]])</f>
        <v>11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8218</v>
      </c>
      <c r="G857" t="s">
        <v>8223</v>
      </c>
      <c r="H857" t="s">
        <v>8245</v>
      </c>
      <c r="I857" s="8">
        <v>1469329217</v>
      </c>
      <c r="J857">
        <v>1466737217</v>
      </c>
      <c r="K857" t="b">
        <v>0</v>
      </c>
      <c r="L857" s="10">
        <v>47</v>
      </c>
      <c r="M857" t="b">
        <v>1</v>
      </c>
      <c r="N857" t="s">
        <v>8275</v>
      </c>
      <c r="O857" s="11">
        <f t="shared" si="56"/>
        <v>103</v>
      </c>
      <c r="P857" s="12">
        <f t="shared" si="57"/>
        <v>32</v>
      </c>
      <c r="Q857" s="14" t="s">
        <v>8322</v>
      </c>
      <c r="R857" t="s">
        <v>8324</v>
      </c>
      <c r="S857" s="17">
        <f t="shared" si="58"/>
        <v>42545.125196759262</v>
      </c>
      <c r="T857" s="17">
        <f t="shared" si="59"/>
        <v>42575.125196759262</v>
      </c>
      <c r="U857">
        <f>MONTH(Table1[[#This Row],[Launched]])</f>
        <v>6</v>
      </c>
    </row>
    <row r="858" spans="1:21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8218</v>
      </c>
      <c r="G858" t="s">
        <v>8235</v>
      </c>
      <c r="H858" t="s">
        <v>8248</v>
      </c>
      <c r="I858" s="8">
        <v>1477422000</v>
      </c>
      <c r="J858">
        <v>1472282956</v>
      </c>
      <c r="K858" t="b">
        <v>0</v>
      </c>
      <c r="L858" s="10">
        <v>28</v>
      </c>
      <c r="M858" t="b">
        <v>1</v>
      </c>
      <c r="N858" t="s">
        <v>8275</v>
      </c>
      <c r="O858" s="11">
        <f t="shared" si="56"/>
        <v>218</v>
      </c>
      <c r="P858" s="12">
        <f t="shared" si="57"/>
        <v>19</v>
      </c>
      <c r="Q858" s="14" t="s">
        <v>8322</v>
      </c>
      <c r="R858" t="s">
        <v>8324</v>
      </c>
      <c r="S858" s="17">
        <f t="shared" si="58"/>
        <v>42609.311990740738</v>
      </c>
      <c r="T858" s="17">
        <f t="shared" si="59"/>
        <v>42668.791666666672</v>
      </c>
      <c r="U858">
        <f>MONTH(Table1[[#This Row],[Launched]])</f>
        <v>8</v>
      </c>
    </row>
    <row r="859" spans="1:21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8218</v>
      </c>
      <c r="G859" t="s">
        <v>8226</v>
      </c>
      <c r="H859" t="s">
        <v>8248</v>
      </c>
      <c r="I859" s="8">
        <v>1448463431</v>
      </c>
      <c r="J859">
        <v>1444831031</v>
      </c>
      <c r="K859" t="b">
        <v>0</v>
      </c>
      <c r="L859" s="10">
        <v>24</v>
      </c>
      <c r="M859" t="b">
        <v>1</v>
      </c>
      <c r="N859" t="s">
        <v>8275</v>
      </c>
      <c r="O859" s="11">
        <f t="shared" si="56"/>
        <v>100</v>
      </c>
      <c r="P859" s="12">
        <f t="shared" si="57"/>
        <v>50</v>
      </c>
      <c r="Q859" s="14" t="s">
        <v>8322</v>
      </c>
      <c r="R859" t="s">
        <v>8324</v>
      </c>
      <c r="S859" s="17">
        <f t="shared" si="58"/>
        <v>42291.581377314811</v>
      </c>
      <c r="T859" s="17">
        <f t="shared" si="59"/>
        <v>42333.623043981483</v>
      </c>
      <c r="U859">
        <f>MONTH(Table1[[#This Row],[Launched]])</f>
        <v>10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8218</v>
      </c>
      <c r="G860" t="s">
        <v>8224</v>
      </c>
      <c r="H860" t="s">
        <v>8246</v>
      </c>
      <c r="I860" s="8">
        <v>1429138740</v>
      </c>
      <c r="J860">
        <v>1426528418</v>
      </c>
      <c r="K860" t="b">
        <v>0</v>
      </c>
      <c r="L860" s="10">
        <v>76</v>
      </c>
      <c r="M860" t="b">
        <v>1</v>
      </c>
      <c r="N860" t="s">
        <v>8275</v>
      </c>
      <c r="O860" s="11">
        <f t="shared" si="56"/>
        <v>144</v>
      </c>
      <c r="P860" s="12">
        <f t="shared" si="57"/>
        <v>23</v>
      </c>
      <c r="Q860" s="14" t="s">
        <v>8322</v>
      </c>
      <c r="R860" t="s">
        <v>8324</v>
      </c>
      <c r="S860" s="17">
        <f t="shared" si="58"/>
        <v>42079.745578703703</v>
      </c>
      <c r="T860" s="17">
        <f t="shared" si="59"/>
        <v>42109.957638888889</v>
      </c>
      <c r="U860">
        <f>MONTH(Table1[[#This Row],[Launched]])</f>
        <v>3</v>
      </c>
    </row>
    <row r="861" spans="1:21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8218</v>
      </c>
      <c r="G861" t="s">
        <v>8223</v>
      </c>
      <c r="H861" t="s">
        <v>8245</v>
      </c>
      <c r="I861" s="8">
        <v>1433376000</v>
      </c>
      <c r="J861">
        <v>1430768468</v>
      </c>
      <c r="K861" t="b">
        <v>0</v>
      </c>
      <c r="L861" s="10">
        <v>98</v>
      </c>
      <c r="M861" t="b">
        <v>1</v>
      </c>
      <c r="N861" t="s">
        <v>8275</v>
      </c>
      <c r="O861" s="11">
        <f t="shared" si="56"/>
        <v>105</v>
      </c>
      <c r="P861" s="12">
        <f t="shared" si="57"/>
        <v>43</v>
      </c>
      <c r="Q861" s="14" t="s">
        <v>8322</v>
      </c>
      <c r="R861" t="s">
        <v>8324</v>
      </c>
      <c r="S861" s="17">
        <f t="shared" si="58"/>
        <v>42128.820231481484</v>
      </c>
      <c r="T861" s="17">
        <f t="shared" si="59"/>
        <v>42159</v>
      </c>
      <c r="U861">
        <f>MONTH(Table1[[#This Row],[Launched]])</f>
        <v>5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8220</v>
      </c>
      <c r="G862" t="s">
        <v>8223</v>
      </c>
      <c r="H862" t="s">
        <v>8245</v>
      </c>
      <c r="I862" s="8">
        <v>1385123713</v>
      </c>
      <c r="J862">
        <v>1382528113</v>
      </c>
      <c r="K862" t="b">
        <v>0</v>
      </c>
      <c r="L862" s="10">
        <v>48</v>
      </c>
      <c r="M862" t="b">
        <v>0</v>
      </c>
      <c r="N862" t="s">
        <v>8276</v>
      </c>
      <c r="O862" s="11">
        <f t="shared" si="56"/>
        <v>18</v>
      </c>
      <c r="P862" s="12">
        <f t="shared" si="57"/>
        <v>53</v>
      </c>
      <c r="Q862" s="14" t="s">
        <v>8322</v>
      </c>
      <c r="R862" t="s">
        <v>8325</v>
      </c>
      <c r="S862" s="17">
        <f t="shared" si="58"/>
        <v>41570.482789351852</v>
      </c>
      <c r="T862" s="17">
        <f t="shared" si="59"/>
        <v>41600.524456018517</v>
      </c>
      <c r="U862">
        <f>MONTH(Table1[[#This Row],[Launched]])</f>
        <v>10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8220</v>
      </c>
      <c r="G863" t="s">
        <v>8223</v>
      </c>
      <c r="H863" t="s">
        <v>8245</v>
      </c>
      <c r="I863" s="8">
        <v>1474067404</v>
      </c>
      <c r="J863">
        <v>1471475404</v>
      </c>
      <c r="K863" t="b">
        <v>0</v>
      </c>
      <c r="L863" s="10">
        <v>2</v>
      </c>
      <c r="M863" t="b">
        <v>0</v>
      </c>
      <c r="N863" t="s">
        <v>8276</v>
      </c>
      <c r="O863" s="11">
        <f t="shared" si="56"/>
        <v>2</v>
      </c>
      <c r="P863" s="12">
        <f t="shared" si="57"/>
        <v>51</v>
      </c>
      <c r="Q863" s="14" t="s">
        <v>8322</v>
      </c>
      <c r="R863" t="s">
        <v>8325</v>
      </c>
      <c r="S863" s="17">
        <f t="shared" si="58"/>
        <v>42599.965324074074</v>
      </c>
      <c r="T863" s="17">
        <f t="shared" si="59"/>
        <v>42629.965324074074</v>
      </c>
      <c r="U863">
        <f>MONTH(Table1[[#This Row],[Launched]])</f>
        <v>8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8220</v>
      </c>
      <c r="G864" t="s">
        <v>8224</v>
      </c>
      <c r="H864" t="s">
        <v>8246</v>
      </c>
      <c r="I864" s="8">
        <v>1384179548</v>
      </c>
      <c r="J864">
        <v>1381583948</v>
      </c>
      <c r="K864" t="b">
        <v>0</v>
      </c>
      <c r="L864" s="10">
        <v>4</v>
      </c>
      <c r="M864" t="b">
        <v>0</v>
      </c>
      <c r="N864" t="s">
        <v>8276</v>
      </c>
      <c r="O864" s="11">
        <f t="shared" si="56"/>
        <v>0</v>
      </c>
      <c r="P864" s="12">
        <f t="shared" si="57"/>
        <v>43</v>
      </c>
      <c r="Q864" s="14" t="s">
        <v>8322</v>
      </c>
      <c r="R864" t="s">
        <v>8325</v>
      </c>
      <c r="S864" s="17">
        <f t="shared" si="58"/>
        <v>41559.5549537037</v>
      </c>
      <c r="T864" s="17">
        <f t="shared" si="59"/>
        <v>41589.596620370372</v>
      </c>
      <c r="U864">
        <f>MONTH(Table1[[#This Row],[Launched]])</f>
        <v>10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8220</v>
      </c>
      <c r="G865" t="s">
        <v>8223</v>
      </c>
      <c r="H865" t="s">
        <v>8245</v>
      </c>
      <c r="I865" s="8">
        <v>1329014966</v>
      </c>
      <c r="J865">
        <v>1326422966</v>
      </c>
      <c r="K865" t="b">
        <v>0</v>
      </c>
      <c r="L865" s="10">
        <v>5</v>
      </c>
      <c r="M865" t="b">
        <v>0</v>
      </c>
      <c r="N865" t="s">
        <v>8276</v>
      </c>
      <c r="O865" s="11">
        <f t="shared" si="56"/>
        <v>5</v>
      </c>
      <c r="P865" s="12">
        <f t="shared" si="57"/>
        <v>18</v>
      </c>
      <c r="Q865" s="14" t="s">
        <v>8322</v>
      </c>
      <c r="R865" t="s">
        <v>8325</v>
      </c>
      <c r="S865" s="17">
        <f t="shared" si="58"/>
        <v>40921.117662037039</v>
      </c>
      <c r="T865" s="17">
        <f t="shared" si="59"/>
        <v>40951.117662037039</v>
      </c>
      <c r="U865">
        <f>MONTH(Table1[[#This Row],[Launched]])</f>
        <v>1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8220</v>
      </c>
      <c r="G866" t="s">
        <v>8223</v>
      </c>
      <c r="H866" t="s">
        <v>8245</v>
      </c>
      <c r="I866" s="8">
        <v>1381917540</v>
      </c>
      <c r="J866">
        <v>1379990038</v>
      </c>
      <c r="K866" t="b">
        <v>0</v>
      </c>
      <c r="L866" s="10">
        <v>79</v>
      </c>
      <c r="M866" t="b">
        <v>0</v>
      </c>
      <c r="N866" t="s">
        <v>8276</v>
      </c>
      <c r="O866" s="11">
        <f t="shared" si="56"/>
        <v>42</v>
      </c>
      <c r="P866" s="12">
        <f t="shared" si="57"/>
        <v>34</v>
      </c>
      <c r="Q866" s="14" t="s">
        <v>8322</v>
      </c>
      <c r="R866" t="s">
        <v>8325</v>
      </c>
      <c r="S866" s="17">
        <f t="shared" si="58"/>
        <v>41541.106921296298</v>
      </c>
      <c r="T866" s="17">
        <f t="shared" si="59"/>
        <v>41563.415972222225</v>
      </c>
      <c r="U866">
        <f>MONTH(Table1[[#This Row],[Launched]])</f>
        <v>9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8220</v>
      </c>
      <c r="G867" t="s">
        <v>8223</v>
      </c>
      <c r="H867" t="s">
        <v>8245</v>
      </c>
      <c r="I867" s="8">
        <v>1358361197</v>
      </c>
      <c r="J867">
        <v>1353177197</v>
      </c>
      <c r="K867" t="b">
        <v>0</v>
      </c>
      <c r="L867" s="10">
        <v>2</v>
      </c>
      <c r="M867" t="b">
        <v>0</v>
      </c>
      <c r="N867" t="s">
        <v>8276</v>
      </c>
      <c r="O867" s="11">
        <f t="shared" si="56"/>
        <v>2</v>
      </c>
      <c r="P867" s="12">
        <f t="shared" si="57"/>
        <v>23</v>
      </c>
      <c r="Q867" s="14" t="s">
        <v>8322</v>
      </c>
      <c r="R867" t="s">
        <v>8325</v>
      </c>
      <c r="S867" s="17">
        <f t="shared" si="58"/>
        <v>41230.77311342593</v>
      </c>
      <c r="T867" s="17">
        <f t="shared" si="59"/>
        <v>41290.77311342593</v>
      </c>
      <c r="U867">
        <f>MONTH(Table1[[#This Row],[Launched]])</f>
        <v>11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8220</v>
      </c>
      <c r="G868" t="s">
        <v>8223</v>
      </c>
      <c r="H868" t="s">
        <v>8245</v>
      </c>
      <c r="I868" s="8">
        <v>1425136200</v>
      </c>
      <c r="J868">
        <v>1421853518</v>
      </c>
      <c r="K868" t="b">
        <v>0</v>
      </c>
      <c r="L868" s="10">
        <v>11</v>
      </c>
      <c r="M868" t="b">
        <v>0</v>
      </c>
      <c r="N868" t="s">
        <v>8276</v>
      </c>
      <c r="O868" s="11">
        <f t="shared" si="56"/>
        <v>18</v>
      </c>
      <c r="P868" s="12">
        <f t="shared" si="57"/>
        <v>58</v>
      </c>
      <c r="Q868" s="14" t="s">
        <v>8322</v>
      </c>
      <c r="R868" t="s">
        <v>8325</v>
      </c>
      <c r="S868" s="17">
        <f t="shared" si="58"/>
        <v>42025.637939814813</v>
      </c>
      <c r="T868" s="17">
        <f t="shared" si="59"/>
        <v>42063.631944444445</v>
      </c>
      <c r="U868">
        <f>MONTH(Table1[[#This Row],[Launched]])</f>
        <v>1</v>
      </c>
    </row>
    <row r="869" spans="1:21" ht="57.6" x14ac:dyDescent="0.3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8220</v>
      </c>
      <c r="G869" t="s">
        <v>8223</v>
      </c>
      <c r="H869" t="s">
        <v>8245</v>
      </c>
      <c r="I869" s="8">
        <v>1259643540</v>
      </c>
      <c r="J869">
        <v>1254450706</v>
      </c>
      <c r="K869" t="b">
        <v>0</v>
      </c>
      <c r="L869" s="10">
        <v>11</v>
      </c>
      <c r="M869" t="b">
        <v>0</v>
      </c>
      <c r="N869" t="s">
        <v>8276</v>
      </c>
      <c r="O869" s="11">
        <f t="shared" si="56"/>
        <v>24</v>
      </c>
      <c r="P869" s="12">
        <f t="shared" si="57"/>
        <v>109</v>
      </c>
      <c r="Q869" s="14" t="s">
        <v>8322</v>
      </c>
      <c r="R869" t="s">
        <v>8325</v>
      </c>
      <c r="S869" s="17">
        <f t="shared" si="58"/>
        <v>40088.105393518519</v>
      </c>
      <c r="T869" s="17">
        <f t="shared" si="59"/>
        <v>40148.207638888889</v>
      </c>
      <c r="U869">
        <f>MONTH(Table1[[#This Row],[Launched]])</f>
        <v>10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8220</v>
      </c>
      <c r="G870" t="s">
        <v>8223</v>
      </c>
      <c r="H870" t="s">
        <v>8245</v>
      </c>
      <c r="I870" s="8">
        <v>1389055198</v>
      </c>
      <c r="J870">
        <v>1386463198</v>
      </c>
      <c r="K870" t="b">
        <v>0</v>
      </c>
      <c r="L870" s="10">
        <v>1</v>
      </c>
      <c r="M870" t="b">
        <v>0</v>
      </c>
      <c r="N870" t="s">
        <v>8276</v>
      </c>
      <c r="O870" s="11">
        <f t="shared" si="56"/>
        <v>0</v>
      </c>
      <c r="P870" s="12">
        <f t="shared" si="57"/>
        <v>50</v>
      </c>
      <c r="Q870" s="14" t="s">
        <v>8322</v>
      </c>
      <c r="R870" t="s">
        <v>8325</v>
      </c>
      <c r="S870" s="17">
        <f t="shared" si="58"/>
        <v>41616.027754629627</v>
      </c>
      <c r="T870" s="17">
        <f t="shared" si="59"/>
        <v>41646.027754629627</v>
      </c>
      <c r="U870">
        <f>MONTH(Table1[[#This Row],[Launched]])</f>
        <v>12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8220</v>
      </c>
      <c r="G871" t="s">
        <v>8223</v>
      </c>
      <c r="H871" t="s">
        <v>8245</v>
      </c>
      <c r="I871" s="8">
        <v>1365448657</v>
      </c>
      <c r="J871">
        <v>1362860257</v>
      </c>
      <c r="K871" t="b">
        <v>0</v>
      </c>
      <c r="L871" s="10">
        <v>3</v>
      </c>
      <c r="M871" t="b">
        <v>0</v>
      </c>
      <c r="N871" t="s">
        <v>8276</v>
      </c>
      <c r="O871" s="11">
        <f t="shared" si="56"/>
        <v>12</v>
      </c>
      <c r="P871" s="12">
        <f t="shared" si="57"/>
        <v>347</v>
      </c>
      <c r="Q871" s="14" t="s">
        <v>8322</v>
      </c>
      <c r="R871" t="s">
        <v>8325</v>
      </c>
      <c r="S871" s="17">
        <f t="shared" si="58"/>
        <v>41342.845567129632</v>
      </c>
      <c r="T871" s="17">
        <f t="shared" si="59"/>
        <v>41372.803900462961</v>
      </c>
      <c r="U871">
        <f>MONTH(Table1[[#This Row],[Launched]])</f>
        <v>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8220</v>
      </c>
      <c r="G872" t="s">
        <v>8224</v>
      </c>
      <c r="H872" t="s">
        <v>8246</v>
      </c>
      <c r="I872" s="8">
        <v>1377995523</v>
      </c>
      <c r="J872">
        <v>1375403523</v>
      </c>
      <c r="K872" t="b">
        <v>0</v>
      </c>
      <c r="L872" s="10">
        <v>5</v>
      </c>
      <c r="M872" t="b">
        <v>0</v>
      </c>
      <c r="N872" t="s">
        <v>8276</v>
      </c>
      <c r="O872" s="11">
        <f t="shared" si="56"/>
        <v>0</v>
      </c>
      <c r="P872" s="12">
        <f t="shared" si="57"/>
        <v>12</v>
      </c>
      <c r="Q872" s="14" t="s">
        <v>8322</v>
      </c>
      <c r="R872" t="s">
        <v>8325</v>
      </c>
      <c r="S872" s="17">
        <f t="shared" si="58"/>
        <v>41488.022256944445</v>
      </c>
      <c r="T872" s="17">
        <f t="shared" si="59"/>
        <v>41518.022256944445</v>
      </c>
      <c r="U872">
        <f>MONTH(Table1[[#This Row],[Launched]])</f>
        <v>8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8220</v>
      </c>
      <c r="G873" t="s">
        <v>8223</v>
      </c>
      <c r="H873" t="s">
        <v>8245</v>
      </c>
      <c r="I873" s="8">
        <v>1385735295</v>
      </c>
      <c r="J873">
        <v>1383139695</v>
      </c>
      <c r="K873" t="b">
        <v>0</v>
      </c>
      <c r="L873" s="10">
        <v>12</v>
      </c>
      <c r="M873" t="b">
        <v>0</v>
      </c>
      <c r="N873" t="s">
        <v>8276</v>
      </c>
      <c r="O873" s="11">
        <f t="shared" si="56"/>
        <v>5</v>
      </c>
      <c r="P873" s="12">
        <f t="shared" si="57"/>
        <v>27</v>
      </c>
      <c r="Q873" s="14" t="s">
        <v>8322</v>
      </c>
      <c r="R873" t="s">
        <v>8325</v>
      </c>
      <c r="S873" s="17">
        <f t="shared" si="58"/>
        <v>41577.561284722222</v>
      </c>
      <c r="T873" s="17">
        <f t="shared" si="59"/>
        <v>41607.602951388886</v>
      </c>
      <c r="U873">
        <f>MONTH(Table1[[#This Row],[Launched]])</f>
        <v>10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8220</v>
      </c>
      <c r="G874" t="s">
        <v>8223</v>
      </c>
      <c r="H874" t="s">
        <v>8245</v>
      </c>
      <c r="I874" s="8">
        <v>1299786527</v>
      </c>
      <c r="J874">
        <v>1295898527</v>
      </c>
      <c r="K874" t="b">
        <v>0</v>
      </c>
      <c r="L874" s="10">
        <v>2</v>
      </c>
      <c r="M874" t="b">
        <v>0</v>
      </c>
      <c r="N874" t="s">
        <v>8276</v>
      </c>
      <c r="O874" s="11">
        <f t="shared" si="56"/>
        <v>1</v>
      </c>
      <c r="P874" s="12">
        <f t="shared" si="57"/>
        <v>33</v>
      </c>
      <c r="Q874" s="14" t="s">
        <v>8322</v>
      </c>
      <c r="R874" t="s">
        <v>8325</v>
      </c>
      <c r="S874" s="17">
        <f t="shared" si="58"/>
        <v>40567.825543981482</v>
      </c>
      <c r="T874" s="17">
        <f t="shared" si="59"/>
        <v>40612.825543981482</v>
      </c>
      <c r="U874">
        <f>MONTH(Table1[[#This Row],[Launched]])</f>
        <v>1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8220</v>
      </c>
      <c r="G875" t="s">
        <v>8223</v>
      </c>
      <c r="H875" t="s">
        <v>8245</v>
      </c>
      <c r="I875" s="8">
        <v>1352610040</v>
      </c>
      <c r="J875">
        <v>1349150440</v>
      </c>
      <c r="K875" t="b">
        <v>0</v>
      </c>
      <c r="L875" s="10">
        <v>5</v>
      </c>
      <c r="M875" t="b">
        <v>0</v>
      </c>
      <c r="N875" t="s">
        <v>8276</v>
      </c>
      <c r="O875" s="11">
        <f t="shared" si="56"/>
        <v>1</v>
      </c>
      <c r="P875" s="12">
        <f t="shared" si="57"/>
        <v>9</v>
      </c>
      <c r="Q875" s="14" t="s">
        <v>8322</v>
      </c>
      <c r="R875" t="s">
        <v>8325</v>
      </c>
      <c r="S875" s="17">
        <f t="shared" si="58"/>
        <v>41184.167129629634</v>
      </c>
      <c r="T875" s="17">
        <f t="shared" si="59"/>
        <v>41224.208796296298</v>
      </c>
      <c r="U875">
        <f>MONTH(Table1[[#This Row],[Launched]])</f>
        <v>10</v>
      </c>
    </row>
    <row r="876" spans="1:21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8220</v>
      </c>
      <c r="G876" t="s">
        <v>8223</v>
      </c>
      <c r="H876" t="s">
        <v>8245</v>
      </c>
      <c r="I876" s="8">
        <v>1367676034</v>
      </c>
      <c r="J876">
        <v>1365084034</v>
      </c>
      <c r="K876" t="b">
        <v>0</v>
      </c>
      <c r="L876" s="10">
        <v>21</v>
      </c>
      <c r="M876" t="b">
        <v>0</v>
      </c>
      <c r="N876" t="s">
        <v>8276</v>
      </c>
      <c r="O876" s="11">
        <f t="shared" si="56"/>
        <v>24</v>
      </c>
      <c r="P876" s="12">
        <f t="shared" si="57"/>
        <v>35</v>
      </c>
      <c r="Q876" s="14" t="s">
        <v>8322</v>
      </c>
      <c r="R876" t="s">
        <v>8325</v>
      </c>
      <c r="S876" s="17">
        <f t="shared" si="58"/>
        <v>41368.583726851852</v>
      </c>
      <c r="T876" s="17">
        <f t="shared" si="59"/>
        <v>41398.583726851852</v>
      </c>
      <c r="U876">
        <f>MONTH(Table1[[#This Row],[Launched]])</f>
        <v>4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8220</v>
      </c>
      <c r="G877" t="s">
        <v>8223</v>
      </c>
      <c r="H877" t="s">
        <v>8245</v>
      </c>
      <c r="I877" s="8">
        <v>1442856131</v>
      </c>
      <c r="J877">
        <v>1441128131</v>
      </c>
      <c r="K877" t="b">
        <v>0</v>
      </c>
      <c r="L877" s="10">
        <v>0</v>
      </c>
      <c r="M877" t="b">
        <v>0</v>
      </c>
      <c r="N877" t="s">
        <v>8276</v>
      </c>
      <c r="O877" s="11">
        <f t="shared" si="56"/>
        <v>0</v>
      </c>
      <c r="P877" s="12" t="str">
        <f t="shared" si="57"/>
        <v>No Backers</v>
      </c>
      <c r="Q877" s="14" t="s">
        <v>8322</v>
      </c>
      <c r="R877" t="s">
        <v>8325</v>
      </c>
      <c r="S877" s="17">
        <f t="shared" si="58"/>
        <v>42248.723738425921</v>
      </c>
      <c r="T877" s="17">
        <f t="shared" si="59"/>
        <v>42268.723738425921</v>
      </c>
      <c r="U877">
        <f>MONTH(Table1[[#This Row],[Launched]])</f>
        <v>9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8220</v>
      </c>
      <c r="G878" t="s">
        <v>8224</v>
      </c>
      <c r="H878" t="s">
        <v>8246</v>
      </c>
      <c r="I878" s="8">
        <v>1359978927</v>
      </c>
      <c r="J878">
        <v>1357127727</v>
      </c>
      <c r="K878" t="b">
        <v>0</v>
      </c>
      <c r="L878" s="10">
        <v>45</v>
      </c>
      <c r="M878" t="b">
        <v>0</v>
      </c>
      <c r="N878" t="s">
        <v>8276</v>
      </c>
      <c r="O878" s="11">
        <f t="shared" si="56"/>
        <v>41</v>
      </c>
      <c r="P878" s="12">
        <f t="shared" si="57"/>
        <v>29</v>
      </c>
      <c r="Q878" s="14" t="s">
        <v>8322</v>
      </c>
      <c r="R878" t="s">
        <v>8325</v>
      </c>
      <c r="S878" s="17">
        <f t="shared" si="58"/>
        <v>41276.496840277774</v>
      </c>
      <c r="T878" s="17">
        <f t="shared" si="59"/>
        <v>41309.496840277774</v>
      </c>
      <c r="U878">
        <f>MONTH(Table1[[#This Row],[Launched]])</f>
        <v>1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8220</v>
      </c>
      <c r="G879" t="s">
        <v>8223</v>
      </c>
      <c r="H879" t="s">
        <v>8245</v>
      </c>
      <c r="I879" s="8">
        <v>1387479360</v>
      </c>
      <c r="J879">
        <v>1384887360</v>
      </c>
      <c r="K879" t="b">
        <v>0</v>
      </c>
      <c r="L879" s="10">
        <v>29</v>
      </c>
      <c r="M879" t="b">
        <v>0</v>
      </c>
      <c r="N879" t="s">
        <v>8276</v>
      </c>
      <c r="O879" s="11">
        <f t="shared" si="56"/>
        <v>68</v>
      </c>
      <c r="P879" s="12">
        <f t="shared" si="57"/>
        <v>47</v>
      </c>
      <c r="Q879" s="14" t="s">
        <v>8322</v>
      </c>
      <c r="R879" t="s">
        <v>8325</v>
      </c>
      <c r="S879" s="17">
        <f t="shared" si="58"/>
        <v>41597.788888888892</v>
      </c>
      <c r="T879" s="17">
        <f t="shared" si="59"/>
        <v>41627.788888888892</v>
      </c>
      <c r="U879">
        <f>MONTH(Table1[[#This Row],[Launched]])</f>
        <v>11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8220</v>
      </c>
      <c r="G880" t="s">
        <v>8223</v>
      </c>
      <c r="H880" t="s">
        <v>8245</v>
      </c>
      <c r="I880" s="8">
        <v>1293082524</v>
      </c>
      <c r="J880">
        <v>1290490524</v>
      </c>
      <c r="K880" t="b">
        <v>0</v>
      </c>
      <c r="L880" s="10">
        <v>2</v>
      </c>
      <c r="M880" t="b">
        <v>0</v>
      </c>
      <c r="N880" t="s">
        <v>8276</v>
      </c>
      <c r="O880" s="11">
        <f t="shared" si="56"/>
        <v>1</v>
      </c>
      <c r="P880" s="12">
        <f t="shared" si="57"/>
        <v>33</v>
      </c>
      <c r="Q880" s="14" t="s">
        <v>8322</v>
      </c>
      <c r="R880" t="s">
        <v>8325</v>
      </c>
      <c r="S880" s="17">
        <f t="shared" si="58"/>
        <v>40505.232916666668</v>
      </c>
      <c r="T880" s="17">
        <f t="shared" si="59"/>
        <v>40535.232916666668</v>
      </c>
      <c r="U880">
        <f>MONTH(Table1[[#This Row],[Launched]])</f>
        <v>11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8220</v>
      </c>
      <c r="G881" t="s">
        <v>8223</v>
      </c>
      <c r="H881" t="s">
        <v>8245</v>
      </c>
      <c r="I881" s="8">
        <v>1338321305</v>
      </c>
      <c r="J881">
        <v>1336506905</v>
      </c>
      <c r="K881" t="b">
        <v>0</v>
      </c>
      <c r="L881" s="10">
        <v>30</v>
      </c>
      <c r="M881" t="b">
        <v>0</v>
      </c>
      <c r="N881" t="s">
        <v>8276</v>
      </c>
      <c r="O881" s="11">
        <f t="shared" si="56"/>
        <v>31</v>
      </c>
      <c r="P881" s="12">
        <f t="shared" si="57"/>
        <v>21</v>
      </c>
      <c r="Q881" s="14" t="s">
        <v>8322</v>
      </c>
      <c r="R881" t="s">
        <v>8325</v>
      </c>
      <c r="S881" s="17">
        <f t="shared" si="58"/>
        <v>41037.829918981479</v>
      </c>
      <c r="T881" s="17">
        <f t="shared" si="59"/>
        <v>41058.829918981479</v>
      </c>
      <c r="U881">
        <f>MONTH(Table1[[#This Row],[Launched]])</f>
        <v>5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8220</v>
      </c>
      <c r="G882" t="s">
        <v>8223</v>
      </c>
      <c r="H882" t="s">
        <v>8245</v>
      </c>
      <c r="I882" s="8">
        <v>1351582938</v>
      </c>
      <c r="J882">
        <v>1348731738</v>
      </c>
      <c r="K882" t="b">
        <v>0</v>
      </c>
      <c r="L882" s="10">
        <v>8</v>
      </c>
      <c r="M882" t="b">
        <v>0</v>
      </c>
      <c r="N882" t="s">
        <v>8277</v>
      </c>
      <c r="O882" s="11">
        <f t="shared" si="56"/>
        <v>3</v>
      </c>
      <c r="P882" s="12">
        <f t="shared" si="57"/>
        <v>14</v>
      </c>
      <c r="Q882" s="14" t="s">
        <v>8322</v>
      </c>
      <c r="R882" t="s">
        <v>8326</v>
      </c>
      <c r="S882" s="17">
        <f t="shared" si="58"/>
        <v>41179.32104166667</v>
      </c>
      <c r="T882" s="17">
        <f t="shared" si="59"/>
        <v>41212.32104166667</v>
      </c>
      <c r="U882">
        <f>MONTH(Table1[[#This Row],[Launched]])</f>
        <v>9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8220</v>
      </c>
      <c r="G883" t="s">
        <v>8223</v>
      </c>
      <c r="H883" t="s">
        <v>8245</v>
      </c>
      <c r="I883" s="8">
        <v>1326520886</v>
      </c>
      <c r="J883">
        <v>1322632886</v>
      </c>
      <c r="K883" t="b">
        <v>0</v>
      </c>
      <c r="L883" s="10">
        <v>1</v>
      </c>
      <c r="M883" t="b">
        <v>0</v>
      </c>
      <c r="N883" t="s">
        <v>8277</v>
      </c>
      <c r="O883" s="11">
        <f t="shared" si="56"/>
        <v>1</v>
      </c>
      <c r="P883" s="12">
        <f t="shared" si="57"/>
        <v>30</v>
      </c>
      <c r="Q883" s="14" t="s">
        <v>8322</v>
      </c>
      <c r="R883" t="s">
        <v>8326</v>
      </c>
      <c r="S883" s="17">
        <f t="shared" si="58"/>
        <v>40877.25099537037</v>
      </c>
      <c r="T883" s="17">
        <f t="shared" si="59"/>
        <v>40922.25099537037</v>
      </c>
      <c r="U883">
        <f>MONTH(Table1[[#This Row],[Launched]])</f>
        <v>11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8220</v>
      </c>
      <c r="G884" t="s">
        <v>8223</v>
      </c>
      <c r="H884" t="s">
        <v>8245</v>
      </c>
      <c r="I884" s="8">
        <v>1315341550</v>
      </c>
      <c r="J884">
        <v>1312490350</v>
      </c>
      <c r="K884" t="b">
        <v>0</v>
      </c>
      <c r="L884" s="10">
        <v>14</v>
      </c>
      <c r="M884" t="b">
        <v>0</v>
      </c>
      <c r="N884" t="s">
        <v>8277</v>
      </c>
      <c r="O884" s="11">
        <f t="shared" si="56"/>
        <v>20</v>
      </c>
      <c r="P884" s="12">
        <f t="shared" si="57"/>
        <v>22</v>
      </c>
      <c r="Q884" s="14" t="s">
        <v>8322</v>
      </c>
      <c r="R884" t="s">
        <v>8326</v>
      </c>
      <c r="S884" s="17">
        <f t="shared" si="58"/>
        <v>40759.860532407409</v>
      </c>
      <c r="T884" s="17">
        <f t="shared" si="59"/>
        <v>40792.860532407409</v>
      </c>
      <c r="U884">
        <f>MONTH(Table1[[#This Row],[Launched]])</f>
        <v>8</v>
      </c>
    </row>
    <row r="885" spans="1:21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8220</v>
      </c>
      <c r="G885" t="s">
        <v>8223</v>
      </c>
      <c r="H885" t="s">
        <v>8245</v>
      </c>
      <c r="I885" s="8">
        <v>1456957635</v>
      </c>
      <c r="J885">
        <v>1451773635</v>
      </c>
      <c r="K885" t="b">
        <v>0</v>
      </c>
      <c r="L885" s="10">
        <v>24</v>
      </c>
      <c r="M885" t="b">
        <v>0</v>
      </c>
      <c r="N885" t="s">
        <v>8277</v>
      </c>
      <c r="O885" s="11">
        <f t="shared" si="56"/>
        <v>40</v>
      </c>
      <c r="P885" s="12">
        <f t="shared" si="57"/>
        <v>83</v>
      </c>
      <c r="Q885" s="14" t="s">
        <v>8322</v>
      </c>
      <c r="R885" t="s">
        <v>8326</v>
      </c>
      <c r="S885" s="17">
        <f t="shared" si="58"/>
        <v>42371.935590277775</v>
      </c>
      <c r="T885" s="17">
        <f t="shared" si="59"/>
        <v>42431.935590277775</v>
      </c>
      <c r="U885">
        <f>MONTH(Table1[[#This Row],[Launched]])</f>
        <v>1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8220</v>
      </c>
      <c r="G886" t="s">
        <v>8223</v>
      </c>
      <c r="H886" t="s">
        <v>8245</v>
      </c>
      <c r="I886" s="8">
        <v>1336789860</v>
      </c>
      <c r="J886">
        <v>1331666146</v>
      </c>
      <c r="K886" t="b">
        <v>0</v>
      </c>
      <c r="L886" s="10">
        <v>2</v>
      </c>
      <c r="M886" t="b">
        <v>0</v>
      </c>
      <c r="N886" t="s">
        <v>8277</v>
      </c>
      <c r="O886" s="11">
        <f t="shared" si="56"/>
        <v>1</v>
      </c>
      <c r="P886" s="12">
        <f t="shared" si="57"/>
        <v>10</v>
      </c>
      <c r="Q886" s="14" t="s">
        <v>8322</v>
      </c>
      <c r="R886" t="s">
        <v>8326</v>
      </c>
      <c r="S886" s="17">
        <f t="shared" si="58"/>
        <v>40981.802615740737</v>
      </c>
      <c r="T886" s="17">
        <f t="shared" si="59"/>
        <v>41041.104861111111</v>
      </c>
      <c r="U886">
        <f>MONTH(Table1[[#This Row],[Launched]])</f>
        <v>3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8220</v>
      </c>
      <c r="G887" t="s">
        <v>8223</v>
      </c>
      <c r="H887" t="s">
        <v>8245</v>
      </c>
      <c r="I887" s="8">
        <v>1483137311</v>
      </c>
      <c r="J887">
        <v>1481322911</v>
      </c>
      <c r="K887" t="b">
        <v>0</v>
      </c>
      <c r="L887" s="10">
        <v>21</v>
      </c>
      <c r="M887" t="b">
        <v>0</v>
      </c>
      <c r="N887" t="s">
        <v>8277</v>
      </c>
      <c r="O887" s="11">
        <f t="shared" si="56"/>
        <v>75</v>
      </c>
      <c r="P887" s="12">
        <f t="shared" si="57"/>
        <v>36</v>
      </c>
      <c r="Q887" s="14" t="s">
        <v>8322</v>
      </c>
      <c r="R887" t="s">
        <v>8326</v>
      </c>
      <c r="S887" s="17">
        <f t="shared" si="58"/>
        <v>42713.941099537042</v>
      </c>
      <c r="T887" s="17">
        <f t="shared" si="59"/>
        <v>42734.941099537042</v>
      </c>
      <c r="U887">
        <f>MONTH(Table1[[#This Row],[Launched]])</f>
        <v>12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8220</v>
      </c>
      <c r="G888" t="s">
        <v>8223</v>
      </c>
      <c r="H888" t="s">
        <v>8245</v>
      </c>
      <c r="I888" s="8">
        <v>1473972813</v>
      </c>
      <c r="J888">
        <v>1471812813</v>
      </c>
      <c r="K888" t="b">
        <v>0</v>
      </c>
      <c r="L888" s="10">
        <v>7</v>
      </c>
      <c r="M888" t="b">
        <v>0</v>
      </c>
      <c r="N888" t="s">
        <v>8277</v>
      </c>
      <c r="O888" s="11">
        <f t="shared" si="56"/>
        <v>41</v>
      </c>
      <c r="P888" s="12">
        <f t="shared" si="57"/>
        <v>29</v>
      </c>
      <c r="Q888" s="14" t="s">
        <v>8322</v>
      </c>
      <c r="R888" t="s">
        <v>8326</v>
      </c>
      <c r="S888" s="17">
        <f t="shared" si="58"/>
        <v>42603.870520833334</v>
      </c>
      <c r="T888" s="17">
        <f t="shared" si="59"/>
        <v>42628.870520833334</v>
      </c>
      <c r="U888">
        <f>MONTH(Table1[[#This Row],[Launched]])</f>
        <v>8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8220</v>
      </c>
      <c r="G889" t="s">
        <v>8223</v>
      </c>
      <c r="H889" t="s">
        <v>8245</v>
      </c>
      <c r="I889" s="8">
        <v>1338159655</v>
      </c>
      <c r="J889">
        <v>1335567655</v>
      </c>
      <c r="K889" t="b">
        <v>0</v>
      </c>
      <c r="L889" s="10">
        <v>0</v>
      </c>
      <c r="M889" t="b">
        <v>0</v>
      </c>
      <c r="N889" t="s">
        <v>8277</v>
      </c>
      <c r="O889" s="11">
        <f t="shared" si="56"/>
        <v>0</v>
      </c>
      <c r="P889" s="12" t="str">
        <f t="shared" si="57"/>
        <v>No Backers</v>
      </c>
      <c r="Q889" s="14" t="s">
        <v>8322</v>
      </c>
      <c r="R889" t="s">
        <v>8326</v>
      </c>
      <c r="S889" s="17">
        <f t="shared" si="58"/>
        <v>41026.958969907406</v>
      </c>
      <c r="T889" s="17">
        <f t="shared" si="59"/>
        <v>41056.958969907406</v>
      </c>
      <c r="U889">
        <f>MONTH(Table1[[#This Row],[Launched]])</f>
        <v>4</v>
      </c>
    </row>
    <row r="890" spans="1:21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8220</v>
      </c>
      <c r="G890" t="s">
        <v>8223</v>
      </c>
      <c r="H890" t="s">
        <v>8245</v>
      </c>
      <c r="I890" s="8">
        <v>1314856800</v>
      </c>
      <c r="J890">
        <v>1311789885</v>
      </c>
      <c r="K890" t="b">
        <v>0</v>
      </c>
      <c r="L890" s="10">
        <v>4</v>
      </c>
      <c r="M890" t="b">
        <v>0</v>
      </c>
      <c r="N890" t="s">
        <v>8277</v>
      </c>
      <c r="O890" s="11">
        <f t="shared" si="56"/>
        <v>7</v>
      </c>
      <c r="P890" s="12">
        <f t="shared" si="57"/>
        <v>18</v>
      </c>
      <c r="Q890" s="14" t="s">
        <v>8322</v>
      </c>
      <c r="R890" t="s">
        <v>8326</v>
      </c>
      <c r="S890" s="17">
        <f t="shared" si="58"/>
        <v>40751.753298611111</v>
      </c>
      <c r="T890" s="17">
        <f t="shared" si="59"/>
        <v>40787.25</v>
      </c>
      <c r="U890">
        <f>MONTH(Table1[[#This Row],[Launched]])</f>
        <v>7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 s="8">
        <v>1412534943</v>
      </c>
      <c r="J891">
        <v>1409942943</v>
      </c>
      <c r="K891" t="b">
        <v>0</v>
      </c>
      <c r="L891" s="10">
        <v>32</v>
      </c>
      <c r="M891" t="b">
        <v>0</v>
      </c>
      <c r="N891" t="s">
        <v>8277</v>
      </c>
      <c r="O891" s="11">
        <f t="shared" si="56"/>
        <v>9</v>
      </c>
      <c r="P891" s="12">
        <f t="shared" si="57"/>
        <v>74</v>
      </c>
      <c r="Q891" s="14" t="s">
        <v>8322</v>
      </c>
      <c r="R891" t="s">
        <v>8326</v>
      </c>
      <c r="S891" s="17">
        <f t="shared" si="58"/>
        <v>41887.784062500003</v>
      </c>
      <c r="T891" s="17">
        <f t="shared" si="59"/>
        <v>41917.784062500003</v>
      </c>
      <c r="U891">
        <f>MONTH(Table1[[#This Row],[Launched]])</f>
        <v>9</v>
      </c>
    </row>
    <row r="892" spans="1:21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8220</v>
      </c>
      <c r="G892" t="s">
        <v>8223</v>
      </c>
      <c r="H892" t="s">
        <v>8245</v>
      </c>
      <c r="I892" s="8">
        <v>1385055979</v>
      </c>
      <c r="J892">
        <v>1382460379</v>
      </c>
      <c r="K892" t="b">
        <v>0</v>
      </c>
      <c r="L892" s="10">
        <v>4</v>
      </c>
      <c r="M892" t="b">
        <v>0</v>
      </c>
      <c r="N892" t="s">
        <v>8277</v>
      </c>
      <c r="O892" s="11">
        <f t="shared" si="56"/>
        <v>4</v>
      </c>
      <c r="P892" s="12">
        <f t="shared" si="57"/>
        <v>31</v>
      </c>
      <c r="Q892" s="14" t="s">
        <v>8322</v>
      </c>
      <c r="R892" t="s">
        <v>8326</v>
      </c>
      <c r="S892" s="17">
        <f t="shared" si="58"/>
        <v>41569.698831018519</v>
      </c>
      <c r="T892" s="17">
        <f t="shared" si="59"/>
        <v>41599.740497685183</v>
      </c>
      <c r="U892">
        <f>MONTH(Table1[[#This Row],[Launched]])</f>
        <v>10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8220</v>
      </c>
      <c r="G893" t="s">
        <v>8223</v>
      </c>
      <c r="H893" t="s">
        <v>8245</v>
      </c>
      <c r="I893" s="8">
        <v>1408581930</v>
      </c>
      <c r="J893">
        <v>1405989930</v>
      </c>
      <c r="K893" t="b">
        <v>0</v>
      </c>
      <c r="L893" s="10">
        <v>9</v>
      </c>
      <c r="M893" t="b">
        <v>0</v>
      </c>
      <c r="N893" t="s">
        <v>8277</v>
      </c>
      <c r="O893" s="11">
        <f t="shared" si="56"/>
        <v>3</v>
      </c>
      <c r="P893" s="12">
        <f t="shared" si="57"/>
        <v>29</v>
      </c>
      <c r="Q893" s="14" t="s">
        <v>8322</v>
      </c>
      <c r="R893" t="s">
        <v>8326</v>
      </c>
      <c r="S893" s="17">
        <f t="shared" si="58"/>
        <v>41842.031597222223</v>
      </c>
      <c r="T893" s="17">
        <f t="shared" si="59"/>
        <v>41872.031597222223</v>
      </c>
      <c r="U893">
        <f>MONTH(Table1[[#This Row],[Launched]])</f>
        <v>7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8220</v>
      </c>
      <c r="G894" t="s">
        <v>8223</v>
      </c>
      <c r="H894" t="s">
        <v>8245</v>
      </c>
      <c r="I894" s="8">
        <v>1280635200</v>
      </c>
      <c r="J894">
        <v>1273121283</v>
      </c>
      <c r="K894" t="b">
        <v>0</v>
      </c>
      <c r="L894" s="10">
        <v>17</v>
      </c>
      <c r="M894" t="b">
        <v>0</v>
      </c>
      <c r="N894" t="s">
        <v>8277</v>
      </c>
      <c r="O894" s="11">
        <f t="shared" si="56"/>
        <v>41</v>
      </c>
      <c r="P894" s="12">
        <f t="shared" si="57"/>
        <v>144</v>
      </c>
      <c r="Q894" s="14" t="s">
        <v>8322</v>
      </c>
      <c r="R894" t="s">
        <v>8326</v>
      </c>
      <c r="S894" s="17">
        <f t="shared" si="58"/>
        <v>40304.20003472222</v>
      </c>
      <c r="T894" s="17">
        <f t="shared" si="59"/>
        <v>40391.166666666664</v>
      </c>
      <c r="U894">
        <f>MONTH(Table1[[#This Row],[Launched]])</f>
        <v>5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8220</v>
      </c>
      <c r="G895" t="s">
        <v>8223</v>
      </c>
      <c r="H895" t="s">
        <v>8245</v>
      </c>
      <c r="I895" s="8">
        <v>1427920363</v>
      </c>
      <c r="J895">
        <v>1425331963</v>
      </c>
      <c r="K895" t="b">
        <v>0</v>
      </c>
      <c r="L895" s="10">
        <v>5</v>
      </c>
      <c r="M895" t="b">
        <v>0</v>
      </c>
      <c r="N895" t="s">
        <v>8277</v>
      </c>
      <c r="O895" s="11">
        <f t="shared" si="56"/>
        <v>10</v>
      </c>
      <c r="P895" s="12">
        <f t="shared" si="57"/>
        <v>40</v>
      </c>
      <c r="Q895" s="14" t="s">
        <v>8322</v>
      </c>
      <c r="R895" t="s">
        <v>8326</v>
      </c>
      <c r="S895" s="17">
        <f t="shared" si="58"/>
        <v>42065.897719907407</v>
      </c>
      <c r="T895" s="17">
        <f t="shared" si="59"/>
        <v>42095.856053240743</v>
      </c>
      <c r="U895">
        <f>MONTH(Table1[[#This Row],[Launched]])</f>
        <v>3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8220</v>
      </c>
      <c r="G896" t="s">
        <v>8223</v>
      </c>
      <c r="H896" t="s">
        <v>8245</v>
      </c>
      <c r="I896" s="8">
        <v>1465169610</v>
      </c>
      <c r="J896">
        <v>1462577610</v>
      </c>
      <c r="K896" t="b">
        <v>0</v>
      </c>
      <c r="L896" s="10">
        <v>53</v>
      </c>
      <c r="M896" t="b">
        <v>0</v>
      </c>
      <c r="N896" t="s">
        <v>8277</v>
      </c>
      <c r="O896" s="11">
        <f t="shared" si="56"/>
        <v>39</v>
      </c>
      <c r="P896" s="12">
        <f t="shared" si="57"/>
        <v>148</v>
      </c>
      <c r="Q896" s="14" t="s">
        <v>8322</v>
      </c>
      <c r="R896" t="s">
        <v>8326</v>
      </c>
      <c r="S896" s="17">
        <f t="shared" si="58"/>
        <v>42496.981597222228</v>
      </c>
      <c r="T896" s="17">
        <f t="shared" si="59"/>
        <v>42526.981597222228</v>
      </c>
      <c r="U896">
        <f>MONTH(Table1[[#This Row],[Launched]])</f>
        <v>5</v>
      </c>
    </row>
    <row r="897" spans="1:21" ht="57.6" x14ac:dyDescent="0.3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8220</v>
      </c>
      <c r="G897" t="s">
        <v>8223</v>
      </c>
      <c r="H897" t="s">
        <v>8245</v>
      </c>
      <c r="I897" s="8">
        <v>1287975829</v>
      </c>
      <c r="J897">
        <v>1284087829</v>
      </c>
      <c r="K897" t="b">
        <v>0</v>
      </c>
      <c r="L897" s="10">
        <v>7</v>
      </c>
      <c r="M897" t="b">
        <v>0</v>
      </c>
      <c r="N897" t="s">
        <v>8277</v>
      </c>
      <c r="O897" s="11">
        <f t="shared" si="56"/>
        <v>2</v>
      </c>
      <c r="P897" s="12">
        <f t="shared" si="57"/>
        <v>28</v>
      </c>
      <c r="Q897" s="14" t="s">
        <v>8322</v>
      </c>
      <c r="R897" t="s">
        <v>8326</v>
      </c>
      <c r="S897" s="17">
        <f t="shared" si="58"/>
        <v>40431.127650462964</v>
      </c>
      <c r="T897" s="17">
        <f t="shared" si="59"/>
        <v>40476.127650462964</v>
      </c>
      <c r="U897">
        <f>MONTH(Table1[[#This Row],[Launched]])</f>
        <v>9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8220</v>
      </c>
      <c r="G898" t="s">
        <v>8223</v>
      </c>
      <c r="H898" t="s">
        <v>8245</v>
      </c>
      <c r="I898" s="8">
        <v>1440734400</v>
      </c>
      <c r="J898">
        <v>1438549026</v>
      </c>
      <c r="K898" t="b">
        <v>0</v>
      </c>
      <c r="L898" s="10">
        <v>72</v>
      </c>
      <c r="M898" t="b">
        <v>0</v>
      </c>
      <c r="N898" t="s">
        <v>8277</v>
      </c>
      <c r="O898" s="11">
        <f t="shared" ref="O898:O961" si="60">ROUND(E898/D898*100,0)</f>
        <v>40</v>
      </c>
      <c r="P898" s="12">
        <f t="shared" si="57"/>
        <v>44</v>
      </c>
      <c r="Q898" s="14" t="s">
        <v>8322</v>
      </c>
      <c r="R898" t="s">
        <v>8326</v>
      </c>
      <c r="S898" s="17">
        <f t="shared" si="58"/>
        <v>42218.872986111113</v>
      </c>
      <c r="T898" s="17">
        <f t="shared" si="59"/>
        <v>42244.166666666672</v>
      </c>
      <c r="U898">
        <f>MONTH(Table1[[#This Row],[Launched]])</f>
        <v>8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8220</v>
      </c>
      <c r="G899" t="s">
        <v>8223</v>
      </c>
      <c r="H899" t="s">
        <v>8245</v>
      </c>
      <c r="I899" s="8">
        <v>1354123908</v>
      </c>
      <c r="J899">
        <v>1351528308</v>
      </c>
      <c r="K899" t="b">
        <v>0</v>
      </c>
      <c r="L899" s="10">
        <v>0</v>
      </c>
      <c r="M899" t="b">
        <v>0</v>
      </c>
      <c r="N899" t="s">
        <v>8277</v>
      </c>
      <c r="O899" s="11">
        <f t="shared" si="60"/>
        <v>0</v>
      </c>
      <c r="P899" s="12" t="str">
        <f t="shared" ref="P899:P962" si="61">IFERROR(ROUND(E899/L899,),"No Backers")</f>
        <v>No Backers</v>
      </c>
      <c r="Q899" s="14" t="s">
        <v>8322</v>
      </c>
      <c r="R899" t="s">
        <v>8326</v>
      </c>
      <c r="S899" s="17">
        <f t="shared" ref="S899:S962" si="62">(((J899/60)/60)/24)+DATE(1970,1,1)</f>
        <v>41211.688750000001</v>
      </c>
      <c r="T899" s="17">
        <f t="shared" ref="T899:T962" si="63">(((I899/60)/60)/24)+DATE(1970,1,1)</f>
        <v>41241.730416666665</v>
      </c>
      <c r="U899">
        <f>MONTH(Table1[[#This Row],[Launched]])</f>
        <v>10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8220</v>
      </c>
      <c r="G900" t="s">
        <v>8223</v>
      </c>
      <c r="H900" t="s">
        <v>8245</v>
      </c>
      <c r="I900" s="8">
        <v>1326651110</v>
      </c>
      <c r="J900">
        <v>1322763110</v>
      </c>
      <c r="K900" t="b">
        <v>0</v>
      </c>
      <c r="L900" s="10">
        <v>2</v>
      </c>
      <c r="M900" t="b">
        <v>0</v>
      </c>
      <c r="N900" t="s">
        <v>8277</v>
      </c>
      <c r="O900" s="11">
        <f t="shared" si="60"/>
        <v>3</v>
      </c>
      <c r="P900" s="12">
        <f t="shared" si="61"/>
        <v>35</v>
      </c>
      <c r="Q900" s="14" t="s">
        <v>8322</v>
      </c>
      <c r="R900" t="s">
        <v>8326</v>
      </c>
      <c r="S900" s="17">
        <f t="shared" si="62"/>
        <v>40878.758217592593</v>
      </c>
      <c r="T900" s="17">
        <f t="shared" si="63"/>
        <v>40923.758217592593</v>
      </c>
      <c r="U900">
        <f>MONTH(Table1[[#This Row],[Launched]])</f>
        <v>12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8220</v>
      </c>
      <c r="G901" t="s">
        <v>8223</v>
      </c>
      <c r="H901" t="s">
        <v>8245</v>
      </c>
      <c r="I901" s="8">
        <v>1306549362</v>
      </c>
      <c r="J901">
        <v>1302661362</v>
      </c>
      <c r="K901" t="b">
        <v>0</v>
      </c>
      <c r="L901" s="10">
        <v>8</v>
      </c>
      <c r="M901" t="b">
        <v>0</v>
      </c>
      <c r="N901" t="s">
        <v>8277</v>
      </c>
      <c r="O901" s="11">
        <f t="shared" si="60"/>
        <v>37</v>
      </c>
      <c r="P901" s="12">
        <f t="shared" si="61"/>
        <v>35</v>
      </c>
      <c r="Q901" s="14" t="s">
        <v>8322</v>
      </c>
      <c r="R901" t="s">
        <v>8326</v>
      </c>
      <c r="S901" s="17">
        <f t="shared" si="62"/>
        <v>40646.099097222221</v>
      </c>
      <c r="T901" s="17">
        <f t="shared" si="63"/>
        <v>40691.099097222221</v>
      </c>
      <c r="U901">
        <f>MONTH(Table1[[#This Row],[Launched]])</f>
        <v>4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8220</v>
      </c>
      <c r="G902" t="s">
        <v>8223</v>
      </c>
      <c r="H902" t="s">
        <v>8245</v>
      </c>
      <c r="I902" s="8">
        <v>1459365802</v>
      </c>
      <c r="J902">
        <v>1456777402</v>
      </c>
      <c r="K902" t="b">
        <v>0</v>
      </c>
      <c r="L902" s="10">
        <v>2</v>
      </c>
      <c r="M902" t="b">
        <v>0</v>
      </c>
      <c r="N902" t="s">
        <v>8276</v>
      </c>
      <c r="O902" s="11">
        <f t="shared" si="60"/>
        <v>0</v>
      </c>
      <c r="P902" s="12">
        <f t="shared" si="61"/>
        <v>11</v>
      </c>
      <c r="Q902" s="14" t="s">
        <v>8322</v>
      </c>
      <c r="R902" t="s">
        <v>8325</v>
      </c>
      <c r="S902" s="17">
        <f t="shared" si="62"/>
        <v>42429.84956018519</v>
      </c>
      <c r="T902" s="17">
        <f t="shared" si="63"/>
        <v>42459.807893518519</v>
      </c>
      <c r="U902">
        <f>MONTH(Table1[[#This Row],[Launched]])</f>
        <v>2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8220</v>
      </c>
      <c r="G903" t="s">
        <v>8223</v>
      </c>
      <c r="H903" t="s">
        <v>8245</v>
      </c>
      <c r="I903" s="8">
        <v>1276024260</v>
      </c>
      <c r="J903">
        <v>1272050914</v>
      </c>
      <c r="K903" t="b">
        <v>0</v>
      </c>
      <c r="L903" s="10">
        <v>0</v>
      </c>
      <c r="M903" t="b">
        <v>0</v>
      </c>
      <c r="N903" t="s">
        <v>8276</v>
      </c>
      <c r="O903" s="11">
        <f t="shared" si="60"/>
        <v>0</v>
      </c>
      <c r="P903" s="12" t="str">
        <f t="shared" si="61"/>
        <v>No Backers</v>
      </c>
      <c r="Q903" s="14" t="s">
        <v>8322</v>
      </c>
      <c r="R903" t="s">
        <v>8325</v>
      </c>
      <c r="S903" s="17">
        <f t="shared" si="62"/>
        <v>40291.81150462963</v>
      </c>
      <c r="T903" s="17">
        <f t="shared" si="63"/>
        <v>40337.799305555556</v>
      </c>
      <c r="U903">
        <f>MONTH(Table1[[#This Row],[Launched]])</f>
        <v>4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8220</v>
      </c>
      <c r="G904" t="s">
        <v>8223</v>
      </c>
      <c r="H904" t="s">
        <v>8245</v>
      </c>
      <c r="I904" s="8">
        <v>1409412600</v>
      </c>
      <c r="J904">
        <v>1404947422</v>
      </c>
      <c r="K904" t="b">
        <v>0</v>
      </c>
      <c r="L904" s="10">
        <v>3</v>
      </c>
      <c r="M904" t="b">
        <v>0</v>
      </c>
      <c r="N904" t="s">
        <v>8276</v>
      </c>
      <c r="O904" s="11">
        <f t="shared" si="60"/>
        <v>0</v>
      </c>
      <c r="P904" s="12">
        <f t="shared" si="61"/>
        <v>30</v>
      </c>
      <c r="Q904" s="14" t="s">
        <v>8322</v>
      </c>
      <c r="R904" t="s">
        <v>8325</v>
      </c>
      <c r="S904" s="17">
        <f t="shared" si="62"/>
        <v>41829.965532407405</v>
      </c>
      <c r="T904" s="17">
        <f t="shared" si="63"/>
        <v>41881.645833333336</v>
      </c>
      <c r="U904">
        <f>MONTH(Table1[[#This Row],[Launched]])</f>
        <v>7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8220</v>
      </c>
      <c r="G905" t="s">
        <v>8223</v>
      </c>
      <c r="H905" t="s">
        <v>8245</v>
      </c>
      <c r="I905" s="8">
        <v>1348367100</v>
      </c>
      <c r="J905">
        <v>1346180780</v>
      </c>
      <c r="K905" t="b">
        <v>0</v>
      </c>
      <c r="L905" s="10">
        <v>4</v>
      </c>
      <c r="M905" t="b">
        <v>0</v>
      </c>
      <c r="N905" t="s">
        <v>8276</v>
      </c>
      <c r="O905" s="11">
        <f t="shared" si="60"/>
        <v>3</v>
      </c>
      <c r="P905" s="12">
        <f t="shared" si="61"/>
        <v>40</v>
      </c>
      <c r="Q905" s="14" t="s">
        <v>8322</v>
      </c>
      <c r="R905" t="s">
        <v>8325</v>
      </c>
      <c r="S905" s="17">
        <f t="shared" si="62"/>
        <v>41149.796064814815</v>
      </c>
      <c r="T905" s="17">
        <f t="shared" si="63"/>
        <v>41175.100694444445</v>
      </c>
      <c r="U905">
        <f>MONTH(Table1[[#This Row],[Launched]])</f>
        <v>8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8220</v>
      </c>
      <c r="G906" t="s">
        <v>8223</v>
      </c>
      <c r="H906" t="s">
        <v>8245</v>
      </c>
      <c r="I906" s="8">
        <v>1451786137</v>
      </c>
      <c r="J906">
        <v>1449194137</v>
      </c>
      <c r="K906" t="b">
        <v>0</v>
      </c>
      <c r="L906" s="10">
        <v>3</v>
      </c>
      <c r="M906" t="b">
        <v>0</v>
      </c>
      <c r="N906" t="s">
        <v>8276</v>
      </c>
      <c r="O906" s="11">
        <f t="shared" si="60"/>
        <v>0</v>
      </c>
      <c r="P906" s="12">
        <f t="shared" si="61"/>
        <v>50</v>
      </c>
      <c r="Q906" s="14" t="s">
        <v>8322</v>
      </c>
      <c r="R906" t="s">
        <v>8325</v>
      </c>
      <c r="S906" s="17">
        <f t="shared" si="62"/>
        <v>42342.080289351856</v>
      </c>
      <c r="T906" s="17">
        <f t="shared" si="63"/>
        <v>42372.080289351856</v>
      </c>
      <c r="U906">
        <f>MONTH(Table1[[#This Row],[Launched]])</f>
        <v>12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8220</v>
      </c>
      <c r="G907" t="s">
        <v>8223</v>
      </c>
      <c r="H907" t="s">
        <v>8245</v>
      </c>
      <c r="I907" s="8">
        <v>1295847926</v>
      </c>
      <c r="J907">
        <v>1290663926</v>
      </c>
      <c r="K907" t="b">
        <v>0</v>
      </c>
      <c r="L907" s="10">
        <v>6</v>
      </c>
      <c r="M907" t="b">
        <v>0</v>
      </c>
      <c r="N907" t="s">
        <v>8276</v>
      </c>
      <c r="O907" s="11">
        <f t="shared" si="60"/>
        <v>3</v>
      </c>
      <c r="P907" s="12">
        <f t="shared" si="61"/>
        <v>33</v>
      </c>
      <c r="Q907" s="14" t="s">
        <v>8322</v>
      </c>
      <c r="R907" t="s">
        <v>8325</v>
      </c>
      <c r="S907" s="17">
        <f t="shared" si="62"/>
        <v>40507.239884259259</v>
      </c>
      <c r="T907" s="17">
        <f t="shared" si="63"/>
        <v>40567.239884259259</v>
      </c>
      <c r="U907">
        <f>MONTH(Table1[[#This Row],[Launched]])</f>
        <v>11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8220</v>
      </c>
      <c r="G908" t="s">
        <v>8223</v>
      </c>
      <c r="H908" t="s">
        <v>8245</v>
      </c>
      <c r="I908" s="8">
        <v>1394681590</v>
      </c>
      <c r="J908">
        <v>1392093190</v>
      </c>
      <c r="K908" t="b">
        <v>0</v>
      </c>
      <c r="L908" s="10">
        <v>0</v>
      </c>
      <c r="M908" t="b">
        <v>0</v>
      </c>
      <c r="N908" t="s">
        <v>8276</v>
      </c>
      <c r="O908" s="11">
        <f t="shared" si="60"/>
        <v>0</v>
      </c>
      <c r="P908" s="12" t="str">
        <f t="shared" si="61"/>
        <v>No Backers</v>
      </c>
      <c r="Q908" s="14" t="s">
        <v>8322</v>
      </c>
      <c r="R908" t="s">
        <v>8325</v>
      </c>
      <c r="S908" s="17">
        <f t="shared" si="62"/>
        <v>41681.189699074072</v>
      </c>
      <c r="T908" s="17">
        <f t="shared" si="63"/>
        <v>41711.148032407407</v>
      </c>
      <c r="U908">
        <f>MONTH(Table1[[#This Row],[Launched]])</f>
        <v>2</v>
      </c>
    </row>
    <row r="909" spans="1:21" ht="43.2" x14ac:dyDescent="0.3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8220</v>
      </c>
      <c r="G909" t="s">
        <v>8223</v>
      </c>
      <c r="H909" t="s">
        <v>8245</v>
      </c>
      <c r="I909" s="8">
        <v>1315715823</v>
      </c>
      <c r="J909">
        <v>1313123823</v>
      </c>
      <c r="K909" t="b">
        <v>0</v>
      </c>
      <c r="L909" s="10">
        <v>0</v>
      </c>
      <c r="M909" t="b">
        <v>0</v>
      </c>
      <c r="N909" t="s">
        <v>8276</v>
      </c>
      <c r="O909" s="11">
        <f t="shared" si="60"/>
        <v>0</v>
      </c>
      <c r="P909" s="12" t="str">
        <f t="shared" si="61"/>
        <v>No Backers</v>
      </c>
      <c r="Q909" s="14" t="s">
        <v>8322</v>
      </c>
      <c r="R909" t="s">
        <v>8325</v>
      </c>
      <c r="S909" s="17">
        <f t="shared" si="62"/>
        <v>40767.192395833335</v>
      </c>
      <c r="T909" s="17">
        <f t="shared" si="63"/>
        <v>40797.192395833335</v>
      </c>
      <c r="U909">
        <f>MONTH(Table1[[#This Row],[Launched]])</f>
        <v>8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8220</v>
      </c>
      <c r="G910" t="s">
        <v>8223</v>
      </c>
      <c r="H910" t="s">
        <v>8245</v>
      </c>
      <c r="I910" s="8">
        <v>1280206740</v>
      </c>
      <c r="J910">
        <v>1276283655</v>
      </c>
      <c r="K910" t="b">
        <v>0</v>
      </c>
      <c r="L910" s="10">
        <v>0</v>
      </c>
      <c r="M910" t="b">
        <v>0</v>
      </c>
      <c r="N910" t="s">
        <v>8276</v>
      </c>
      <c r="O910" s="11">
        <f t="shared" si="60"/>
        <v>0</v>
      </c>
      <c r="P910" s="12" t="str">
        <f t="shared" si="61"/>
        <v>No Backers</v>
      </c>
      <c r="Q910" s="14" t="s">
        <v>8322</v>
      </c>
      <c r="R910" t="s">
        <v>8325</v>
      </c>
      <c r="S910" s="17">
        <f t="shared" si="62"/>
        <v>40340.801562499997</v>
      </c>
      <c r="T910" s="17">
        <f t="shared" si="63"/>
        <v>40386.207638888889</v>
      </c>
      <c r="U910">
        <f>MONTH(Table1[[#This Row],[Launched]])</f>
        <v>6</v>
      </c>
    </row>
    <row r="911" spans="1:21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8220</v>
      </c>
      <c r="G911" t="s">
        <v>8223</v>
      </c>
      <c r="H911" t="s">
        <v>8245</v>
      </c>
      <c r="I911" s="8">
        <v>1343016000</v>
      </c>
      <c r="J911">
        <v>1340296440</v>
      </c>
      <c r="K911" t="b">
        <v>0</v>
      </c>
      <c r="L911" s="10">
        <v>8</v>
      </c>
      <c r="M911" t="b">
        <v>0</v>
      </c>
      <c r="N911" t="s">
        <v>8276</v>
      </c>
      <c r="O911" s="11">
        <f t="shared" si="60"/>
        <v>3</v>
      </c>
      <c r="P911" s="12">
        <f t="shared" si="61"/>
        <v>65</v>
      </c>
      <c r="Q911" s="14" t="s">
        <v>8322</v>
      </c>
      <c r="R911" t="s">
        <v>8325</v>
      </c>
      <c r="S911" s="17">
        <f t="shared" si="62"/>
        <v>41081.69027777778</v>
      </c>
      <c r="T911" s="17">
        <f t="shared" si="63"/>
        <v>41113.166666666664</v>
      </c>
      <c r="U911">
        <f>MONTH(Table1[[#This Row],[Launched]])</f>
        <v>6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8220</v>
      </c>
      <c r="G912" t="s">
        <v>8224</v>
      </c>
      <c r="H912" t="s">
        <v>8246</v>
      </c>
      <c r="I912" s="8">
        <v>1488546319</v>
      </c>
      <c r="J912">
        <v>1483362319</v>
      </c>
      <c r="K912" t="b">
        <v>0</v>
      </c>
      <c r="L912" s="10">
        <v>5</v>
      </c>
      <c r="M912" t="b">
        <v>0</v>
      </c>
      <c r="N912" t="s">
        <v>8276</v>
      </c>
      <c r="O912" s="11">
        <f t="shared" si="60"/>
        <v>22</v>
      </c>
      <c r="P912" s="12">
        <f t="shared" si="61"/>
        <v>25</v>
      </c>
      <c r="Q912" s="14" t="s">
        <v>8322</v>
      </c>
      <c r="R912" t="s">
        <v>8325</v>
      </c>
      <c r="S912" s="17">
        <f t="shared" si="62"/>
        <v>42737.545358796298</v>
      </c>
      <c r="T912" s="17">
        <f t="shared" si="63"/>
        <v>42797.545358796298</v>
      </c>
      <c r="U912">
        <f>MONTH(Table1[[#This Row],[Launched]])</f>
        <v>1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8220</v>
      </c>
      <c r="G913" t="s">
        <v>8223</v>
      </c>
      <c r="H913" t="s">
        <v>8245</v>
      </c>
      <c r="I913" s="8">
        <v>1390522045</v>
      </c>
      <c r="J913">
        <v>1388707645</v>
      </c>
      <c r="K913" t="b">
        <v>0</v>
      </c>
      <c r="L913" s="10">
        <v>0</v>
      </c>
      <c r="M913" t="b">
        <v>0</v>
      </c>
      <c r="N913" t="s">
        <v>8276</v>
      </c>
      <c r="O913" s="11">
        <f t="shared" si="60"/>
        <v>0</v>
      </c>
      <c r="P913" s="12" t="str">
        <f t="shared" si="61"/>
        <v>No Backers</v>
      </c>
      <c r="Q913" s="14" t="s">
        <v>8322</v>
      </c>
      <c r="R913" t="s">
        <v>8325</v>
      </c>
      <c r="S913" s="17">
        <f t="shared" si="62"/>
        <v>41642.005150462966</v>
      </c>
      <c r="T913" s="17">
        <f t="shared" si="63"/>
        <v>41663.005150462966</v>
      </c>
      <c r="U913">
        <f>MONTH(Table1[[#This Row],[Launched]])</f>
        <v>1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8220</v>
      </c>
      <c r="G914" t="s">
        <v>8223</v>
      </c>
      <c r="H914" t="s">
        <v>8245</v>
      </c>
      <c r="I914" s="8">
        <v>1355197047</v>
      </c>
      <c r="J914">
        <v>1350009447</v>
      </c>
      <c r="K914" t="b">
        <v>0</v>
      </c>
      <c r="L914" s="10">
        <v>2</v>
      </c>
      <c r="M914" t="b">
        <v>0</v>
      </c>
      <c r="N914" t="s">
        <v>8276</v>
      </c>
      <c r="O914" s="11">
        <f t="shared" si="60"/>
        <v>1</v>
      </c>
      <c r="P914" s="12">
        <f t="shared" si="61"/>
        <v>15</v>
      </c>
      <c r="Q914" s="14" t="s">
        <v>8322</v>
      </c>
      <c r="R914" t="s">
        <v>8325</v>
      </c>
      <c r="S914" s="17">
        <f t="shared" si="62"/>
        <v>41194.109340277777</v>
      </c>
      <c r="T914" s="17">
        <f t="shared" si="63"/>
        <v>41254.151006944441</v>
      </c>
      <c r="U914">
        <f>MONTH(Table1[[#This Row],[Launched]])</f>
        <v>10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8220</v>
      </c>
      <c r="G915" t="s">
        <v>8223</v>
      </c>
      <c r="H915" t="s">
        <v>8245</v>
      </c>
      <c r="I915" s="8">
        <v>1336188019</v>
      </c>
      <c r="J915">
        <v>1333596019</v>
      </c>
      <c r="K915" t="b">
        <v>0</v>
      </c>
      <c r="L915" s="10">
        <v>24</v>
      </c>
      <c r="M915" t="b">
        <v>0</v>
      </c>
      <c r="N915" t="s">
        <v>8276</v>
      </c>
      <c r="O915" s="11">
        <f t="shared" si="60"/>
        <v>7</v>
      </c>
      <c r="P915" s="12">
        <f t="shared" si="61"/>
        <v>83</v>
      </c>
      <c r="Q915" s="14" t="s">
        <v>8322</v>
      </c>
      <c r="R915" t="s">
        <v>8325</v>
      </c>
      <c r="S915" s="17">
        <f t="shared" si="62"/>
        <v>41004.139108796298</v>
      </c>
      <c r="T915" s="17">
        <f t="shared" si="63"/>
        <v>41034.139108796298</v>
      </c>
      <c r="U915">
        <f>MONTH(Table1[[#This Row],[Launched]])</f>
        <v>4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8220</v>
      </c>
      <c r="G916" t="s">
        <v>8223</v>
      </c>
      <c r="H916" t="s">
        <v>8245</v>
      </c>
      <c r="I916" s="8">
        <v>1345918747</v>
      </c>
      <c r="J916">
        <v>1343326747</v>
      </c>
      <c r="K916" t="b">
        <v>0</v>
      </c>
      <c r="L916" s="10">
        <v>0</v>
      </c>
      <c r="M916" t="b">
        <v>0</v>
      </c>
      <c r="N916" t="s">
        <v>8276</v>
      </c>
      <c r="O916" s="11">
        <f t="shared" si="60"/>
        <v>0</v>
      </c>
      <c r="P916" s="12" t="str">
        <f t="shared" si="61"/>
        <v>No Backers</v>
      </c>
      <c r="Q916" s="14" t="s">
        <v>8322</v>
      </c>
      <c r="R916" t="s">
        <v>8325</v>
      </c>
      <c r="S916" s="17">
        <f t="shared" si="62"/>
        <v>41116.763275462967</v>
      </c>
      <c r="T916" s="17">
        <f t="shared" si="63"/>
        <v>41146.763275462967</v>
      </c>
      <c r="U916">
        <f>MONTH(Table1[[#This Row],[Launched]])</f>
        <v>7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8220</v>
      </c>
      <c r="G917" t="s">
        <v>8223</v>
      </c>
      <c r="H917" t="s">
        <v>8245</v>
      </c>
      <c r="I917" s="8">
        <v>1330577940</v>
      </c>
      <c r="J917">
        <v>1327853914</v>
      </c>
      <c r="K917" t="b">
        <v>0</v>
      </c>
      <c r="L917" s="10">
        <v>9</v>
      </c>
      <c r="M917" t="b">
        <v>0</v>
      </c>
      <c r="N917" t="s">
        <v>8276</v>
      </c>
      <c r="O917" s="11">
        <f t="shared" si="60"/>
        <v>6</v>
      </c>
      <c r="P917" s="12">
        <f t="shared" si="61"/>
        <v>42</v>
      </c>
      <c r="Q917" s="14" t="s">
        <v>8322</v>
      </c>
      <c r="R917" t="s">
        <v>8325</v>
      </c>
      <c r="S917" s="17">
        <f t="shared" si="62"/>
        <v>40937.679560185185</v>
      </c>
      <c r="T917" s="17">
        <f t="shared" si="63"/>
        <v>40969.207638888889</v>
      </c>
      <c r="U917">
        <f>MONTH(Table1[[#This Row],[Launched]])</f>
        <v>1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8220</v>
      </c>
      <c r="G918" t="s">
        <v>8223</v>
      </c>
      <c r="H918" t="s">
        <v>8245</v>
      </c>
      <c r="I918" s="8">
        <v>1287723600</v>
      </c>
      <c r="J918">
        <v>1284409734</v>
      </c>
      <c r="K918" t="b">
        <v>0</v>
      </c>
      <c r="L918" s="10">
        <v>0</v>
      </c>
      <c r="M918" t="b">
        <v>0</v>
      </c>
      <c r="N918" t="s">
        <v>8276</v>
      </c>
      <c r="O918" s="11">
        <f t="shared" si="60"/>
        <v>0</v>
      </c>
      <c r="P918" s="12" t="str">
        <f t="shared" si="61"/>
        <v>No Backers</v>
      </c>
      <c r="Q918" s="14" t="s">
        <v>8322</v>
      </c>
      <c r="R918" t="s">
        <v>8325</v>
      </c>
      <c r="S918" s="17">
        <f t="shared" si="62"/>
        <v>40434.853402777779</v>
      </c>
      <c r="T918" s="17">
        <f t="shared" si="63"/>
        <v>40473.208333333336</v>
      </c>
      <c r="U918">
        <f>MONTH(Table1[[#This Row],[Launched]])</f>
        <v>9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8220</v>
      </c>
      <c r="G919" t="s">
        <v>8223</v>
      </c>
      <c r="H919" t="s">
        <v>8245</v>
      </c>
      <c r="I919" s="8">
        <v>1405305000</v>
      </c>
      <c r="J919">
        <v>1402612730</v>
      </c>
      <c r="K919" t="b">
        <v>0</v>
      </c>
      <c r="L919" s="10">
        <v>1</v>
      </c>
      <c r="M919" t="b">
        <v>0</v>
      </c>
      <c r="N919" t="s">
        <v>8276</v>
      </c>
      <c r="O919" s="11">
        <f t="shared" si="60"/>
        <v>1</v>
      </c>
      <c r="P919" s="12">
        <f t="shared" si="61"/>
        <v>30</v>
      </c>
      <c r="Q919" s="14" t="s">
        <v>8322</v>
      </c>
      <c r="R919" t="s">
        <v>8325</v>
      </c>
      <c r="S919" s="17">
        <f t="shared" si="62"/>
        <v>41802.94363425926</v>
      </c>
      <c r="T919" s="17">
        <f t="shared" si="63"/>
        <v>41834.104166666664</v>
      </c>
      <c r="U919">
        <f>MONTH(Table1[[#This Row],[Launched]])</f>
        <v>6</v>
      </c>
    </row>
    <row r="920" spans="1:21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8220</v>
      </c>
      <c r="G920" t="s">
        <v>8224</v>
      </c>
      <c r="H920" t="s">
        <v>8246</v>
      </c>
      <c r="I920" s="8">
        <v>1417474761</v>
      </c>
      <c r="J920">
        <v>1414879161</v>
      </c>
      <c r="K920" t="b">
        <v>0</v>
      </c>
      <c r="L920" s="10">
        <v>10</v>
      </c>
      <c r="M920" t="b">
        <v>0</v>
      </c>
      <c r="N920" t="s">
        <v>8276</v>
      </c>
      <c r="O920" s="11">
        <f t="shared" si="60"/>
        <v>5</v>
      </c>
      <c r="P920" s="12">
        <f t="shared" si="61"/>
        <v>20</v>
      </c>
      <c r="Q920" s="14" t="s">
        <v>8322</v>
      </c>
      <c r="R920" t="s">
        <v>8325</v>
      </c>
      <c r="S920" s="17">
        <f t="shared" si="62"/>
        <v>41944.916215277779</v>
      </c>
      <c r="T920" s="17">
        <f t="shared" si="63"/>
        <v>41974.957881944443</v>
      </c>
      <c r="U920">
        <f>MONTH(Table1[[#This Row],[Launched]])</f>
        <v>11</v>
      </c>
    </row>
    <row r="921" spans="1:21" ht="15.6" x14ac:dyDescent="0.3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8220</v>
      </c>
      <c r="G921" t="s">
        <v>8223</v>
      </c>
      <c r="H921" t="s">
        <v>8245</v>
      </c>
      <c r="I921" s="8">
        <v>1355930645</v>
      </c>
      <c r="J921">
        <v>1352906645</v>
      </c>
      <c r="K921" t="b">
        <v>0</v>
      </c>
      <c r="L921" s="10">
        <v>1</v>
      </c>
      <c r="M921" t="b">
        <v>0</v>
      </c>
      <c r="N921" t="s">
        <v>8276</v>
      </c>
      <c r="O921" s="11">
        <f t="shared" si="60"/>
        <v>1</v>
      </c>
      <c r="P921" s="12">
        <f t="shared" si="61"/>
        <v>100</v>
      </c>
      <c r="Q921" s="14" t="s">
        <v>8322</v>
      </c>
      <c r="R921" t="s">
        <v>8325</v>
      </c>
      <c r="S921" s="17">
        <f t="shared" si="62"/>
        <v>41227.641724537039</v>
      </c>
      <c r="T921" s="17">
        <f t="shared" si="63"/>
        <v>41262.641724537039</v>
      </c>
      <c r="U921">
        <f>MONTH(Table1[[#This Row],[Launched]])</f>
        <v>11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8220</v>
      </c>
      <c r="G922" t="s">
        <v>8223</v>
      </c>
      <c r="H922" t="s">
        <v>8245</v>
      </c>
      <c r="I922" s="8">
        <v>1384448822</v>
      </c>
      <c r="J922">
        <v>1381853222</v>
      </c>
      <c r="K922" t="b">
        <v>0</v>
      </c>
      <c r="L922" s="10">
        <v>0</v>
      </c>
      <c r="M922" t="b">
        <v>0</v>
      </c>
      <c r="N922" t="s">
        <v>8276</v>
      </c>
      <c r="O922" s="11">
        <f t="shared" si="60"/>
        <v>0</v>
      </c>
      <c r="P922" s="12" t="str">
        <f t="shared" si="61"/>
        <v>No Backers</v>
      </c>
      <c r="Q922" s="14" t="s">
        <v>8322</v>
      </c>
      <c r="R922" t="s">
        <v>8325</v>
      </c>
      <c r="S922" s="17">
        <f t="shared" si="62"/>
        <v>41562.67155092593</v>
      </c>
      <c r="T922" s="17">
        <f t="shared" si="63"/>
        <v>41592.713217592594</v>
      </c>
      <c r="U922">
        <f>MONTH(Table1[[#This Row],[Launched]])</f>
        <v>10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8220</v>
      </c>
      <c r="G923" t="s">
        <v>8223</v>
      </c>
      <c r="H923" t="s">
        <v>8245</v>
      </c>
      <c r="I923" s="8">
        <v>1323666376</v>
      </c>
      <c r="J923">
        <v>1320033976</v>
      </c>
      <c r="K923" t="b">
        <v>0</v>
      </c>
      <c r="L923" s="10">
        <v>20</v>
      </c>
      <c r="M923" t="b">
        <v>0</v>
      </c>
      <c r="N923" t="s">
        <v>8276</v>
      </c>
      <c r="O923" s="11">
        <f t="shared" si="60"/>
        <v>31</v>
      </c>
      <c r="P923" s="12">
        <f t="shared" si="61"/>
        <v>232</v>
      </c>
      <c r="Q923" s="14" t="s">
        <v>8322</v>
      </c>
      <c r="R923" t="s">
        <v>8325</v>
      </c>
      <c r="S923" s="17">
        <f t="shared" si="62"/>
        <v>40847.171018518515</v>
      </c>
      <c r="T923" s="17">
        <f t="shared" si="63"/>
        <v>40889.212685185186</v>
      </c>
      <c r="U923">
        <f>MONTH(Table1[[#This Row],[Launched]])</f>
        <v>10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8220</v>
      </c>
      <c r="G924" t="s">
        <v>8223</v>
      </c>
      <c r="H924" t="s">
        <v>8245</v>
      </c>
      <c r="I924" s="8">
        <v>1412167393</v>
      </c>
      <c r="J924">
        <v>1409143393</v>
      </c>
      <c r="K924" t="b">
        <v>0</v>
      </c>
      <c r="L924" s="10">
        <v>30</v>
      </c>
      <c r="M924" t="b">
        <v>0</v>
      </c>
      <c r="N924" t="s">
        <v>8276</v>
      </c>
      <c r="O924" s="11">
        <f t="shared" si="60"/>
        <v>21</v>
      </c>
      <c r="P924" s="12">
        <f t="shared" si="61"/>
        <v>189</v>
      </c>
      <c r="Q924" s="14" t="s">
        <v>8322</v>
      </c>
      <c r="R924" t="s">
        <v>8325</v>
      </c>
      <c r="S924" s="17">
        <f t="shared" si="62"/>
        <v>41878.530011574076</v>
      </c>
      <c r="T924" s="17">
        <f t="shared" si="63"/>
        <v>41913.530011574076</v>
      </c>
      <c r="U924">
        <f>MONTH(Table1[[#This Row],[Launched]])</f>
        <v>8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8220</v>
      </c>
      <c r="G925" t="s">
        <v>8223</v>
      </c>
      <c r="H925" t="s">
        <v>8245</v>
      </c>
      <c r="I925" s="8">
        <v>1416614523</v>
      </c>
      <c r="J925">
        <v>1414018923</v>
      </c>
      <c r="K925" t="b">
        <v>0</v>
      </c>
      <c r="L925" s="10">
        <v>6</v>
      </c>
      <c r="M925" t="b">
        <v>0</v>
      </c>
      <c r="N925" t="s">
        <v>8276</v>
      </c>
      <c r="O925" s="11">
        <f t="shared" si="60"/>
        <v>2</v>
      </c>
      <c r="P925" s="12">
        <f t="shared" si="61"/>
        <v>55</v>
      </c>
      <c r="Q925" s="14" t="s">
        <v>8322</v>
      </c>
      <c r="R925" t="s">
        <v>8325</v>
      </c>
      <c r="S925" s="17">
        <f t="shared" si="62"/>
        <v>41934.959756944445</v>
      </c>
      <c r="T925" s="17">
        <f t="shared" si="63"/>
        <v>41965.001423611116</v>
      </c>
      <c r="U925">
        <f>MONTH(Table1[[#This Row],[Launched]])</f>
        <v>10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8220</v>
      </c>
      <c r="G926" t="s">
        <v>8223</v>
      </c>
      <c r="H926" t="s">
        <v>8245</v>
      </c>
      <c r="I926" s="8">
        <v>1360795069</v>
      </c>
      <c r="J926">
        <v>1358203069</v>
      </c>
      <c r="K926" t="b">
        <v>0</v>
      </c>
      <c r="L926" s="10">
        <v>15</v>
      </c>
      <c r="M926" t="b">
        <v>0</v>
      </c>
      <c r="N926" t="s">
        <v>8276</v>
      </c>
      <c r="O926" s="11">
        <f t="shared" si="60"/>
        <v>11</v>
      </c>
      <c r="P926" s="12">
        <f t="shared" si="61"/>
        <v>22</v>
      </c>
      <c r="Q926" s="14" t="s">
        <v>8322</v>
      </c>
      <c r="R926" t="s">
        <v>8325</v>
      </c>
      <c r="S926" s="17">
        <f t="shared" si="62"/>
        <v>41288.942928240744</v>
      </c>
      <c r="T926" s="17">
        <f t="shared" si="63"/>
        <v>41318.942928240744</v>
      </c>
      <c r="U926">
        <f>MONTH(Table1[[#This Row],[Launched]])</f>
        <v>1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8220</v>
      </c>
      <c r="G927" t="s">
        <v>8223</v>
      </c>
      <c r="H927" t="s">
        <v>8245</v>
      </c>
      <c r="I927" s="8">
        <v>1385590111</v>
      </c>
      <c r="J927">
        <v>1382994511</v>
      </c>
      <c r="K927" t="b">
        <v>0</v>
      </c>
      <c r="L927" s="10">
        <v>5</v>
      </c>
      <c r="M927" t="b">
        <v>0</v>
      </c>
      <c r="N927" t="s">
        <v>8276</v>
      </c>
      <c r="O927" s="11">
        <f t="shared" si="60"/>
        <v>3</v>
      </c>
      <c r="P927" s="12">
        <f t="shared" si="61"/>
        <v>32</v>
      </c>
      <c r="Q927" s="14" t="s">
        <v>8322</v>
      </c>
      <c r="R927" t="s">
        <v>8325</v>
      </c>
      <c r="S927" s="17">
        <f t="shared" si="62"/>
        <v>41575.880914351852</v>
      </c>
      <c r="T927" s="17">
        <f t="shared" si="63"/>
        <v>41605.922581018516</v>
      </c>
      <c r="U927">
        <f>MONTH(Table1[[#This Row],[Launched]])</f>
        <v>10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8220</v>
      </c>
      <c r="G928" t="s">
        <v>8223</v>
      </c>
      <c r="H928" t="s">
        <v>8245</v>
      </c>
      <c r="I928" s="8">
        <v>1278628800</v>
      </c>
      <c r="J928">
        <v>1276043330</v>
      </c>
      <c r="K928" t="b">
        <v>0</v>
      </c>
      <c r="L928" s="10">
        <v>0</v>
      </c>
      <c r="M928" t="b">
        <v>0</v>
      </c>
      <c r="N928" t="s">
        <v>8276</v>
      </c>
      <c r="O928" s="11">
        <f t="shared" si="60"/>
        <v>0</v>
      </c>
      <c r="P928" s="12" t="str">
        <f t="shared" si="61"/>
        <v>No Backers</v>
      </c>
      <c r="Q928" s="14" t="s">
        <v>8322</v>
      </c>
      <c r="R928" t="s">
        <v>8325</v>
      </c>
      <c r="S928" s="17">
        <f t="shared" si="62"/>
        <v>40338.02002314815</v>
      </c>
      <c r="T928" s="17">
        <f t="shared" si="63"/>
        <v>40367.944444444445</v>
      </c>
      <c r="U928">
        <f>MONTH(Table1[[#This Row],[Launched]])</f>
        <v>6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8220</v>
      </c>
      <c r="G929" t="s">
        <v>8223</v>
      </c>
      <c r="H929" t="s">
        <v>8245</v>
      </c>
      <c r="I929" s="8">
        <v>1337024695</v>
      </c>
      <c r="J929">
        <v>1334432695</v>
      </c>
      <c r="K929" t="b">
        <v>0</v>
      </c>
      <c r="L929" s="10">
        <v>0</v>
      </c>
      <c r="M929" t="b">
        <v>0</v>
      </c>
      <c r="N929" t="s">
        <v>8276</v>
      </c>
      <c r="O929" s="11">
        <f t="shared" si="60"/>
        <v>0</v>
      </c>
      <c r="P929" s="12" t="str">
        <f t="shared" si="61"/>
        <v>No Backers</v>
      </c>
      <c r="Q929" s="14" t="s">
        <v>8322</v>
      </c>
      <c r="R929" t="s">
        <v>8325</v>
      </c>
      <c r="S929" s="17">
        <f t="shared" si="62"/>
        <v>41013.822858796295</v>
      </c>
      <c r="T929" s="17">
        <f t="shared" si="63"/>
        <v>41043.822858796295</v>
      </c>
      <c r="U929">
        <f>MONTH(Table1[[#This Row],[Launched]])</f>
        <v>4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8220</v>
      </c>
      <c r="G930" t="s">
        <v>8223</v>
      </c>
      <c r="H930" t="s">
        <v>8245</v>
      </c>
      <c r="I930" s="8">
        <v>1353196800</v>
      </c>
      <c r="J930">
        <v>1348864913</v>
      </c>
      <c r="K930" t="b">
        <v>0</v>
      </c>
      <c r="L930" s="10">
        <v>28</v>
      </c>
      <c r="M930" t="b">
        <v>0</v>
      </c>
      <c r="N930" t="s">
        <v>8276</v>
      </c>
      <c r="O930" s="11">
        <f t="shared" si="60"/>
        <v>11</v>
      </c>
      <c r="P930" s="12">
        <f t="shared" si="61"/>
        <v>56</v>
      </c>
      <c r="Q930" s="14" t="s">
        <v>8322</v>
      </c>
      <c r="R930" t="s">
        <v>8325</v>
      </c>
      <c r="S930" s="17">
        <f t="shared" si="62"/>
        <v>41180.86241898148</v>
      </c>
      <c r="T930" s="17">
        <f t="shared" si="63"/>
        <v>41231</v>
      </c>
      <c r="U930">
        <f>MONTH(Table1[[#This Row],[Launched]])</f>
        <v>9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8220</v>
      </c>
      <c r="G931" t="s">
        <v>8223</v>
      </c>
      <c r="H931" t="s">
        <v>8245</v>
      </c>
      <c r="I931" s="8">
        <v>1333946569</v>
      </c>
      <c r="J931">
        <v>1331358169</v>
      </c>
      <c r="K931" t="b">
        <v>0</v>
      </c>
      <c r="L931" s="10">
        <v>0</v>
      </c>
      <c r="M931" t="b">
        <v>0</v>
      </c>
      <c r="N931" t="s">
        <v>8276</v>
      </c>
      <c r="O931" s="11">
        <f t="shared" si="60"/>
        <v>0</v>
      </c>
      <c r="P931" s="12" t="str">
        <f t="shared" si="61"/>
        <v>No Backers</v>
      </c>
      <c r="Q931" s="14" t="s">
        <v>8322</v>
      </c>
      <c r="R931" t="s">
        <v>8325</v>
      </c>
      <c r="S931" s="17">
        <f t="shared" si="62"/>
        <v>40978.238067129627</v>
      </c>
      <c r="T931" s="17">
        <f t="shared" si="63"/>
        <v>41008.196400462963</v>
      </c>
      <c r="U931">
        <f>MONTH(Table1[[#This Row],[Launched]])</f>
        <v>3</v>
      </c>
    </row>
    <row r="932" spans="1:21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8220</v>
      </c>
      <c r="G932" t="s">
        <v>8223</v>
      </c>
      <c r="H932" t="s">
        <v>8245</v>
      </c>
      <c r="I932" s="8">
        <v>1277501520</v>
      </c>
      <c r="J932">
        <v>1273874306</v>
      </c>
      <c r="K932" t="b">
        <v>0</v>
      </c>
      <c r="L932" s="10">
        <v>5</v>
      </c>
      <c r="M932" t="b">
        <v>0</v>
      </c>
      <c r="N932" t="s">
        <v>8276</v>
      </c>
      <c r="O932" s="11">
        <f t="shared" si="60"/>
        <v>38</v>
      </c>
      <c r="P932" s="12">
        <f t="shared" si="61"/>
        <v>69</v>
      </c>
      <c r="Q932" s="14" t="s">
        <v>8322</v>
      </c>
      <c r="R932" t="s">
        <v>8325</v>
      </c>
      <c r="S932" s="17">
        <f t="shared" si="62"/>
        <v>40312.915578703702</v>
      </c>
      <c r="T932" s="17">
        <f t="shared" si="63"/>
        <v>40354.897222222222</v>
      </c>
      <c r="U932">
        <f>MONTH(Table1[[#This Row],[Launched]])</f>
        <v>5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8220</v>
      </c>
      <c r="G933" t="s">
        <v>8224</v>
      </c>
      <c r="H933" t="s">
        <v>8246</v>
      </c>
      <c r="I933" s="8">
        <v>1395007200</v>
      </c>
      <c r="J933">
        <v>1392021502</v>
      </c>
      <c r="K933" t="b">
        <v>0</v>
      </c>
      <c r="L933" s="10">
        <v>7</v>
      </c>
      <c r="M933" t="b">
        <v>0</v>
      </c>
      <c r="N933" t="s">
        <v>8276</v>
      </c>
      <c r="O933" s="11">
        <f t="shared" si="60"/>
        <v>7</v>
      </c>
      <c r="P933" s="12">
        <f t="shared" si="61"/>
        <v>19</v>
      </c>
      <c r="Q933" s="14" t="s">
        <v>8322</v>
      </c>
      <c r="R933" t="s">
        <v>8325</v>
      </c>
      <c r="S933" s="17">
        <f t="shared" si="62"/>
        <v>41680.359976851854</v>
      </c>
      <c r="T933" s="17">
        <f t="shared" si="63"/>
        <v>41714.916666666664</v>
      </c>
      <c r="U933">
        <f>MONTH(Table1[[#This Row],[Launched]])</f>
        <v>2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8220</v>
      </c>
      <c r="G934" t="s">
        <v>8223</v>
      </c>
      <c r="H934" t="s">
        <v>8245</v>
      </c>
      <c r="I934" s="8">
        <v>1363990545</v>
      </c>
      <c r="J934">
        <v>1360106145</v>
      </c>
      <c r="K934" t="b">
        <v>0</v>
      </c>
      <c r="L934" s="10">
        <v>30</v>
      </c>
      <c r="M934" t="b">
        <v>0</v>
      </c>
      <c r="N934" t="s">
        <v>8276</v>
      </c>
      <c r="O934" s="11">
        <f t="shared" si="60"/>
        <v>15</v>
      </c>
      <c r="P934" s="12">
        <f t="shared" si="61"/>
        <v>46</v>
      </c>
      <c r="Q934" s="14" t="s">
        <v>8322</v>
      </c>
      <c r="R934" t="s">
        <v>8325</v>
      </c>
      <c r="S934" s="17">
        <f t="shared" si="62"/>
        <v>41310.969270833331</v>
      </c>
      <c r="T934" s="17">
        <f t="shared" si="63"/>
        <v>41355.927604166667</v>
      </c>
      <c r="U934">
        <f>MONTH(Table1[[#This Row],[Launched]])</f>
        <v>2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8220</v>
      </c>
      <c r="G935" t="s">
        <v>8223</v>
      </c>
      <c r="H935" t="s">
        <v>8245</v>
      </c>
      <c r="I935" s="8">
        <v>1399867409</v>
      </c>
      <c r="J935">
        <v>1394683409</v>
      </c>
      <c r="K935" t="b">
        <v>0</v>
      </c>
      <c r="L935" s="10">
        <v>2</v>
      </c>
      <c r="M935" t="b">
        <v>0</v>
      </c>
      <c r="N935" t="s">
        <v>8276</v>
      </c>
      <c r="O935" s="11">
        <f t="shared" si="60"/>
        <v>6</v>
      </c>
      <c r="P935" s="12">
        <f t="shared" si="61"/>
        <v>60</v>
      </c>
      <c r="Q935" s="14" t="s">
        <v>8322</v>
      </c>
      <c r="R935" t="s">
        <v>8325</v>
      </c>
      <c r="S935" s="17">
        <f t="shared" si="62"/>
        <v>41711.169085648151</v>
      </c>
      <c r="T935" s="17">
        <f t="shared" si="63"/>
        <v>41771.169085648151</v>
      </c>
      <c r="U935">
        <f>MONTH(Table1[[#This Row],[Launched]])</f>
        <v>3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8220</v>
      </c>
      <c r="G936" t="s">
        <v>8228</v>
      </c>
      <c r="H936" t="s">
        <v>8250</v>
      </c>
      <c r="I936" s="8">
        <v>1399183200</v>
      </c>
      <c r="J936">
        <v>1396633284</v>
      </c>
      <c r="K936" t="b">
        <v>0</v>
      </c>
      <c r="L936" s="10">
        <v>30</v>
      </c>
      <c r="M936" t="b">
        <v>0</v>
      </c>
      <c r="N936" t="s">
        <v>8276</v>
      </c>
      <c r="O936" s="11">
        <f t="shared" si="60"/>
        <v>30</v>
      </c>
      <c r="P936" s="12">
        <f t="shared" si="61"/>
        <v>51</v>
      </c>
      <c r="Q936" s="14" t="s">
        <v>8322</v>
      </c>
      <c r="R936" t="s">
        <v>8325</v>
      </c>
      <c r="S936" s="17">
        <f t="shared" si="62"/>
        <v>41733.737083333333</v>
      </c>
      <c r="T936" s="17">
        <f t="shared" si="63"/>
        <v>41763.25</v>
      </c>
      <c r="U936">
        <f>MONTH(Table1[[#This Row],[Launched]])</f>
        <v>4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8220</v>
      </c>
      <c r="G937" t="s">
        <v>8223</v>
      </c>
      <c r="H937" t="s">
        <v>8245</v>
      </c>
      <c r="I937" s="8">
        <v>1454054429</v>
      </c>
      <c r="J937">
        <v>1451462429</v>
      </c>
      <c r="K937" t="b">
        <v>0</v>
      </c>
      <c r="L937" s="10">
        <v>2</v>
      </c>
      <c r="M937" t="b">
        <v>0</v>
      </c>
      <c r="N937" t="s">
        <v>8276</v>
      </c>
      <c r="O937" s="11">
        <f t="shared" si="60"/>
        <v>1</v>
      </c>
      <c r="P937" s="12">
        <f t="shared" si="61"/>
        <v>25</v>
      </c>
      <c r="Q937" s="14" t="s">
        <v>8322</v>
      </c>
      <c r="R937" t="s">
        <v>8325</v>
      </c>
      <c r="S937" s="17">
        <f t="shared" si="62"/>
        <v>42368.333668981482</v>
      </c>
      <c r="T937" s="17">
        <f t="shared" si="63"/>
        <v>42398.333668981482</v>
      </c>
      <c r="U937">
        <f>MONTH(Table1[[#This Row],[Launched]])</f>
        <v>12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8220</v>
      </c>
      <c r="G938" t="s">
        <v>8223</v>
      </c>
      <c r="H938" t="s">
        <v>8245</v>
      </c>
      <c r="I938" s="8">
        <v>1326916800</v>
      </c>
      <c r="J938">
        <v>1323131689</v>
      </c>
      <c r="K938" t="b">
        <v>0</v>
      </c>
      <c r="L938" s="10">
        <v>0</v>
      </c>
      <c r="M938" t="b">
        <v>0</v>
      </c>
      <c r="N938" t="s">
        <v>8276</v>
      </c>
      <c r="O938" s="11">
        <f t="shared" si="60"/>
        <v>0</v>
      </c>
      <c r="P938" s="12" t="str">
        <f t="shared" si="61"/>
        <v>No Backers</v>
      </c>
      <c r="Q938" s="14" t="s">
        <v>8322</v>
      </c>
      <c r="R938" t="s">
        <v>8325</v>
      </c>
      <c r="S938" s="17">
        <f t="shared" si="62"/>
        <v>40883.024178240739</v>
      </c>
      <c r="T938" s="17">
        <f t="shared" si="63"/>
        <v>40926.833333333336</v>
      </c>
      <c r="U938">
        <f>MONTH(Table1[[#This Row],[Launched]])</f>
        <v>12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8220</v>
      </c>
      <c r="G939" t="s">
        <v>8223</v>
      </c>
      <c r="H939" t="s">
        <v>8245</v>
      </c>
      <c r="I939" s="8">
        <v>1383509357</v>
      </c>
      <c r="J939">
        <v>1380913757</v>
      </c>
      <c r="K939" t="b">
        <v>0</v>
      </c>
      <c r="L939" s="10">
        <v>2</v>
      </c>
      <c r="M939" t="b">
        <v>0</v>
      </c>
      <c r="N939" t="s">
        <v>8276</v>
      </c>
      <c r="O939" s="11">
        <f t="shared" si="60"/>
        <v>1</v>
      </c>
      <c r="P939" s="12">
        <f t="shared" si="61"/>
        <v>20</v>
      </c>
      <c r="Q939" s="14" t="s">
        <v>8322</v>
      </c>
      <c r="R939" t="s">
        <v>8325</v>
      </c>
      <c r="S939" s="17">
        <f t="shared" si="62"/>
        <v>41551.798113425924</v>
      </c>
      <c r="T939" s="17">
        <f t="shared" si="63"/>
        <v>41581.839780092596</v>
      </c>
      <c r="U939">
        <f>MONTH(Table1[[#This Row],[Launched]])</f>
        <v>10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8220</v>
      </c>
      <c r="G940" t="s">
        <v>8223</v>
      </c>
      <c r="H940" t="s">
        <v>8245</v>
      </c>
      <c r="I940" s="8">
        <v>1346585448</v>
      </c>
      <c r="J940">
        <v>1343993448</v>
      </c>
      <c r="K940" t="b">
        <v>0</v>
      </c>
      <c r="L940" s="10">
        <v>1</v>
      </c>
      <c r="M940" t="b">
        <v>0</v>
      </c>
      <c r="N940" t="s">
        <v>8276</v>
      </c>
      <c r="O940" s="11">
        <f t="shared" si="60"/>
        <v>0</v>
      </c>
      <c r="P940" s="12">
        <f t="shared" si="61"/>
        <v>25</v>
      </c>
      <c r="Q940" s="14" t="s">
        <v>8322</v>
      </c>
      <c r="R940" t="s">
        <v>8325</v>
      </c>
      <c r="S940" s="17">
        <f t="shared" si="62"/>
        <v>41124.479722222226</v>
      </c>
      <c r="T940" s="17">
        <f t="shared" si="63"/>
        <v>41154.479722222226</v>
      </c>
      <c r="U940">
        <f>MONTH(Table1[[#This Row],[Launched]])</f>
        <v>8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8220</v>
      </c>
      <c r="G941" t="s">
        <v>8223</v>
      </c>
      <c r="H941" t="s">
        <v>8245</v>
      </c>
      <c r="I941" s="8">
        <v>1372622280</v>
      </c>
      <c r="J941">
        <v>1369246738</v>
      </c>
      <c r="K941" t="b">
        <v>0</v>
      </c>
      <c r="L941" s="10">
        <v>2</v>
      </c>
      <c r="M941" t="b">
        <v>0</v>
      </c>
      <c r="N941" t="s">
        <v>8276</v>
      </c>
      <c r="O941" s="11">
        <f t="shared" si="60"/>
        <v>1</v>
      </c>
      <c r="P941" s="12">
        <f t="shared" si="61"/>
        <v>20</v>
      </c>
      <c r="Q941" s="14" t="s">
        <v>8322</v>
      </c>
      <c r="R941" t="s">
        <v>8325</v>
      </c>
      <c r="S941" s="17">
        <f t="shared" si="62"/>
        <v>41416.763171296298</v>
      </c>
      <c r="T941" s="17">
        <f t="shared" si="63"/>
        <v>41455.831944444442</v>
      </c>
      <c r="U941">
        <f>MONTH(Table1[[#This Row],[Launched]])</f>
        <v>5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8220</v>
      </c>
      <c r="G942" t="s">
        <v>8223</v>
      </c>
      <c r="H942" t="s">
        <v>8245</v>
      </c>
      <c r="I942" s="8">
        <v>1439251926</v>
      </c>
      <c r="J942">
        <v>1435363926</v>
      </c>
      <c r="K942" t="b">
        <v>0</v>
      </c>
      <c r="L942" s="10">
        <v>14</v>
      </c>
      <c r="M942" t="b">
        <v>0</v>
      </c>
      <c r="N942" t="s">
        <v>8271</v>
      </c>
      <c r="O942" s="11">
        <f t="shared" si="60"/>
        <v>17</v>
      </c>
      <c r="P942" s="12">
        <f t="shared" si="61"/>
        <v>110</v>
      </c>
      <c r="Q942" s="14" t="s">
        <v>8316</v>
      </c>
      <c r="R942" t="s">
        <v>8318</v>
      </c>
      <c r="S942" s="17">
        <f t="shared" si="62"/>
        <v>42182.008402777778</v>
      </c>
      <c r="T942" s="17">
        <f t="shared" si="63"/>
        <v>42227.008402777778</v>
      </c>
      <c r="U942">
        <f>MONTH(Table1[[#This Row],[Launched]])</f>
        <v>6</v>
      </c>
    </row>
    <row r="943" spans="1:21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8220</v>
      </c>
      <c r="G943" t="s">
        <v>8223</v>
      </c>
      <c r="H943" t="s">
        <v>8245</v>
      </c>
      <c r="I943" s="8">
        <v>1486693145</v>
      </c>
      <c r="J943">
        <v>1484101145</v>
      </c>
      <c r="K943" t="b">
        <v>0</v>
      </c>
      <c r="L943" s="10">
        <v>31</v>
      </c>
      <c r="M943" t="b">
        <v>0</v>
      </c>
      <c r="N943" t="s">
        <v>8271</v>
      </c>
      <c r="O943" s="11">
        <f t="shared" si="60"/>
        <v>2</v>
      </c>
      <c r="P943" s="12">
        <f t="shared" si="61"/>
        <v>37</v>
      </c>
      <c r="Q943" s="14" t="s">
        <v>8316</v>
      </c>
      <c r="R943" t="s">
        <v>8318</v>
      </c>
      <c r="S943" s="17">
        <f t="shared" si="62"/>
        <v>42746.096585648149</v>
      </c>
      <c r="T943" s="17">
        <f t="shared" si="63"/>
        <v>42776.096585648149</v>
      </c>
      <c r="U943">
        <f>MONTH(Table1[[#This Row],[Launched]])</f>
        <v>1</v>
      </c>
    </row>
    <row r="944" spans="1:21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8220</v>
      </c>
      <c r="G944" t="s">
        <v>8223</v>
      </c>
      <c r="H944" t="s">
        <v>8245</v>
      </c>
      <c r="I944" s="8">
        <v>1455826460</v>
      </c>
      <c r="J944">
        <v>1452716060</v>
      </c>
      <c r="K944" t="b">
        <v>0</v>
      </c>
      <c r="L944" s="10">
        <v>16</v>
      </c>
      <c r="M944" t="b">
        <v>0</v>
      </c>
      <c r="N944" t="s">
        <v>8271</v>
      </c>
      <c r="O944" s="11">
        <f t="shared" si="60"/>
        <v>9</v>
      </c>
      <c r="P944" s="12">
        <f t="shared" si="61"/>
        <v>42</v>
      </c>
      <c r="Q944" s="14" t="s">
        <v>8316</v>
      </c>
      <c r="R944" t="s">
        <v>8318</v>
      </c>
      <c r="S944" s="17">
        <f t="shared" si="62"/>
        <v>42382.843287037031</v>
      </c>
      <c r="T944" s="17">
        <f t="shared" si="63"/>
        <v>42418.843287037031</v>
      </c>
      <c r="U944">
        <f>MONTH(Table1[[#This Row],[Launched]])</f>
        <v>1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8220</v>
      </c>
      <c r="G945" t="s">
        <v>8223</v>
      </c>
      <c r="H945" t="s">
        <v>8245</v>
      </c>
      <c r="I945" s="8">
        <v>1480438905</v>
      </c>
      <c r="J945">
        <v>1477843305</v>
      </c>
      <c r="K945" t="b">
        <v>0</v>
      </c>
      <c r="L945" s="10">
        <v>12</v>
      </c>
      <c r="M945" t="b">
        <v>0</v>
      </c>
      <c r="N945" t="s">
        <v>8271</v>
      </c>
      <c r="O945" s="11">
        <f t="shared" si="60"/>
        <v>10</v>
      </c>
      <c r="P945" s="12">
        <f t="shared" si="61"/>
        <v>24</v>
      </c>
      <c r="Q945" s="14" t="s">
        <v>8316</v>
      </c>
      <c r="R945" t="s">
        <v>8318</v>
      </c>
      <c r="S945" s="17">
        <f t="shared" si="62"/>
        <v>42673.66788194445</v>
      </c>
      <c r="T945" s="17">
        <f t="shared" si="63"/>
        <v>42703.709548611107</v>
      </c>
      <c r="U945">
        <f>MONTH(Table1[[#This Row],[Launched]])</f>
        <v>10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8220</v>
      </c>
      <c r="G946" t="s">
        <v>8223</v>
      </c>
      <c r="H946" t="s">
        <v>8245</v>
      </c>
      <c r="I946" s="8">
        <v>1460988000</v>
      </c>
      <c r="J946">
        <v>1458050450</v>
      </c>
      <c r="K946" t="b">
        <v>0</v>
      </c>
      <c r="L946" s="10">
        <v>96</v>
      </c>
      <c r="M946" t="b">
        <v>0</v>
      </c>
      <c r="N946" t="s">
        <v>8271</v>
      </c>
      <c r="O946" s="11">
        <f t="shared" si="60"/>
        <v>13</v>
      </c>
      <c r="P946" s="12">
        <f t="shared" si="61"/>
        <v>69</v>
      </c>
      <c r="Q946" s="14" t="s">
        <v>8316</v>
      </c>
      <c r="R946" t="s">
        <v>8318</v>
      </c>
      <c r="S946" s="17">
        <f t="shared" si="62"/>
        <v>42444.583912037036</v>
      </c>
      <c r="T946" s="17">
        <f t="shared" si="63"/>
        <v>42478.583333333328</v>
      </c>
      <c r="U946">
        <f>MONTH(Table1[[#This Row],[Launched]])</f>
        <v>3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8220</v>
      </c>
      <c r="G947" t="s">
        <v>8229</v>
      </c>
      <c r="H947" t="s">
        <v>8248</v>
      </c>
      <c r="I947" s="8">
        <v>1487462340</v>
      </c>
      <c r="J947">
        <v>1482958626</v>
      </c>
      <c r="K947" t="b">
        <v>0</v>
      </c>
      <c r="L947" s="10">
        <v>16</v>
      </c>
      <c r="M947" t="b">
        <v>0</v>
      </c>
      <c r="N947" t="s">
        <v>8271</v>
      </c>
      <c r="O947" s="11">
        <f t="shared" si="60"/>
        <v>2</v>
      </c>
      <c r="P947" s="12">
        <f t="shared" si="61"/>
        <v>155</v>
      </c>
      <c r="Q947" s="14" t="s">
        <v>8316</v>
      </c>
      <c r="R947" t="s">
        <v>8318</v>
      </c>
      <c r="S947" s="17">
        <f t="shared" si="62"/>
        <v>42732.872986111113</v>
      </c>
      <c r="T947" s="17">
        <f t="shared" si="63"/>
        <v>42784.999305555553</v>
      </c>
      <c r="U947">
        <f>MONTH(Table1[[#This Row],[Launched]])</f>
        <v>12</v>
      </c>
    </row>
    <row r="948" spans="1:21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8220</v>
      </c>
      <c r="G948" t="s">
        <v>8223</v>
      </c>
      <c r="H948" t="s">
        <v>8245</v>
      </c>
      <c r="I948" s="8">
        <v>1473444048</v>
      </c>
      <c r="J948">
        <v>1470852048</v>
      </c>
      <c r="K948" t="b">
        <v>0</v>
      </c>
      <c r="L948" s="10">
        <v>5</v>
      </c>
      <c r="M948" t="b">
        <v>0</v>
      </c>
      <c r="N948" t="s">
        <v>8271</v>
      </c>
      <c r="O948" s="11">
        <f t="shared" si="60"/>
        <v>2</v>
      </c>
      <c r="P948" s="12">
        <f t="shared" si="61"/>
        <v>57</v>
      </c>
      <c r="Q948" s="14" t="s">
        <v>8316</v>
      </c>
      <c r="R948" t="s">
        <v>8318</v>
      </c>
      <c r="S948" s="17">
        <f t="shared" si="62"/>
        <v>42592.750555555554</v>
      </c>
      <c r="T948" s="17">
        <f t="shared" si="63"/>
        <v>42622.750555555554</v>
      </c>
      <c r="U948">
        <f>MONTH(Table1[[#This Row],[Launched]])</f>
        <v>8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8220</v>
      </c>
      <c r="G949" t="s">
        <v>8223</v>
      </c>
      <c r="H949" t="s">
        <v>8245</v>
      </c>
      <c r="I949" s="8">
        <v>1467312306</v>
      </c>
      <c r="J949">
        <v>1462128306</v>
      </c>
      <c r="K949" t="b">
        <v>0</v>
      </c>
      <c r="L949" s="10">
        <v>0</v>
      </c>
      <c r="M949" t="b">
        <v>0</v>
      </c>
      <c r="N949" t="s">
        <v>8271</v>
      </c>
      <c r="O949" s="11">
        <f t="shared" si="60"/>
        <v>0</v>
      </c>
      <c r="P949" s="12" t="str">
        <f t="shared" si="61"/>
        <v>No Backers</v>
      </c>
      <c r="Q949" s="14" t="s">
        <v>8316</v>
      </c>
      <c r="R949" t="s">
        <v>8318</v>
      </c>
      <c r="S949" s="17">
        <f t="shared" si="62"/>
        <v>42491.781319444446</v>
      </c>
      <c r="T949" s="17">
        <f t="shared" si="63"/>
        <v>42551.781319444446</v>
      </c>
      <c r="U949">
        <f>MONTH(Table1[[#This Row],[Launched]])</f>
        <v>5</v>
      </c>
    </row>
    <row r="950" spans="1:21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8220</v>
      </c>
      <c r="G950" t="s">
        <v>8232</v>
      </c>
      <c r="H950" t="s">
        <v>8248</v>
      </c>
      <c r="I950" s="8">
        <v>1457812364</v>
      </c>
      <c r="J950">
        <v>1455220364</v>
      </c>
      <c r="K950" t="b">
        <v>0</v>
      </c>
      <c r="L950" s="10">
        <v>8</v>
      </c>
      <c r="M950" t="b">
        <v>0</v>
      </c>
      <c r="N950" t="s">
        <v>8271</v>
      </c>
      <c r="O950" s="11">
        <f t="shared" si="60"/>
        <v>12</v>
      </c>
      <c r="P950" s="12">
        <f t="shared" si="61"/>
        <v>60</v>
      </c>
      <c r="Q950" s="14" t="s">
        <v>8316</v>
      </c>
      <c r="R950" t="s">
        <v>8318</v>
      </c>
      <c r="S950" s="17">
        <f t="shared" si="62"/>
        <v>42411.828287037039</v>
      </c>
      <c r="T950" s="17">
        <f t="shared" si="63"/>
        <v>42441.828287037039</v>
      </c>
      <c r="U950">
        <f>MONTH(Table1[[#This Row],[Launched]])</f>
        <v>2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8220</v>
      </c>
      <c r="G951" t="s">
        <v>8235</v>
      </c>
      <c r="H951" t="s">
        <v>8248</v>
      </c>
      <c r="I951" s="8">
        <v>1456016576</v>
      </c>
      <c r="J951">
        <v>1450832576</v>
      </c>
      <c r="K951" t="b">
        <v>0</v>
      </c>
      <c r="L951" s="10">
        <v>7</v>
      </c>
      <c r="M951" t="b">
        <v>0</v>
      </c>
      <c r="N951" t="s">
        <v>8271</v>
      </c>
      <c r="O951" s="11">
        <f t="shared" si="60"/>
        <v>1</v>
      </c>
      <c r="P951" s="12">
        <f t="shared" si="61"/>
        <v>39</v>
      </c>
      <c r="Q951" s="14" t="s">
        <v>8316</v>
      </c>
      <c r="R951" t="s">
        <v>8318</v>
      </c>
      <c r="S951" s="17">
        <f t="shared" si="62"/>
        <v>42361.043703703705</v>
      </c>
      <c r="T951" s="17">
        <f t="shared" si="63"/>
        <v>42421.043703703705</v>
      </c>
      <c r="U951">
        <f>MONTH(Table1[[#This Row],[Launched]])</f>
        <v>12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8220</v>
      </c>
      <c r="G952" t="s">
        <v>8228</v>
      </c>
      <c r="H952" t="s">
        <v>8250</v>
      </c>
      <c r="I952" s="8">
        <v>1453053661</v>
      </c>
      <c r="J952">
        <v>1450461661</v>
      </c>
      <c r="K952" t="b">
        <v>0</v>
      </c>
      <c r="L952" s="10">
        <v>24</v>
      </c>
      <c r="M952" t="b">
        <v>0</v>
      </c>
      <c r="N952" t="s">
        <v>8271</v>
      </c>
      <c r="O952" s="11">
        <f t="shared" si="60"/>
        <v>28</v>
      </c>
      <c r="P952" s="12">
        <f t="shared" si="61"/>
        <v>58</v>
      </c>
      <c r="Q952" s="14" t="s">
        <v>8316</v>
      </c>
      <c r="R952" t="s">
        <v>8318</v>
      </c>
      <c r="S952" s="17">
        <f t="shared" si="62"/>
        <v>42356.750706018516</v>
      </c>
      <c r="T952" s="17">
        <f t="shared" si="63"/>
        <v>42386.750706018516</v>
      </c>
      <c r="U952">
        <f>MONTH(Table1[[#This Row],[Launched]])</f>
        <v>12</v>
      </c>
    </row>
    <row r="953" spans="1:21" ht="15.6" x14ac:dyDescent="0.3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8220</v>
      </c>
      <c r="G953" t="s">
        <v>8223</v>
      </c>
      <c r="H953" t="s">
        <v>8245</v>
      </c>
      <c r="I953" s="8">
        <v>1465054872</v>
      </c>
      <c r="J953">
        <v>1461166872</v>
      </c>
      <c r="K953" t="b">
        <v>0</v>
      </c>
      <c r="L953" s="10">
        <v>121</v>
      </c>
      <c r="M953" t="b">
        <v>0</v>
      </c>
      <c r="N953" t="s">
        <v>8271</v>
      </c>
      <c r="O953" s="11">
        <f t="shared" si="60"/>
        <v>38</v>
      </c>
      <c r="P953" s="12">
        <f t="shared" si="61"/>
        <v>159</v>
      </c>
      <c r="Q953" s="14" t="s">
        <v>8316</v>
      </c>
      <c r="R953" t="s">
        <v>8318</v>
      </c>
      <c r="S953" s="17">
        <f t="shared" si="62"/>
        <v>42480.653611111105</v>
      </c>
      <c r="T953" s="17">
        <f t="shared" si="63"/>
        <v>42525.653611111105</v>
      </c>
      <c r="U953">
        <f>MONTH(Table1[[#This Row],[Launched]])</f>
        <v>4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8220</v>
      </c>
      <c r="G954" t="s">
        <v>8223</v>
      </c>
      <c r="H954" t="s">
        <v>8245</v>
      </c>
      <c r="I954" s="8">
        <v>1479483812</v>
      </c>
      <c r="J954">
        <v>1476888212</v>
      </c>
      <c r="K954" t="b">
        <v>0</v>
      </c>
      <c r="L954" s="10">
        <v>196</v>
      </c>
      <c r="M954" t="b">
        <v>0</v>
      </c>
      <c r="N954" t="s">
        <v>8271</v>
      </c>
      <c r="O954" s="11">
        <f t="shared" si="60"/>
        <v>40</v>
      </c>
      <c r="P954" s="12">
        <f t="shared" si="61"/>
        <v>100</v>
      </c>
      <c r="Q954" s="14" t="s">
        <v>8316</v>
      </c>
      <c r="R954" t="s">
        <v>8318</v>
      </c>
      <c r="S954" s="17">
        <f t="shared" si="62"/>
        <v>42662.613564814819</v>
      </c>
      <c r="T954" s="17">
        <f t="shared" si="63"/>
        <v>42692.655231481483</v>
      </c>
      <c r="U954">
        <f>MONTH(Table1[[#This Row],[Launched]])</f>
        <v>10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8220</v>
      </c>
      <c r="G955" t="s">
        <v>8223</v>
      </c>
      <c r="H955" t="s">
        <v>8245</v>
      </c>
      <c r="I955" s="8">
        <v>1422158199</v>
      </c>
      <c r="J955">
        <v>1419566199</v>
      </c>
      <c r="K955" t="b">
        <v>0</v>
      </c>
      <c r="L955" s="10">
        <v>5</v>
      </c>
      <c r="M955" t="b">
        <v>0</v>
      </c>
      <c r="N955" t="s">
        <v>8271</v>
      </c>
      <c r="O955" s="11">
        <f t="shared" si="60"/>
        <v>1</v>
      </c>
      <c r="P955" s="12">
        <f t="shared" si="61"/>
        <v>25</v>
      </c>
      <c r="Q955" s="14" t="s">
        <v>8316</v>
      </c>
      <c r="R955" t="s">
        <v>8318</v>
      </c>
      <c r="S955" s="17">
        <f t="shared" si="62"/>
        <v>41999.164340277777</v>
      </c>
      <c r="T955" s="17">
        <f t="shared" si="63"/>
        <v>42029.164340277777</v>
      </c>
      <c r="U955">
        <f>MONTH(Table1[[#This Row],[Launched]])</f>
        <v>12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8220</v>
      </c>
      <c r="G956" t="s">
        <v>8223</v>
      </c>
      <c r="H956" t="s">
        <v>8245</v>
      </c>
      <c r="I956" s="8">
        <v>1440100839</v>
      </c>
      <c r="J956">
        <v>1436472039</v>
      </c>
      <c r="K956" t="b">
        <v>0</v>
      </c>
      <c r="L956" s="10">
        <v>73</v>
      </c>
      <c r="M956" t="b">
        <v>0</v>
      </c>
      <c r="N956" t="s">
        <v>8271</v>
      </c>
      <c r="O956" s="11">
        <f t="shared" si="60"/>
        <v>43</v>
      </c>
      <c r="P956" s="12">
        <f t="shared" si="61"/>
        <v>89</v>
      </c>
      <c r="Q956" s="14" t="s">
        <v>8316</v>
      </c>
      <c r="R956" t="s">
        <v>8318</v>
      </c>
      <c r="S956" s="17">
        <f t="shared" si="62"/>
        <v>42194.833784722221</v>
      </c>
      <c r="T956" s="17">
        <f t="shared" si="63"/>
        <v>42236.833784722221</v>
      </c>
      <c r="U956">
        <f>MONTH(Table1[[#This Row],[Launched]])</f>
        <v>7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8220</v>
      </c>
      <c r="G957" t="s">
        <v>8223</v>
      </c>
      <c r="H957" t="s">
        <v>8245</v>
      </c>
      <c r="I957" s="8">
        <v>1473750300</v>
      </c>
      <c r="J957">
        <v>1470294300</v>
      </c>
      <c r="K957" t="b">
        <v>0</v>
      </c>
      <c r="L957" s="10">
        <v>93</v>
      </c>
      <c r="M957" t="b">
        <v>0</v>
      </c>
      <c r="N957" t="s">
        <v>8271</v>
      </c>
      <c r="O957" s="11">
        <f t="shared" si="60"/>
        <v>6</v>
      </c>
      <c r="P957" s="12">
        <f t="shared" si="61"/>
        <v>183</v>
      </c>
      <c r="Q957" s="14" t="s">
        <v>8316</v>
      </c>
      <c r="R957" t="s">
        <v>8318</v>
      </c>
      <c r="S957" s="17">
        <f t="shared" si="62"/>
        <v>42586.295138888891</v>
      </c>
      <c r="T957" s="17">
        <f t="shared" si="63"/>
        <v>42626.295138888891</v>
      </c>
      <c r="U957">
        <f>MONTH(Table1[[#This Row],[Launched]])</f>
        <v>8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8220</v>
      </c>
      <c r="G958" t="s">
        <v>8223</v>
      </c>
      <c r="H958" t="s">
        <v>8245</v>
      </c>
      <c r="I958" s="8">
        <v>1430081759</v>
      </c>
      <c r="J958">
        <v>1424901359</v>
      </c>
      <c r="K958" t="b">
        <v>0</v>
      </c>
      <c r="L958" s="10">
        <v>17</v>
      </c>
      <c r="M958" t="b">
        <v>0</v>
      </c>
      <c r="N958" t="s">
        <v>8271</v>
      </c>
      <c r="O958" s="11">
        <f t="shared" si="60"/>
        <v>2</v>
      </c>
      <c r="P958" s="12">
        <f t="shared" si="61"/>
        <v>51</v>
      </c>
      <c r="Q958" s="14" t="s">
        <v>8316</v>
      </c>
      <c r="R958" t="s">
        <v>8318</v>
      </c>
      <c r="S958" s="17">
        <f t="shared" si="62"/>
        <v>42060.913877314815</v>
      </c>
      <c r="T958" s="17">
        <f t="shared" si="63"/>
        <v>42120.872210648144</v>
      </c>
      <c r="U958">
        <f>MONTH(Table1[[#This Row],[Launched]])</f>
        <v>2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8220</v>
      </c>
      <c r="G959" t="s">
        <v>8223</v>
      </c>
      <c r="H959" t="s">
        <v>8245</v>
      </c>
      <c r="I959" s="8">
        <v>1479392133</v>
      </c>
      <c r="J959">
        <v>1476710133</v>
      </c>
      <c r="K959" t="b">
        <v>0</v>
      </c>
      <c r="L959" s="10">
        <v>7</v>
      </c>
      <c r="M959" t="b">
        <v>0</v>
      </c>
      <c r="N959" t="s">
        <v>8271</v>
      </c>
      <c r="O959" s="11">
        <f t="shared" si="60"/>
        <v>2</v>
      </c>
      <c r="P959" s="12">
        <f t="shared" si="61"/>
        <v>33</v>
      </c>
      <c r="Q959" s="14" t="s">
        <v>8316</v>
      </c>
      <c r="R959" t="s">
        <v>8318</v>
      </c>
      <c r="S959" s="17">
        <f t="shared" si="62"/>
        <v>42660.552465277782</v>
      </c>
      <c r="T959" s="17">
        <f t="shared" si="63"/>
        <v>42691.594131944439</v>
      </c>
      <c r="U959">
        <f>MONTH(Table1[[#This Row],[Launched]])</f>
        <v>10</v>
      </c>
    </row>
    <row r="960" spans="1:21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8220</v>
      </c>
      <c r="G960" t="s">
        <v>8223</v>
      </c>
      <c r="H960" t="s">
        <v>8245</v>
      </c>
      <c r="I960" s="8">
        <v>1428641940</v>
      </c>
      <c r="J960">
        <v>1426792563</v>
      </c>
      <c r="K960" t="b">
        <v>0</v>
      </c>
      <c r="L960" s="10">
        <v>17</v>
      </c>
      <c r="M960" t="b">
        <v>0</v>
      </c>
      <c r="N960" t="s">
        <v>8271</v>
      </c>
      <c r="O960" s="11">
        <f t="shared" si="60"/>
        <v>11</v>
      </c>
      <c r="P960" s="12">
        <f t="shared" si="61"/>
        <v>52</v>
      </c>
      <c r="Q960" s="14" t="s">
        <v>8316</v>
      </c>
      <c r="R960" t="s">
        <v>8318</v>
      </c>
      <c r="S960" s="17">
        <f t="shared" si="62"/>
        <v>42082.802812499998</v>
      </c>
      <c r="T960" s="17">
        <f t="shared" si="63"/>
        <v>42104.207638888889</v>
      </c>
      <c r="U960">
        <f>MONTH(Table1[[#This Row],[Launched]])</f>
        <v>3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8220</v>
      </c>
      <c r="G961" t="s">
        <v>8223</v>
      </c>
      <c r="H961" t="s">
        <v>8245</v>
      </c>
      <c r="I961" s="8">
        <v>1421640665</v>
      </c>
      <c r="J961">
        <v>1419048665</v>
      </c>
      <c r="K961" t="b">
        <v>0</v>
      </c>
      <c r="L961" s="10">
        <v>171</v>
      </c>
      <c r="M961" t="b">
        <v>0</v>
      </c>
      <c r="N961" t="s">
        <v>8271</v>
      </c>
      <c r="O961" s="11">
        <f t="shared" si="60"/>
        <v>39</v>
      </c>
      <c r="P961" s="12">
        <f t="shared" si="61"/>
        <v>114</v>
      </c>
      <c r="Q961" s="14" t="s">
        <v>8316</v>
      </c>
      <c r="R961" t="s">
        <v>8318</v>
      </c>
      <c r="S961" s="17">
        <f t="shared" si="62"/>
        <v>41993.174363425926</v>
      </c>
      <c r="T961" s="17">
        <f t="shared" si="63"/>
        <v>42023.174363425926</v>
      </c>
      <c r="U961">
        <f>MONTH(Table1[[#This Row],[Launched]])</f>
        <v>12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8220</v>
      </c>
      <c r="G962" t="s">
        <v>8223</v>
      </c>
      <c r="H962" t="s">
        <v>8245</v>
      </c>
      <c r="I962" s="8">
        <v>1489500155</v>
      </c>
      <c r="J962">
        <v>1485874955</v>
      </c>
      <c r="K962" t="b">
        <v>0</v>
      </c>
      <c r="L962" s="10">
        <v>188</v>
      </c>
      <c r="M962" t="b">
        <v>0</v>
      </c>
      <c r="N962" t="s">
        <v>8271</v>
      </c>
      <c r="O962" s="11">
        <f t="shared" ref="O962:O1025" si="64">ROUND(E962/D962*100,0)</f>
        <v>46</v>
      </c>
      <c r="P962" s="12">
        <f t="shared" si="61"/>
        <v>136</v>
      </c>
      <c r="Q962" s="14" t="s">
        <v>8316</v>
      </c>
      <c r="R962" t="s">
        <v>8318</v>
      </c>
      <c r="S962" s="17">
        <f t="shared" si="62"/>
        <v>42766.626793981486</v>
      </c>
      <c r="T962" s="17">
        <f t="shared" si="63"/>
        <v>42808.585127314815</v>
      </c>
      <c r="U962">
        <f>MONTH(Table1[[#This Row],[Launched]])</f>
        <v>1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8220</v>
      </c>
      <c r="G963" t="s">
        <v>8223</v>
      </c>
      <c r="H963" t="s">
        <v>8245</v>
      </c>
      <c r="I963" s="8">
        <v>1487617200</v>
      </c>
      <c r="J963">
        <v>1483634335</v>
      </c>
      <c r="K963" t="b">
        <v>0</v>
      </c>
      <c r="L963" s="10">
        <v>110</v>
      </c>
      <c r="M963" t="b">
        <v>0</v>
      </c>
      <c r="N963" t="s">
        <v>8271</v>
      </c>
      <c r="O963" s="11">
        <f t="shared" si="64"/>
        <v>42</v>
      </c>
      <c r="P963" s="12">
        <f t="shared" ref="P963:P1026" si="65">IFERROR(ROUND(E963/L963,),"No Backers")</f>
        <v>364</v>
      </c>
      <c r="Q963" s="14" t="s">
        <v>8316</v>
      </c>
      <c r="R963" t="s">
        <v>8318</v>
      </c>
      <c r="S963" s="17">
        <f t="shared" ref="S963:S1026" si="66">(((J963/60)/60)/24)+DATE(1970,1,1)</f>
        <v>42740.693692129629</v>
      </c>
      <c r="T963" s="17">
        <f t="shared" ref="T963:T1026" si="67">(((I963/60)/60)/24)+DATE(1970,1,1)</f>
        <v>42786.791666666672</v>
      </c>
      <c r="U963">
        <f>MONTH(Table1[[#This Row],[Launched]])</f>
        <v>1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8220</v>
      </c>
      <c r="G964" t="s">
        <v>8223</v>
      </c>
      <c r="H964" t="s">
        <v>8245</v>
      </c>
      <c r="I964" s="8">
        <v>1455210353</v>
      </c>
      <c r="J964">
        <v>1451927153</v>
      </c>
      <c r="K964" t="b">
        <v>0</v>
      </c>
      <c r="L964" s="10">
        <v>37</v>
      </c>
      <c r="M964" t="b">
        <v>0</v>
      </c>
      <c r="N964" t="s">
        <v>8271</v>
      </c>
      <c r="O964" s="11">
        <f t="shared" si="64"/>
        <v>28</v>
      </c>
      <c r="P964" s="12">
        <f t="shared" si="65"/>
        <v>19</v>
      </c>
      <c r="Q964" s="14" t="s">
        <v>8316</v>
      </c>
      <c r="R964" t="s">
        <v>8318</v>
      </c>
      <c r="S964" s="17">
        <f t="shared" si="66"/>
        <v>42373.712418981479</v>
      </c>
      <c r="T964" s="17">
        <f t="shared" si="67"/>
        <v>42411.712418981479</v>
      </c>
      <c r="U964">
        <f>MONTH(Table1[[#This Row],[Launched]])</f>
        <v>1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8220</v>
      </c>
      <c r="G965" t="s">
        <v>8223</v>
      </c>
      <c r="H965" t="s">
        <v>8245</v>
      </c>
      <c r="I965" s="8">
        <v>1476717319</v>
      </c>
      <c r="J965">
        <v>1473693319</v>
      </c>
      <c r="K965" t="b">
        <v>0</v>
      </c>
      <c r="L965" s="10">
        <v>9</v>
      </c>
      <c r="M965" t="b">
        <v>0</v>
      </c>
      <c r="N965" t="s">
        <v>8271</v>
      </c>
      <c r="O965" s="11">
        <f t="shared" si="64"/>
        <v>1</v>
      </c>
      <c r="P965" s="12">
        <f t="shared" si="65"/>
        <v>42</v>
      </c>
      <c r="Q965" s="14" t="s">
        <v>8316</v>
      </c>
      <c r="R965" t="s">
        <v>8318</v>
      </c>
      <c r="S965" s="17">
        <f t="shared" si="66"/>
        <v>42625.635636574079</v>
      </c>
      <c r="T965" s="17">
        <f t="shared" si="67"/>
        <v>42660.635636574079</v>
      </c>
      <c r="U965">
        <f>MONTH(Table1[[#This Row],[Launched]])</f>
        <v>9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8220</v>
      </c>
      <c r="G966" t="s">
        <v>8228</v>
      </c>
      <c r="H966" t="s">
        <v>8250</v>
      </c>
      <c r="I966" s="8">
        <v>1441119919</v>
      </c>
      <c r="J966">
        <v>1437663919</v>
      </c>
      <c r="K966" t="b">
        <v>0</v>
      </c>
      <c r="L966" s="10">
        <v>29</v>
      </c>
      <c r="M966" t="b">
        <v>0</v>
      </c>
      <c r="N966" t="s">
        <v>8271</v>
      </c>
      <c r="O966" s="11">
        <f t="shared" si="64"/>
        <v>1</v>
      </c>
      <c r="P966" s="12">
        <f t="shared" si="65"/>
        <v>30</v>
      </c>
      <c r="Q966" s="14" t="s">
        <v>8316</v>
      </c>
      <c r="R966" t="s">
        <v>8318</v>
      </c>
      <c r="S966" s="17">
        <f t="shared" si="66"/>
        <v>42208.628692129627</v>
      </c>
      <c r="T966" s="17">
        <f t="shared" si="67"/>
        <v>42248.628692129627</v>
      </c>
      <c r="U966">
        <f>MONTH(Table1[[#This Row],[Launched]])</f>
        <v>7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8220</v>
      </c>
      <c r="G967" t="s">
        <v>8223</v>
      </c>
      <c r="H967" t="s">
        <v>8245</v>
      </c>
      <c r="I967" s="8">
        <v>1477454340</v>
      </c>
      <c r="J967">
        <v>1474676646</v>
      </c>
      <c r="K967" t="b">
        <v>0</v>
      </c>
      <c r="L967" s="10">
        <v>6</v>
      </c>
      <c r="M967" t="b">
        <v>0</v>
      </c>
      <c r="N967" t="s">
        <v>8271</v>
      </c>
      <c r="O967" s="11">
        <f t="shared" si="64"/>
        <v>1</v>
      </c>
      <c r="P967" s="12">
        <f t="shared" si="65"/>
        <v>50</v>
      </c>
      <c r="Q967" s="14" t="s">
        <v>8316</v>
      </c>
      <c r="R967" t="s">
        <v>8318</v>
      </c>
      <c r="S967" s="17">
        <f t="shared" si="66"/>
        <v>42637.016736111109</v>
      </c>
      <c r="T967" s="17">
        <f t="shared" si="67"/>
        <v>42669.165972222225</v>
      </c>
      <c r="U967">
        <f>MONTH(Table1[[#This Row],[Launched]])</f>
        <v>9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8220</v>
      </c>
      <c r="G968" t="s">
        <v>8223</v>
      </c>
      <c r="H968" t="s">
        <v>8245</v>
      </c>
      <c r="I968" s="8">
        <v>1475766932</v>
      </c>
      <c r="J968">
        <v>1473174932</v>
      </c>
      <c r="K968" t="b">
        <v>0</v>
      </c>
      <c r="L968" s="10">
        <v>30</v>
      </c>
      <c r="M968" t="b">
        <v>0</v>
      </c>
      <c r="N968" t="s">
        <v>8271</v>
      </c>
      <c r="O968" s="11">
        <f t="shared" si="64"/>
        <v>15</v>
      </c>
      <c r="P968" s="12">
        <f t="shared" si="65"/>
        <v>59</v>
      </c>
      <c r="Q968" s="14" t="s">
        <v>8316</v>
      </c>
      <c r="R968" t="s">
        <v>8318</v>
      </c>
      <c r="S968" s="17">
        <f t="shared" si="66"/>
        <v>42619.635787037041</v>
      </c>
      <c r="T968" s="17">
        <f t="shared" si="67"/>
        <v>42649.635787037041</v>
      </c>
      <c r="U968">
        <f>MONTH(Table1[[#This Row],[Launched]])</f>
        <v>9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8220</v>
      </c>
      <c r="G969" t="s">
        <v>8223</v>
      </c>
      <c r="H969" t="s">
        <v>8245</v>
      </c>
      <c r="I969" s="8">
        <v>1461301574</v>
      </c>
      <c r="J969">
        <v>1456121174</v>
      </c>
      <c r="K969" t="b">
        <v>0</v>
      </c>
      <c r="L969" s="10">
        <v>81</v>
      </c>
      <c r="M969" t="b">
        <v>0</v>
      </c>
      <c r="N969" t="s">
        <v>8271</v>
      </c>
      <c r="O969" s="11">
        <f t="shared" si="64"/>
        <v>18</v>
      </c>
      <c r="P969" s="12">
        <f t="shared" si="65"/>
        <v>44</v>
      </c>
      <c r="Q969" s="14" t="s">
        <v>8316</v>
      </c>
      <c r="R969" t="s">
        <v>8318</v>
      </c>
      <c r="S969" s="17">
        <f t="shared" si="66"/>
        <v>42422.254328703704</v>
      </c>
      <c r="T969" s="17">
        <f t="shared" si="67"/>
        <v>42482.21266203704</v>
      </c>
      <c r="U969">
        <f>MONTH(Table1[[#This Row],[Launched]])</f>
        <v>2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8220</v>
      </c>
      <c r="G970" t="s">
        <v>8223</v>
      </c>
      <c r="H970" t="s">
        <v>8245</v>
      </c>
      <c r="I970" s="8">
        <v>1408134034</v>
      </c>
      <c r="J970">
        <v>1405542034</v>
      </c>
      <c r="K970" t="b">
        <v>0</v>
      </c>
      <c r="L970" s="10">
        <v>4</v>
      </c>
      <c r="M970" t="b">
        <v>0</v>
      </c>
      <c r="N970" t="s">
        <v>8271</v>
      </c>
      <c r="O970" s="11">
        <f t="shared" si="64"/>
        <v>1</v>
      </c>
      <c r="P970" s="12">
        <f t="shared" si="65"/>
        <v>27</v>
      </c>
      <c r="Q970" s="14" t="s">
        <v>8316</v>
      </c>
      <c r="R970" t="s">
        <v>8318</v>
      </c>
      <c r="S970" s="17">
        <f t="shared" si="66"/>
        <v>41836.847615740742</v>
      </c>
      <c r="T970" s="17">
        <f t="shared" si="67"/>
        <v>41866.847615740742</v>
      </c>
      <c r="U970">
        <f>MONTH(Table1[[#This Row],[Launched]])</f>
        <v>7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8220</v>
      </c>
      <c r="G971" t="s">
        <v>8237</v>
      </c>
      <c r="H971" t="s">
        <v>8255</v>
      </c>
      <c r="I971" s="8">
        <v>1486624607</v>
      </c>
      <c r="J971">
        <v>1483773407</v>
      </c>
      <c r="K971" t="b">
        <v>0</v>
      </c>
      <c r="L971" s="10">
        <v>11</v>
      </c>
      <c r="M971" t="b">
        <v>0</v>
      </c>
      <c r="N971" t="s">
        <v>8271</v>
      </c>
      <c r="O971" s="11">
        <f t="shared" si="64"/>
        <v>47</v>
      </c>
      <c r="P971" s="12">
        <f t="shared" si="65"/>
        <v>1273</v>
      </c>
      <c r="Q971" s="14" t="s">
        <v>8316</v>
      </c>
      <c r="R971" t="s">
        <v>8318</v>
      </c>
      <c r="S971" s="17">
        <f t="shared" si="66"/>
        <v>42742.30332175926</v>
      </c>
      <c r="T971" s="17">
        <f t="shared" si="67"/>
        <v>42775.30332175926</v>
      </c>
      <c r="U971">
        <f>MONTH(Table1[[#This Row],[Launched]])</f>
        <v>1</v>
      </c>
    </row>
    <row r="972" spans="1:21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8220</v>
      </c>
      <c r="G972" t="s">
        <v>8228</v>
      </c>
      <c r="H972" t="s">
        <v>8250</v>
      </c>
      <c r="I972" s="8">
        <v>1485147540</v>
      </c>
      <c r="J972">
        <v>1481951853</v>
      </c>
      <c r="K972" t="b">
        <v>0</v>
      </c>
      <c r="L972" s="10">
        <v>14</v>
      </c>
      <c r="M972" t="b">
        <v>0</v>
      </c>
      <c r="N972" t="s">
        <v>8271</v>
      </c>
      <c r="O972" s="11">
        <f t="shared" si="64"/>
        <v>46</v>
      </c>
      <c r="P972" s="12">
        <f t="shared" si="65"/>
        <v>164</v>
      </c>
      <c r="Q972" s="14" t="s">
        <v>8316</v>
      </c>
      <c r="R972" t="s">
        <v>8318</v>
      </c>
      <c r="S972" s="17">
        <f t="shared" si="66"/>
        <v>42721.220520833333</v>
      </c>
      <c r="T972" s="17">
        <f t="shared" si="67"/>
        <v>42758.207638888889</v>
      </c>
      <c r="U972">
        <f>MONTH(Table1[[#This Row],[Launched]])</f>
        <v>12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8220</v>
      </c>
      <c r="G973" t="s">
        <v>8223</v>
      </c>
      <c r="H973" t="s">
        <v>8245</v>
      </c>
      <c r="I973" s="8">
        <v>1433178060</v>
      </c>
      <c r="J973">
        <v>1429290060</v>
      </c>
      <c r="K973" t="b">
        <v>0</v>
      </c>
      <c r="L973" s="10">
        <v>5</v>
      </c>
      <c r="M973" t="b">
        <v>0</v>
      </c>
      <c r="N973" t="s">
        <v>8271</v>
      </c>
      <c r="O973" s="11">
        <f t="shared" si="64"/>
        <v>0</v>
      </c>
      <c r="P973" s="12">
        <f t="shared" si="65"/>
        <v>45</v>
      </c>
      <c r="Q973" s="14" t="s">
        <v>8316</v>
      </c>
      <c r="R973" t="s">
        <v>8318</v>
      </c>
      <c r="S973" s="17">
        <f t="shared" si="66"/>
        <v>42111.709027777775</v>
      </c>
      <c r="T973" s="17">
        <f t="shared" si="67"/>
        <v>42156.709027777775</v>
      </c>
      <c r="U973">
        <f>MONTH(Table1[[#This Row],[Launched]])</f>
        <v>4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8220</v>
      </c>
      <c r="G974" t="s">
        <v>8223</v>
      </c>
      <c r="H974" t="s">
        <v>8245</v>
      </c>
      <c r="I974" s="8">
        <v>1409813940</v>
      </c>
      <c r="J974">
        <v>1407271598</v>
      </c>
      <c r="K974" t="b">
        <v>0</v>
      </c>
      <c r="L974" s="10">
        <v>45</v>
      </c>
      <c r="M974" t="b">
        <v>0</v>
      </c>
      <c r="N974" t="s">
        <v>8271</v>
      </c>
      <c r="O974" s="11">
        <f t="shared" si="64"/>
        <v>35</v>
      </c>
      <c r="P974" s="12">
        <f t="shared" si="65"/>
        <v>154</v>
      </c>
      <c r="Q974" s="14" t="s">
        <v>8316</v>
      </c>
      <c r="R974" t="s">
        <v>8318</v>
      </c>
      <c r="S974" s="17">
        <f t="shared" si="66"/>
        <v>41856.865717592591</v>
      </c>
      <c r="T974" s="17">
        <f t="shared" si="67"/>
        <v>41886.290972222225</v>
      </c>
      <c r="U974">
        <f>MONTH(Table1[[#This Row],[Launched]])</f>
        <v>8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8220</v>
      </c>
      <c r="G975" t="s">
        <v>8223</v>
      </c>
      <c r="H975" t="s">
        <v>8245</v>
      </c>
      <c r="I975" s="8">
        <v>1447032093</v>
      </c>
      <c r="J975">
        <v>1441844493</v>
      </c>
      <c r="K975" t="b">
        <v>0</v>
      </c>
      <c r="L975" s="10">
        <v>8</v>
      </c>
      <c r="M975" t="b">
        <v>0</v>
      </c>
      <c r="N975" t="s">
        <v>8271</v>
      </c>
      <c r="O975" s="11">
        <f t="shared" si="64"/>
        <v>2</v>
      </c>
      <c r="P975" s="12">
        <f t="shared" si="65"/>
        <v>51</v>
      </c>
      <c r="Q975" s="14" t="s">
        <v>8316</v>
      </c>
      <c r="R975" t="s">
        <v>8318</v>
      </c>
      <c r="S975" s="17">
        <f t="shared" si="66"/>
        <v>42257.014965277776</v>
      </c>
      <c r="T975" s="17">
        <f t="shared" si="67"/>
        <v>42317.056631944448</v>
      </c>
      <c r="U975">
        <f>MONTH(Table1[[#This Row],[Launched]])</f>
        <v>9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8220</v>
      </c>
      <c r="G976" t="s">
        <v>8223</v>
      </c>
      <c r="H976" t="s">
        <v>8245</v>
      </c>
      <c r="I976" s="8">
        <v>1458925156</v>
      </c>
      <c r="J976">
        <v>1456336756</v>
      </c>
      <c r="K976" t="b">
        <v>0</v>
      </c>
      <c r="L976" s="10">
        <v>3</v>
      </c>
      <c r="M976" t="b">
        <v>0</v>
      </c>
      <c r="N976" t="s">
        <v>8271</v>
      </c>
      <c r="O976" s="11">
        <f t="shared" si="64"/>
        <v>1</v>
      </c>
      <c r="P976" s="12">
        <f t="shared" si="65"/>
        <v>93</v>
      </c>
      <c r="Q976" s="14" t="s">
        <v>8316</v>
      </c>
      <c r="R976" t="s">
        <v>8318</v>
      </c>
      <c r="S976" s="17">
        <f t="shared" si="66"/>
        <v>42424.749490740738</v>
      </c>
      <c r="T976" s="17">
        <f t="shared" si="67"/>
        <v>42454.707824074074</v>
      </c>
      <c r="U976">
        <f>MONTH(Table1[[#This Row],[Launched]])</f>
        <v>2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8220</v>
      </c>
      <c r="G977" t="s">
        <v>8223</v>
      </c>
      <c r="H977" t="s">
        <v>8245</v>
      </c>
      <c r="I977" s="8">
        <v>1467132185</v>
      </c>
      <c r="J977">
        <v>1461948185</v>
      </c>
      <c r="K977" t="b">
        <v>0</v>
      </c>
      <c r="L977" s="10">
        <v>24</v>
      </c>
      <c r="M977" t="b">
        <v>0</v>
      </c>
      <c r="N977" t="s">
        <v>8271</v>
      </c>
      <c r="O977" s="11">
        <f t="shared" si="64"/>
        <v>3</v>
      </c>
      <c r="P977" s="12">
        <f t="shared" si="65"/>
        <v>109</v>
      </c>
      <c r="Q977" s="14" t="s">
        <v>8316</v>
      </c>
      <c r="R977" t="s">
        <v>8318</v>
      </c>
      <c r="S977" s="17">
        <f t="shared" si="66"/>
        <v>42489.696585648147</v>
      </c>
      <c r="T977" s="17">
        <f t="shared" si="67"/>
        <v>42549.696585648147</v>
      </c>
      <c r="U977">
        <f>MONTH(Table1[[#This Row],[Launched]])</f>
        <v>4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8220</v>
      </c>
      <c r="G978" t="s">
        <v>8225</v>
      </c>
      <c r="H978" t="s">
        <v>8247</v>
      </c>
      <c r="I978" s="8">
        <v>1439515497</v>
      </c>
      <c r="J978">
        <v>1435627497</v>
      </c>
      <c r="K978" t="b">
        <v>0</v>
      </c>
      <c r="L978" s="10">
        <v>18</v>
      </c>
      <c r="M978" t="b">
        <v>0</v>
      </c>
      <c r="N978" t="s">
        <v>8271</v>
      </c>
      <c r="O978" s="11">
        <f t="shared" si="64"/>
        <v>2</v>
      </c>
      <c r="P978" s="12">
        <f t="shared" si="65"/>
        <v>161</v>
      </c>
      <c r="Q978" s="14" t="s">
        <v>8316</v>
      </c>
      <c r="R978" t="s">
        <v>8318</v>
      </c>
      <c r="S978" s="17">
        <f t="shared" si="66"/>
        <v>42185.058993055558</v>
      </c>
      <c r="T978" s="17">
        <f t="shared" si="67"/>
        <v>42230.058993055558</v>
      </c>
      <c r="U978">
        <f>MONTH(Table1[[#This Row],[Launched]])</f>
        <v>6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8220</v>
      </c>
      <c r="G979" t="s">
        <v>8238</v>
      </c>
      <c r="H979" t="s">
        <v>8248</v>
      </c>
      <c r="I979" s="8">
        <v>1456094197</v>
      </c>
      <c r="J979">
        <v>1453502197</v>
      </c>
      <c r="K979" t="b">
        <v>0</v>
      </c>
      <c r="L979" s="10">
        <v>12</v>
      </c>
      <c r="M979" t="b">
        <v>0</v>
      </c>
      <c r="N979" t="s">
        <v>8271</v>
      </c>
      <c r="O979" s="11">
        <f t="shared" si="64"/>
        <v>34</v>
      </c>
      <c r="P979" s="12">
        <f t="shared" si="65"/>
        <v>76</v>
      </c>
      <c r="Q979" s="14" t="s">
        <v>8316</v>
      </c>
      <c r="R979" t="s">
        <v>8318</v>
      </c>
      <c r="S979" s="17">
        <f t="shared" si="66"/>
        <v>42391.942094907412</v>
      </c>
      <c r="T979" s="17">
        <f t="shared" si="67"/>
        <v>42421.942094907412</v>
      </c>
      <c r="U979">
        <f>MONTH(Table1[[#This Row],[Launched]])</f>
        <v>1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8220</v>
      </c>
      <c r="G980" t="s">
        <v>8234</v>
      </c>
      <c r="H980" t="s">
        <v>8254</v>
      </c>
      <c r="I980" s="8">
        <v>1456385101</v>
      </c>
      <c r="J980">
        <v>1453793101</v>
      </c>
      <c r="K980" t="b">
        <v>0</v>
      </c>
      <c r="L980" s="10">
        <v>123</v>
      </c>
      <c r="M980" t="b">
        <v>0</v>
      </c>
      <c r="N980" t="s">
        <v>8271</v>
      </c>
      <c r="O980" s="11">
        <f t="shared" si="64"/>
        <v>56</v>
      </c>
      <c r="P980" s="12">
        <f t="shared" si="65"/>
        <v>791</v>
      </c>
      <c r="Q980" s="14" t="s">
        <v>8316</v>
      </c>
      <c r="R980" t="s">
        <v>8318</v>
      </c>
      <c r="S980" s="17">
        <f t="shared" si="66"/>
        <v>42395.309039351851</v>
      </c>
      <c r="T980" s="17">
        <f t="shared" si="67"/>
        <v>42425.309039351851</v>
      </c>
      <c r="U980">
        <f>MONTH(Table1[[#This Row],[Launched]])</f>
        <v>1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 s="8">
        <v>1466449140</v>
      </c>
      <c r="J981">
        <v>1463392828</v>
      </c>
      <c r="K981" t="b">
        <v>0</v>
      </c>
      <c r="L981" s="10">
        <v>96</v>
      </c>
      <c r="M981" t="b">
        <v>0</v>
      </c>
      <c r="N981" t="s">
        <v>8271</v>
      </c>
      <c r="O981" s="11">
        <f t="shared" si="64"/>
        <v>83</v>
      </c>
      <c r="P981" s="12">
        <f t="shared" si="65"/>
        <v>302</v>
      </c>
      <c r="Q981" s="14" t="s">
        <v>8316</v>
      </c>
      <c r="R981" t="s">
        <v>8318</v>
      </c>
      <c r="S981" s="17">
        <f t="shared" si="66"/>
        <v>42506.416990740734</v>
      </c>
      <c r="T981" s="17">
        <f t="shared" si="67"/>
        <v>42541.790972222225</v>
      </c>
      <c r="U981">
        <f>MONTH(Table1[[#This Row],[Launched]])</f>
        <v>5</v>
      </c>
    </row>
    <row r="982" spans="1:21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8220</v>
      </c>
      <c r="G982" t="s">
        <v>8223</v>
      </c>
      <c r="H982" t="s">
        <v>8245</v>
      </c>
      <c r="I982" s="8">
        <v>1417387322</v>
      </c>
      <c r="J982">
        <v>1413495722</v>
      </c>
      <c r="K982" t="b">
        <v>0</v>
      </c>
      <c r="L982" s="10">
        <v>31</v>
      </c>
      <c r="M982" t="b">
        <v>0</v>
      </c>
      <c r="N982" t="s">
        <v>8271</v>
      </c>
      <c r="O982" s="11">
        <f t="shared" si="64"/>
        <v>15</v>
      </c>
      <c r="P982" s="12">
        <f t="shared" si="65"/>
        <v>48</v>
      </c>
      <c r="Q982" s="14" t="s">
        <v>8316</v>
      </c>
      <c r="R982" t="s">
        <v>8318</v>
      </c>
      <c r="S982" s="17">
        <f t="shared" si="66"/>
        <v>41928.904189814813</v>
      </c>
      <c r="T982" s="17">
        <f t="shared" si="67"/>
        <v>41973.945856481485</v>
      </c>
      <c r="U982">
        <f>MONTH(Table1[[#This Row],[Launched]])</f>
        <v>10</v>
      </c>
    </row>
    <row r="983" spans="1:21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8220</v>
      </c>
      <c r="G983" t="s">
        <v>8223</v>
      </c>
      <c r="H983" t="s">
        <v>8245</v>
      </c>
      <c r="I983" s="8">
        <v>1407624222</v>
      </c>
      <c r="J983">
        <v>1405032222</v>
      </c>
      <c r="K983" t="b">
        <v>0</v>
      </c>
      <c r="L983" s="10">
        <v>4</v>
      </c>
      <c r="M983" t="b">
        <v>0</v>
      </c>
      <c r="N983" t="s">
        <v>8271</v>
      </c>
      <c r="O983" s="11">
        <f t="shared" si="64"/>
        <v>0</v>
      </c>
      <c r="P983" s="12">
        <f t="shared" si="65"/>
        <v>3</v>
      </c>
      <c r="Q983" s="14" t="s">
        <v>8316</v>
      </c>
      <c r="R983" t="s">
        <v>8318</v>
      </c>
      <c r="S983" s="17">
        <f t="shared" si="66"/>
        <v>41830.947013888886</v>
      </c>
      <c r="T983" s="17">
        <f t="shared" si="67"/>
        <v>41860.947013888886</v>
      </c>
      <c r="U983">
        <f>MONTH(Table1[[#This Row],[Launched]])</f>
        <v>7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8220</v>
      </c>
      <c r="G984" t="s">
        <v>8223</v>
      </c>
      <c r="H984" t="s">
        <v>8245</v>
      </c>
      <c r="I984" s="8">
        <v>1475431486</v>
      </c>
      <c r="J984">
        <v>1472839486</v>
      </c>
      <c r="K984" t="b">
        <v>0</v>
      </c>
      <c r="L984" s="10">
        <v>3</v>
      </c>
      <c r="M984" t="b">
        <v>0</v>
      </c>
      <c r="N984" t="s">
        <v>8271</v>
      </c>
      <c r="O984" s="11">
        <f t="shared" si="64"/>
        <v>0</v>
      </c>
      <c r="P984" s="12">
        <f t="shared" si="65"/>
        <v>1</v>
      </c>
      <c r="Q984" s="14" t="s">
        <v>8316</v>
      </c>
      <c r="R984" t="s">
        <v>8318</v>
      </c>
      <c r="S984" s="17">
        <f t="shared" si="66"/>
        <v>42615.753310185188</v>
      </c>
      <c r="T984" s="17">
        <f t="shared" si="67"/>
        <v>42645.753310185188</v>
      </c>
      <c r="U984">
        <f>MONTH(Table1[[#This Row],[Launched]])</f>
        <v>9</v>
      </c>
    </row>
    <row r="985" spans="1:21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8220</v>
      </c>
      <c r="G985" t="s">
        <v>8226</v>
      </c>
      <c r="H985" t="s">
        <v>8248</v>
      </c>
      <c r="I985" s="8">
        <v>1471985640</v>
      </c>
      <c r="J985">
        <v>1469289685</v>
      </c>
      <c r="K985" t="b">
        <v>0</v>
      </c>
      <c r="L985" s="10">
        <v>179</v>
      </c>
      <c r="M985" t="b">
        <v>0</v>
      </c>
      <c r="N985" t="s">
        <v>8271</v>
      </c>
      <c r="O985" s="11">
        <f t="shared" si="64"/>
        <v>30</v>
      </c>
      <c r="P985" s="12">
        <f t="shared" si="65"/>
        <v>172</v>
      </c>
      <c r="Q985" s="14" t="s">
        <v>8316</v>
      </c>
      <c r="R985" t="s">
        <v>8318</v>
      </c>
      <c r="S985" s="17">
        <f t="shared" si="66"/>
        <v>42574.667650462965</v>
      </c>
      <c r="T985" s="17">
        <f t="shared" si="67"/>
        <v>42605.870833333334</v>
      </c>
      <c r="U985">
        <f>MONTH(Table1[[#This Row],[Launched]])</f>
        <v>7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8220</v>
      </c>
      <c r="G986" t="s">
        <v>8223</v>
      </c>
      <c r="H986" t="s">
        <v>8245</v>
      </c>
      <c r="I986" s="8">
        <v>1427507208</v>
      </c>
      <c r="J986">
        <v>1424918808</v>
      </c>
      <c r="K986" t="b">
        <v>0</v>
      </c>
      <c r="L986" s="10">
        <v>3</v>
      </c>
      <c r="M986" t="b">
        <v>0</v>
      </c>
      <c r="N986" t="s">
        <v>8271</v>
      </c>
      <c r="O986" s="11">
        <f t="shared" si="64"/>
        <v>1</v>
      </c>
      <c r="P986" s="12">
        <f t="shared" si="65"/>
        <v>35</v>
      </c>
      <c r="Q986" s="14" t="s">
        <v>8316</v>
      </c>
      <c r="R986" t="s">
        <v>8318</v>
      </c>
      <c r="S986" s="17">
        <f t="shared" si="66"/>
        <v>42061.11583333333</v>
      </c>
      <c r="T986" s="17">
        <f t="shared" si="67"/>
        <v>42091.074166666673</v>
      </c>
      <c r="U986">
        <f>MONTH(Table1[[#This Row],[Launched]])</f>
        <v>2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8220</v>
      </c>
      <c r="G987" t="s">
        <v>8235</v>
      </c>
      <c r="H987" t="s">
        <v>8248</v>
      </c>
      <c r="I987" s="8">
        <v>1451602800</v>
      </c>
      <c r="J987">
        <v>1449011610</v>
      </c>
      <c r="K987" t="b">
        <v>0</v>
      </c>
      <c r="L987" s="10">
        <v>23</v>
      </c>
      <c r="M987" t="b">
        <v>0</v>
      </c>
      <c r="N987" t="s">
        <v>8271</v>
      </c>
      <c r="O987" s="11">
        <f t="shared" si="64"/>
        <v>6</v>
      </c>
      <c r="P987" s="12">
        <f t="shared" si="65"/>
        <v>82</v>
      </c>
      <c r="Q987" s="14" t="s">
        <v>8316</v>
      </c>
      <c r="R987" t="s">
        <v>8318</v>
      </c>
      <c r="S987" s="17">
        <f t="shared" si="66"/>
        <v>42339.967708333337</v>
      </c>
      <c r="T987" s="17">
        <f t="shared" si="67"/>
        <v>42369.958333333328</v>
      </c>
      <c r="U987">
        <f>MONTH(Table1[[#This Row],[Launched]])</f>
        <v>12</v>
      </c>
    </row>
    <row r="988" spans="1:21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8220</v>
      </c>
      <c r="G988" t="s">
        <v>8224</v>
      </c>
      <c r="H988" t="s">
        <v>8246</v>
      </c>
      <c r="I988" s="8">
        <v>1452384000</v>
      </c>
      <c r="J988">
        <v>1447698300</v>
      </c>
      <c r="K988" t="b">
        <v>0</v>
      </c>
      <c r="L988" s="10">
        <v>23</v>
      </c>
      <c r="M988" t="b">
        <v>0</v>
      </c>
      <c r="N988" t="s">
        <v>8271</v>
      </c>
      <c r="O988" s="11">
        <f t="shared" si="64"/>
        <v>13</v>
      </c>
      <c r="P988" s="12">
        <f t="shared" si="65"/>
        <v>111</v>
      </c>
      <c r="Q988" s="14" t="s">
        <v>8316</v>
      </c>
      <c r="R988" t="s">
        <v>8318</v>
      </c>
      <c r="S988" s="17">
        <f t="shared" si="66"/>
        <v>42324.767361111109</v>
      </c>
      <c r="T988" s="17">
        <f t="shared" si="67"/>
        <v>42379</v>
      </c>
      <c r="U988">
        <f>MONTH(Table1[[#This Row],[Launched]])</f>
        <v>11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8220</v>
      </c>
      <c r="G989" t="s">
        <v>8232</v>
      </c>
      <c r="H989" t="s">
        <v>8248</v>
      </c>
      <c r="I989" s="8">
        <v>1403507050</v>
      </c>
      <c r="J989">
        <v>1400051050</v>
      </c>
      <c r="K989" t="b">
        <v>0</v>
      </c>
      <c r="L989" s="10">
        <v>41</v>
      </c>
      <c r="M989" t="b">
        <v>0</v>
      </c>
      <c r="N989" t="s">
        <v>8271</v>
      </c>
      <c r="O989" s="11">
        <f t="shared" si="64"/>
        <v>13</v>
      </c>
      <c r="P989" s="12">
        <f t="shared" si="65"/>
        <v>161</v>
      </c>
      <c r="Q989" s="14" t="s">
        <v>8316</v>
      </c>
      <c r="R989" t="s">
        <v>8318</v>
      </c>
      <c r="S989" s="17">
        <f t="shared" si="66"/>
        <v>41773.294560185182</v>
      </c>
      <c r="T989" s="17">
        <f t="shared" si="67"/>
        <v>41813.294560185182</v>
      </c>
      <c r="U989">
        <f>MONTH(Table1[[#This Row],[Launched]])</f>
        <v>5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8220</v>
      </c>
      <c r="G990" t="s">
        <v>8236</v>
      </c>
      <c r="H990" t="s">
        <v>8248</v>
      </c>
      <c r="I990" s="8">
        <v>1475310825</v>
      </c>
      <c r="J990">
        <v>1472718825</v>
      </c>
      <c r="K990" t="b">
        <v>0</v>
      </c>
      <c r="L990" s="10">
        <v>0</v>
      </c>
      <c r="M990" t="b">
        <v>0</v>
      </c>
      <c r="N990" t="s">
        <v>8271</v>
      </c>
      <c r="O990" s="11">
        <f t="shared" si="64"/>
        <v>0</v>
      </c>
      <c r="P990" s="12" t="str">
        <f t="shared" si="65"/>
        <v>No Backers</v>
      </c>
      <c r="Q990" s="14" t="s">
        <v>8316</v>
      </c>
      <c r="R990" t="s">
        <v>8318</v>
      </c>
      <c r="S990" s="17">
        <f t="shared" si="66"/>
        <v>42614.356770833328</v>
      </c>
      <c r="T990" s="17">
        <f t="shared" si="67"/>
        <v>42644.356770833328</v>
      </c>
      <c r="U990">
        <f>MONTH(Table1[[#This Row],[Launched]])</f>
        <v>9</v>
      </c>
    </row>
    <row r="991" spans="1:21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8220</v>
      </c>
      <c r="G991" t="s">
        <v>8223</v>
      </c>
      <c r="H991" t="s">
        <v>8245</v>
      </c>
      <c r="I991" s="8">
        <v>1475101495</v>
      </c>
      <c r="J991">
        <v>1472509495</v>
      </c>
      <c r="K991" t="b">
        <v>0</v>
      </c>
      <c r="L991" s="10">
        <v>32</v>
      </c>
      <c r="M991" t="b">
        <v>0</v>
      </c>
      <c r="N991" t="s">
        <v>8271</v>
      </c>
      <c r="O991" s="11">
        <f t="shared" si="64"/>
        <v>17</v>
      </c>
      <c r="P991" s="12">
        <f t="shared" si="65"/>
        <v>52</v>
      </c>
      <c r="Q991" s="14" t="s">
        <v>8316</v>
      </c>
      <c r="R991" t="s">
        <v>8318</v>
      </c>
      <c r="S991" s="17">
        <f t="shared" si="66"/>
        <v>42611.933969907404</v>
      </c>
      <c r="T991" s="17">
        <f t="shared" si="67"/>
        <v>42641.933969907404</v>
      </c>
      <c r="U991">
        <f>MONTH(Table1[[#This Row],[Launched]])</f>
        <v>8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8220</v>
      </c>
      <c r="G992" t="s">
        <v>8223</v>
      </c>
      <c r="H992" t="s">
        <v>8245</v>
      </c>
      <c r="I992" s="8">
        <v>1409770164</v>
      </c>
      <c r="J992">
        <v>1407178164</v>
      </c>
      <c r="K992" t="b">
        <v>0</v>
      </c>
      <c r="L992" s="10">
        <v>2</v>
      </c>
      <c r="M992" t="b">
        <v>0</v>
      </c>
      <c r="N992" t="s">
        <v>8271</v>
      </c>
      <c r="O992" s="11">
        <f t="shared" si="64"/>
        <v>0</v>
      </c>
      <c r="P992" s="12">
        <f t="shared" si="65"/>
        <v>13</v>
      </c>
      <c r="Q992" s="14" t="s">
        <v>8316</v>
      </c>
      <c r="R992" t="s">
        <v>8318</v>
      </c>
      <c r="S992" s="17">
        <f t="shared" si="66"/>
        <v>41855.784305555557</v>
      </c>
      <c r="T992" s="17">
        <f t="shared" si="67"/>
        <v>41885.784305555557</v>
      </c>
      <c r="U992">
        <f>MONTH(Table1[[#This Row],[Launched]])</f>
        <v>8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8220</v>
      </c>
      <c r="G993" t="s">
        <v>8224</v>
      </c>
      <c r="H993" t="s">
        <v>8246</v>
      </c>
      <c r="I993" s="8">
        <v>1468349460</v>
      </c>
      <c r="J993">
        <v>1466186988</v>
      </c>
      <c r="K993" t="b">
        <v>0</v>
      </c>
      <c r="L993" s="10">
        <v>7</v>
      </c>
      <c r="M993" t="b">
        <v>0</v>
      </c>
      <c r="N993" t="s">
        <v>8271</v>
      </c>
      <c r="O993" s="11">
        <f t="shared" si="64"/>
        <v>4</v>
      </c>
      <c r="P993" s="12">
        <f t="shared" si="65"/>
        <v>30</v>
      </c>
      <c r="Q993" s="14" t="s">
        <v>8316</v>
      </c>
      <c r="R993" t="s">
        <v>8318</v>
      </c>
      <c r="S993" s="17">
        <f t="shared" si="66"/>
        <v>42538.75680555556</v>
      </c>
      <c r="T993" s="17">
        <f t="shared" si="67"/>
        <v>42563.785416666666</v>
      </c>
      <c r="U993">
        <f>MONTH(Table1[[#This Row],[Launched]])</f>
        <v>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8220</v>
      </c>
      <c r="G994" t="s">
        <v>8223</v>
      </c>
      <c r="H994" t="s">
        <v>8245</v>
      </c>
      <c r="I994" s="8">
        <v>1462655519</v>
      </c>
      <c r="J994">
        <v>1457475119</v>
      </c>
      <c r="K994" t="b">
        <v>0</v>
      </c>
      <c r="L994" s="10">
        <v>4</v>
      </c>
      <c r="M994" t="b">
        <v>0</v>
      </c>
      <c r="N994" t="s">
        <v>8271</v>
      </c>
      <c r="O994" s="11">
        <f t="shared" si="64"/>
        <v>0</v>
      </c>
      <c r="P994" s="12">
        <f t="shared" si="65"/>
        <v>117</v>
      </c>
      <c r="Q994" s="14" t="s">
        <v>8316</v>
      </c>
      <c r="R994" t="s">
        <v>8318</v>
      </c>
      <c r="S994" s="17">
        <f t="shared" si="66"/>
        <v>42437.924988425926</v>
      </c>
      <c r="T994" s="17">
        <f t="shared" si="67"/>
        <v>42497.883321759262</v>
      </c>
      <c r="U994">
        <f>MONTH(Table1[[#This Row],[Launched]])</f>
        <v>3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8220</v>
      </c>
      <c r="G995" t="s">
        <v>8223</v>
      </c>
      <c r="H995" t="s">
        <v>8245</v>
      </c>
      <c r="I995" s="8">
        <v>1478926800</v>
      </c>
      <c r="J995">
        <v>1476054568</v>
      </c>
      <c r="K995" t="b">
        <v>0</v>
      </c>
      <c r="L995" s="10">
        <v>196</v>
      </c>
      <c r="M995" t="b">
        <v>0</v>
      </c>
      <c r="N995" t="s">
        <v>8271</v>
      </c>
      <c r="O995" s="11">
        <f t="shared" si="64"/>
        <v>25</v>
      </c>
      <c r="P995" s="12">
        <f t="shared" si="65"/>
        <v>90</v>
      </c>
      <c r="Q995" s="14" t="s">
        <v>8316</v>
      </c>
      <c r="R995" t="s">
        <v>8318</v>
      </c>
      <c r="S995" s="17">
        <f t="shared" si="66"/>
        <v>42652.964907407411</v>
      </c>
      <c r="T995" s="17">
        <f t="shared" si="67"/>
        <v>42686.208333333328</v>
      </c>
      <c r="U995">
        <f>MONTH(Table1[[#This Row],[Launched]])</f>
        <v>10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8220</v>
      </c>
      <c r="G996" t="s">
        <v>8223</v>
      </c>
      <c r="H996" t="s">
        <v>8245</v>
      </c>
      <c r="I996" s="8">
        <v>1417388340</v>
      </c>
      <c r="J996">
        <v>1412835530</v>
      </c>
      <c r="K996" t="b">
        <v>0</v>
      </c>
      <c r="L996" s="10">
        <v>11</v>
      </c>
      <c r="M996" t="b">
        <v>0</v>
      </c>
      <c r="N996" t="s">
        <v>8271</v>
      </c>
      <c r="O996" s="11">
        <f t="shared" si="64"/>
        <v>2</v>
      </c>
      <c r="P996" s="12">
        <f t="shared" si="65"/>
        <v>424</v>
      </c>
      <c r="Q996" s="14" t="s">
        <v>8316</v>
      </c>
      <c r="R996" t="s">
        <v>8318</v>
      </c>
      <c r="S996" s="17">
        <f t="shared" si="66"/>
        <v>41921.263078703705</v>
      </c>
      <c r="T996" s="17">
        <f t="shared" si="67"/>
        <v>41973.957638888889</v>
      </c>
      <c r="U996">
        <f>MONTH(Table1[[#This Row],[Launched]])</f>
        <v>10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8220</v>
      </c>
      <c r="G997" t="s">
        <v>8223</v>
      </c>
      <c r="H997" t="s">
        <v>8245</v>
      </c>
      <c r="I997" s="8">
        <v>1417276800</v>
      </c>
      <c r="J997">
        <v>1415140480</v>
      </c>
      <c r="K997" t="b">
        <v>0</v>
      </c>
      <c r="L997" s="10">
        <v>9</v>
      </c>
      <c r="M997" t="b">
        <v>0</v>
      </c>
      <c r="N997" t="s">
        <v>8271</v>
      </c>
      <c r="O997" s="11">
        <f t="shared" si="64"/>
        <v>7</v>
      </c>
      <c r="P997" s="12">
        <f t="shared" si="65"/>
        <v>81</v>
      </c>
      <c r="Q997" s="14" t="s">
        <v>8316</v>
      </c>
      <c r="R997" t="s">
        <v>8318</v>
      </c>
      <c r="S997" s="17">
        <f t="shared" si="66"/>
        <v>41947.940740740742</v>
      </c>
      <c r="T997" s="17">
        <f t="shared" si="67"/>
        <v>41972.666666666672</v>
      </c>
      <c r="U997">
        <f>MONTH(Table1[[#This Row],[Launched]])</f>
        <v>11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8220</v>
      </c>
      <c r="G998" t="s">
        <v>8223</v>
      </c>
      <c r="H998" t="s">
        <v>8245</v>
      </c>
      <c r="I998" s="8">
        <v>1406474820</v>
      </c>
      <c r="J998">
        <v>1403902060</v>
      </c>
      <c r="K998" t="b">
        <v>0</v>
      </c>
      <c r="L998" s="10">
        <v>5</v>
      </c>
      <c r="M998" t="b">
        <v>0</v>
      </c>
      <c r="N998" t="s">
        <v>8271</v>
      </c>
      <c r="O998" s="11">
        <f t="shared" si="64"/>
        <v>2</v>
      </c>
      <c r="P998" s="12">
        <f t="shared" si="65"/>
        <v>13</v>
      </c>
      <c r="Q998" s="14" t="s">
        <v>8316</v>
      </c>
      <c r="R998" t="s">
        <v>8318</v>
      </c>
      <c r="S998" s="17">
        <f t="shared" si="66"/>
        <v>41817.866435185184</v>
      </c>
      <c r="T998" s="17">
        <f t="shared" si="67"/>
        <v>41847.643750000003</v>
      </c>
      <c r="U998">
        <f>MONTH(Table1[[#This Row],[Launched]])</f>
        <v>6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8220</v>
      </c>
      <c r="G999" t="s">
        <v>8223</v>
      </c>
      <c r="H999" t="s">
        <v>8245</v>
      </c>
      <c r="I999" s="8">
        <v>1417145297</v>
      </c>
      <c r="J999">
        <v>1414549697</v>
      </c>
      <c r="K999" t="b">
        <v>0</v>
      </c>
      <c r="L999" s="10">
        <v>8</v>
      </c>
      <c r="M999" t="b">
        <v>0</v>
      </c>
      <c r="N999" t="s">
        <v>8271</v>
      </c>
      <c r="O999" s="11">
        <f t="shared" si="64"/>
        <v>1</v>
      </c>
      <c r="P999" s="12">
        <f t="shared" si="65"/>
        <v>8</v>
      </c>
      <c r="Q999" s="14" t="s">
        <v>8316</v>
      </c>
      <c r="R999" t="s">
        <v>8318</v>
      </c>
      <c r="S999" s="17">
        <f t="shared" si="66"/>
        <v>41941.10297453704</v>
      </c>
      <c r="T999" s="17">
        <f t="shared" si="67"/>
        <v>41971.144641203704</v>
      </c>
      <c r="U999">
        <f>MONTH(Table1[[#This Row],[Launched]])</f>
        <v>10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 s="8">
        <v>1447909401</v>
      </c>
      <c r="J1000">
        <v>1444017801</v>
      </c>
      <c r="K1000" t="b">
        <v>0</v>
      </c>
      <c r="L1000" s="10">
        <v>229</v>
      </c>
      <c r="M1000" t="b">
        <v>0</v>
      </c>
      <c r="N1000" t="s">
        <v>8271</v>
      </c>
      <c r="O1000" s="11">
        <f t="shared" si="64"/>
        <v>59</v>
      </c>
      <c r="P1000" s="12">
        <f t="shared" si="65"/>
        <v>153</v>
      </c>
      <c r="Q1000" s="14" t="s">
        <v>8316</v>
      </c>
      <c r="R1000" t="s">
        <v>8318</v>
      </c>
      <c r="S1000" s="17">
        <f t="shared" si="66"/>
        <v>42282.168993055559</v>
      </c>
      <c r="T1000" s="17">
        <f t="shared" si="67"/>
        <v>42327.210659722223</v>
      </c>
      <c r="U1000">
        <f>MONTH(Table1[[#This Row],[Launched]])</f>
        <v>10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 s="8">
        <v>1415865720</v>
      </c>
      <c r="J1001">
        <v>1413270690</v>
      </c>
      <c r="K1001" t="b">
        <v>0</v>
      </c>
      <c r="L1001" s="10">
        <v>40</v>
      </c>
      <c r="M1001" t="b">
        <v>0</v>
      </c>
      <c r="N1001" t="s">
        <v>8271</v>
      </c>
      <c r="O1001" s="11">
        <f t="shared" si="64"/>
        <v>8</v>
      </c>
      <c r="P1001" s="12">
        <f t="shared" si="65"/>
        <v>292</v>
      </c>
      <c r="Q1001" s="14" t="s">
        <v>8316</v>
      </c>
      <c r="R1001" t="s">
        <v>8318</v>
      </c>
      <c r="S1001" s="17">
        <f t="shared" si="66"/>
        <v>41926.29965277778</v>
      </c>
      <c r="T1001" s="17">
        <f t="shared" si="67"/>
        <v>41956.334722222222</v>
      </c>
      <c r="U1001">
        <f>MONTH(Table1[[#This Row],[Launched]])</f>
        <v>10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 s="8">
        <v>1489537560</v>
      </c>
      <c r="J1002">
        <v>1484357160</v>
      </c>
      <c r="K1002" t="b">
        <v>0</v>
      </c>
      <c r="L1002" s="10">
        <v>6</v>
      </c>
      <c r="M1002" t="b">
        <v>0</v>
      </c>
      <c r="N1002" t="s">
        <v>8271</v>
      </c>
      <c r="O1002" s="11">
        <f t="shared" si="64"/>
        <v>2</v>
      </c>
      <c r="P1002" s="12">
        <f t="shared" si="65"/>
        <v>3304</v>
      </c>
      <c r="Q1002" s="14" t="s">
        <v>8316</v>
      </c>
      <c r="R1002" t="s">
        <v>8318</v>
      </c>
      <c r="S1002" s="17">
        <f t="shared" si="66"/>
        <v>42749.059722222228</v>
      </c>
      <c r="T1002" s="17">
        <f t="shared" si="67"/>
        <v>42809.018055555556</v>
      </c>
      <c r="U1002">
        <f>MONTH(Table1[[#This Row],[Launched]])</f>
        <v>1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 s="8">
        <v>1485796613</v>
      </c>
      <c r="J1003">
        <v>1481908613</v>
      </c>
      <c r="K1003" t="b">
        <v>0</v>
      </c>
      <c r="L1003" s="10">
        <v>4</v>
      </c>
      <c r="M1003" t="b">
        <v>0</v>
      </c>
      <c r="N1003" t="s">
        <v>8271</v>
      </c>
      <c r="O1003" s="11">
        <f t="shared" si="64"/>
        <v>104</v>
      </c>
      <c r="P1003" s="12">
        <f t="shared" si="65"/>
        <v>1300</v>
      </c>
      <c r="Q1003" s="14" t="s">
        <v>8316</v>
      </c>
      <c r="R1003" t="s">
        <v>8318</v>
      </c>
      <c r="S1003" s="17">
        <f t="shared" si="66"/>
        <v>42720.720057870371</v>
      </c>
      <c r="T1003" s="17">
        <f t="shared" si="67"/>
        <v>42765.720057870371</v>
      </c>
      <c r="U1003">
        <f>MONTH(Table1[[#This Row],[Launched]])</f>
        <v>12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 s="8">
        <v>1450331940</v>
      </c>
      <c r="J1004">
        <v>1447777514</v>
      </c>
      <c r="K1004" t="b">
        <v>0</v>
      </c>
      <c r="L1004" s="10">
        <v>22</v>
      </c>
      <c r="M1004" t="b">
        <v>0</v>
      </c>
      <c r="N1004" t="s">
        <v>8271</v>
      </c>
      <c r="O1004" s="11">
        <f t="shared" si="64"/>
        <v>30</v>
      </c>
      <c r="P1004" s="12">
        <f t="shared" si="65"/>
        <v>135</v>
      </c>
      <c r="Q1004" s="14" t="s">
        <v>8316</v>
      </c>
      <c r="R1004" t="s">
        <v>8318</v>
      </c>
      <c r="S1004" s="17">
        <f t="shared" si="66"/>
        <v>42325.684189814812</v>
      </c>
      <c r="T1004" s="17">
        <f t="shared" si="67"/>
        <v>42355.249305555553</v>
      </c>
      <c r="U1004">
        <f>MONTH(Table1[[#This Row],[Launched]])</f>
        <v>11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 s="8">
        <v>1489680061</v>
      </c>
      <c r="J1005">
        <v>1487091661</v>
      </c>
      <c r="K1005" t="b">
        <v>0</v>
      </c>
      <c r="L1005" s="10">
        <v>15</v>
      </c>
      <c r="M1005" t="b">
        <v>0</v>
      </c>
      <c r="N1005" t="s">
        <v>8271</v>
      </c>
      <c r="O1005" s="11">
        <f t="shared" si="64"/>
        <v>16</v>
      </c>
      <c r="P1005" s="12">
        <f t="shared" si="65"/>
        <v>214</v>
      </c>
      <c r="Q1005" s="14" t="s">
        <v>8316</v>
      </c>
      <c r="R1005" t="s">
        <v>8318</v>
      </c>
      <c r="S1005" s="17">
        <f t="shared" si="66"/>
        <v>42780.709039351852</v>
      </c>
      <c r="T1005" s="17">
        <f t="shared" si="67"/>
        <v>42810.667372685188</v>
      </c>
      <c r="U1005">
        <f>MONTH(Table1[[#This Row],[Launched]])</f>
        <v>2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 s="8">
        <v>1455814827</v>
      </c>
      <c r="J1006">
        <v>1453222827</v>
      </c>
      <c r="K1006" t="b">
        <v>0</v>
      </c>
      <c r="L1006" s="10">
        <v>95</v>
      </c>
      <c r="M1006" t="b">
        <v>0</v>
      </c>
      <c r="N1006" t="s">
        <v>8271</v>
      </c>
      <c r="O1006" s="11">
        <f t="shared" si="64"/>
        <v>82</v>
      </c>
      <c r="P1006" s="12">
        <f t="shared" si="65"/>
        <v>216</v>
      </c>
      <c r="Q1006" s="14" t="s">
        <v>8316</v>
      </c>
      <c r="R1006" t="s">
        <v>8318</v>
      </c>
      <c r="S1006" s="17">
        <f t="shared" si="66"/>
        <v>42388.708645833336</v>
      </c>
      <c r="T1006" s="17">
        <f t="shared" si="67"/>
        <v>42418.708645833336</v>
      </c>
      <c r="U1006">
        <f>MONTH(Table1[[#This Row],[Launched]])</f>
        <v>1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 s="8">
        <v>1446217183</v>
      </c>
      <c r="J1007">
        <v>1443538783</v>
      </c>
      <c r="K1007" t="b">
        <v>0</v>
      </c>
      <c r="L1007" s="10">
        <v>161</v>
      </c>
      <c r="M1007" t="b">
        <v>0</v>
      </c>
      <c r="N1007" t="s">
        <v>8271</v>
      </c>
      <c r="O1007" s="11">
        <f t="shared" si="64"/>
        <v>75</v>
      </c>
      <c r="P1007" s="12">
        <f t="shared" si="65"/>
        <v>932</v>
      </c>
      <c r="Q1007" s="14" t="s">
        <v>8316</v>
      </c>
      <c r="R1007" t="s">
        <v>8318</v>
      </c>
      <c r="S1007" s="17">
        <f t="shared" si="66"/>
        <v>42276.624803240738</v>
      </c>
      <c r="T1007" s="17">
        <f t="shared" si="67"/>
        <v>42307.624803240738</v>
      </c>
      <c r="U1007">
        <f>MONTH(Table1[[#This Row],[Launched]])</f>
        <v>9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8219</v>
      </c>
      <c r="G1008" t="s">
        <v>8223</v>
      </c>
      <c r="H1008" t="s">
        <v>8245</v>
      </c>
      <c r="I1008" s="8">
        <v>1418368260</v>
      </c>
      <c r="J1008">
        <v>1417654672</v>
      </c>
      <c r="K1008" t="b">
        <v>0</v>
      </c>
      <c r="L1008" s="10">
        <v>8</v>
      </c>
      <c r="M1008" t="b">
        <v>0</v>
      </c>
      <c r="N1008" t="s">
        <v>8271</v>
      </c>
      <c r="O1008" s="11">
        <f t="shared" si="64"/>
        <v>6</v>
      </c>
      <c r="P1008" s="12">
        <f t="shared" si="65"/>
        <v>29</v>
      </c>
      <c r="Q1008" s="14" t="s">
        <v>8316</v>
      </c>
      <c r="R1008" t="s">
        <v>8318</v>
      </c>
      <c r="S1008" s="17">
        <f t="shared" si="66"/>
        <v>41977.040185185186</v>
      </c>
      <c r="T1008" s="17">
        <f t="shared" si="67"/>
        <v>41985.299305555556</v>
      </c>
      <c r="U1008">
        <f>MONTH(Table1[[#This Row],[Launched]])</f>
        <v>12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 s="8">
        <v>1481727623</v>
      </c>
      <c r="J1009">
        <v>1478095223</v>
      </c>
      <c r="K1009" t="b">
        <v>0</v>
      </c>
      <c r="L1009" s="10">
        <v>76</v>
      </c>
      <c r="M1009" t="b">
        <v>0</v>
      </c>
      <c r="N1009" t="s">
        <v>8271</v>
      </c>
      <c r="O1009" s="11">
        <f t="shared" si="64"/>
        <v>44</v>
      </c>
      <c r="P1009" s="12">
        <f t="shared" si="65"/>
        <v>175</v>
      </c>
      <c r="Q1009" s="14" t="s">
        <v>8316</v>
      </c>
      <c r="R1009" t="s">
        <v>8318</v>
      </c>
      <c r="S1009" s="17">
        <f t="shared" si="66"/>
        <v>42676.583599537036</v>
      </c>
      <c r="T1009" s="17">
        <f t="shared" si="67"/>
        <v>42718.6252662037</v>
      </c>
      <c r="U1009">
        <f>MONTH(Table1[[#This Row],[Launched]])</f>
        <v>11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 s="8">
        <v>1482953115</v>
      </c>
      <c r="J1010">
        <v>1480361115</v>
      </c>
      <c r="K1010" t="b">
        <v>0</v>
      </c>
      <c r="L1010" s="10">
        <v>1</v>
      </c>
      <c r="M1010" t="b">
        <v>0</v>
      </c>
      <c r="N1010" t="s">
        <v>8271</v>
      </c>
      <c r="O1010" s="11">
        <f t="shared" si="64"/>
        <v>0</v>
      </c>
      <c r="P1010" s="12">
        <f t="shared" si="65"/>
        <v>250</v>
      </c>
      <c r="Q1010" s="14" t="s">
        <v>8316</v>
      </c>
      <c r="R1010" t="s">
        <v>8318</v>
      </c>
      <c r="S1010" s="17">
        <f t="shared" si="66"/>
        <v>42702.809201388889</v>
      </c>
      <c r="T1010" s="17">
        <f t="shared" si="67"/>
        <v>42732.809201388889</v>
      </c>
      <c r="U1010">
        <f>MONTH(Table1[[#This Row],[Launched]])</f>
        <v>11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 s="8">
        <v>1466346646</v>
      </c>
      <c r="J1011">
        <v>1463754646</v>
      </c>
      <c r="K1011" t="b">
        <v>0</v>
      </c>
      <c r="L1011" s="10">
        <v>101</v>
      </c>
      <c r="M1011" t="b">
        <v>0</v>
      </c>
      <c r="N1011" t="s">
        <v>8271</v>
      </c>
      <c r="O1011" s="11">
        <f t="shared" si="64"/>
        <v>13</v>
      </c>
      <c r="P1011" s="12">
        <f t="shared" si="65"/>
        <v>65</v>
      </c>
      <c r="Q1011" s="14" t="s">
        <v>8316</v>
      </c>
      <c r="R1011" t="s">
        <v>8318</v>
      </c>
      <c r="S1011" s="17">
        <f t="shared" si="66"/>
        <v>42510.604699074072</v>
      </c>
      <c r="T1011" s="17">
        <f t="shared" si="67"/>
        <v>42540.604699074072</v>
      </c>
      <c r="U1011">
        <f>MONTH(Table1[[#This Row],[Launched]])</f>
        <v>5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 s="8">
        <v>1473044340</v>
      </c>
      <c r="J1012">
        <v>1468180462</v>
      </c>
      <c r="K1012" t="b">
        <v>0</v>
      </c>
      <c r="L1012" s="10">
        <v>4</v>
      </c>
      <c r="M1012" t="b">
        <v>0</v>
      </c>
      <c r="N1012" t="s">
        <v>8271</v>
      </c>
      <c r="O1012" s="11">
        <f t="shared" si="64"/>
        <v>0</v>
      </c>
      <c r="P1012" s="12">
        <f t="shared" si="65"/>
        <v>55</v>
      </c>
      <c r="Q1012" s="14" t="s">
        <v>8316</v>
      </c>
      <c r="R1012" t="s">
        <v>8318</v>
      </c>
      <c r="S1012" s="17">
        <f t="shared" si="66"/>
        <v>42561.829421296294</v>
      </c>
      <c r="T1012" s="17">
        <f t="shared" si="67"/>
        <v>42618.124305555553</v>
      </c>
      <c r="U1012">
        <f>MONTH(Table1[[#This Row],[Launched]])</f>
        <v>7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8219</v>
      </c>
      <c r="G1013" t="s">
        <v>8223</v>
      </c>
      <c r="H1013" t="s">
        <v>8245</v>
      </c>
      <c r="I1013" s="8">
        <v>1418938395</v>
      </c>
      <c r="J1013">
        <v>1415050395</v>
      </c>
      <c r="K1013" t="b">
        <v>0</v>
      </c>
      <c r="L1013" s="10">
        <v>1</v>
      </c>
      <c r="M1013" t="b">
        <v>0</v>
      </c>
      <c r="N1013" t="s">
        <v>8271</v>
      </c>
      <c r="O1013" s="11">
        <f t="shared" si="64"/>
        <v>0</v>
      </c>
      <c r="P1013" s="12">
        <f t="shared" si="65"/>
        <v>75</v>
      </c>
      <c r="Q1013" s="14" t="s">
        <v>8316</v>
      </c>
      <c r="R1013" t="s">
        <v>8318</v>
      </c>
      <c r="S1013" s="17">
        <f t="shared" si="66"/>
        <v>41946.898090277777</v>
      </c>
      <c r="T1013" s="17">
        <f t="shared" si="67"/>
        <v>41991.898090277777</v>
      </c>
      <c r="U1013">
        <f>MONTH(Table1[[#This Row],[Launched]])</f>
        <v>11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 s="8">
        <v>1485254052</v>
      </c>
      <c r="J1014">
        <v>1481366052</v>
      </c>
      <c r="K1014" t="b">
        <v>0</v>
      </c>
      <c r="L1014" s="10">
        <v>775</v>
      </c>
      <c r="M1014" t="b">
        <v>0</v>
      </c>
      <c r="N1014" t="s">
        <v>8271</v>
      </c>
      <c r="O1014" s="11">
        <f t="shared" si="64"/>
        <v>21535</v>
      </c>
      <c r="P1014" s="12">
        <f t="shared" si="65"/>
        <v>1389</v>
      </c>
      <c r="Q1014" s="14" t="s">
        <v>8316</v>
      </c>
      <c r="R1014" t="s">
        <v>8318</v>
      </c>
      <c r="S1014" s="17">
        <f t="shared" si="66"/>
        <v>42714.440416666665</v>
      </c>
      <c r="T1014" s="17">
        <f t="shared" si="67"/>
        <v>42759.440416666665</v>
      </c>
      <c r="U1014">
        <f>MONTH(Table1[[#This Row],[Launched]])</f>
        <v>12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 s="8">
        <v>1451419200</v>
      </c>
      <c r="J1015">
        <v>1449000056</v>
      </c>
      <c r="K1015" t="b">
        <v>0</v>
      </c>
      <c r="L1015" s="10">
        <v>90</v>
      </c>
      <c r="M1015" t="b">
        <v>0</v>
      </c>
      <c r="N1015" t="s">
        <v>8271</v>
      </c>
      <c r="O1015" s="11">
        <f t="shared" si="64"/>
        <v>35</v>
      </c>
      <c r="P1015" s="12">
        <f t="shared" si="65"/>
        <v>96</v>
      </c>
      <c r="Q1015" s="14" t="s">
        <v>8316</v>
      </c>
      <c r="R1015" t="s">
        <v>8318</v>
      </c>
      <c r="S1015" s="17">
        <f t="shared" si="66"/>
        <v>42339.833981481483</v>
      </c>
      <c r="T1015" s="17">
        <f t="shared" si="67"/>
        <v>42367.833333333328</v>
      </c>
      <c r="U1015">
        <f>MONTH(Table1[[#This Row],[Launched]])</f>
        <v>12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 s="8">
        <v>1420070615</v>
      </c>
      <c r="J1016">
        <v>1415750615</v>
      </c>
      <c r="K1016" t="b">
        <v>0</v>
      </c>
      <c r="L1016" s="10">
        <v>16</v>
      </c>
      <c r="M1016" t="b">
        <v>0</v>
      </c>
      <c r="N1016" t="s">
        <v>8271</v>
      </c>
      <c r="O1016" s="11">
        <f t="shared" si="64"/>
        <v>31</v>
      </c>
      <c r="P1016" s="12">
        <f t="shared" si="65"/>
        <v>191</v>
      </c>
      <c r="Q1016" s="14" t="s">
        <v>8316</v>
      </c>
      <c r="R1016" t="s">
        <v>8318</v>
      </c>
      <c r="S1016" s="17">
        <f t="shared" si="66"/>
        <v>41955.002488425926</v>
      </c>
      <c r="T1016" s="17">
        <f t="shared" si="67"/>
        <v>42005.002488425926</v>
      </c>
      <c r="U1016">
        <f>MONTH(Table1[[#This Row],[Launched]])</f>
        <v>11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8219</v>
      </c>
      <c r="G1017" t="s">
        <v>8239</v>
      </c>
      <c r="H1017" t="s">
        <v>8256</v>
      </c>
      <c r="I1017" s="8">
        <v>1448489095</v>
      </c>
      <c r="J1017">
        <v>1445893495</v>
      </c>
      <c r="K1017" t="b">
        <v>0</v>
      </c>
      <c r="L1017" s="10">
        <v>6</v>
      </c>
      <c r="M1017" t="b">
        <v>0</v>
      </c>
      <c r="N1017" t="s">
        <v>8271</v>
      </c>
      <c r="O1017" s="11">
        <f t="shared" si="64"/>
        <v>3</v>
      </c>
      <c r="P1017" s="12">
        <f t="shared" si="65"/>
        <v>40</v>
      </c>
      <c r="Q1017" s="14" t="s">
        <v>8316</v>
      </c>
      <c r="R1017" t="s">
        <v>8318</v>
      </c>
      <c r="S1017" s="17">
        <f t="shared" si="66"/>
        <v>42303.878414351857</v>
      </c>
      <c r="T1017" s="17">
        <f t="shared" si="67"/>
        <v>42333.920081018514</v>
      </c>
      <c r="U1017">
        <f>MONTH(Table1[[#This Row],[Launched]])</f>
        <v>10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 s="8">
        <v>1459992856</v>
      </c>
      <c r="J1018">
        <v>1456108456</v>
      </c>
      <c r="K1018" t="b">
        <v>0</v>
      </c>
      <c r="L1018" s="10">
        <v>38</v>
      </c>
      <c r="M1018" t="b">
        <v>0</v>
      </c>
      <c r="N1018" t="s">
        <v>8271</v>
      </c>
      <c r="O1018" s="11">
        <f t="shared" si="64"/>
        <v>3</v>
      </c>
      <c r="P1018" s="12">
        <f t="shared" si="65"/>
        <v>75</v>
      </c>
      <c r="Q1018" s="14" t="s">
        <v>8316</v>
      </c>
      <c r="R1018" t="s">
        <v>8318</v>
      </c>
      <c r="S1018" s="17">
        <f t="shared" si="66"/>
        <v>42422.107129629629</v>
      </c>
      <c r="T1018" s="17">
        <f t="shared" si="67"/>
        <v>42467.065462962957</v>
      </c>
      <c r="U1018">
        <f>MONTH(Table1[[#This Row],[Launched]])</f>
        <v>2</v>
      </c>
    </row>
    <row r="1019" spans="1:21" ht="57.6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 s="8">
        <v>1448125935</v>
      </c>
      <c r="J1019">
        <v>1444666335</v>
      </c>
      <c r="K1019" t="b">
        <v>0</v>
      </c>
      <c r="L1019" s="10">
        <v>355</v>
      </c>
      <c r="M1019" t="b">
        <v>0</v>
      </c>
      <c r="N1019" t="s">
        <v>8271</v>
      </c>
      <c r="O1019" s="11">
        <f t="shared" si="64"/>
        <v>23</v>
      </c>
      <c r="P1019" s="12">
        <f t="shared" si="65"/>
        <v>161</v>
      </c>
      <c r="Q1019" s="14" t="s">
        <v>8316</v>
      </c>
      <c r="R1019" t="s">
        <v>8318</v>
      </c>
      <c r="S1019" s="17">
        <f t="shared" si="66"/>
        <v>42289.675173611111</v>
      </c>
      <c r="T1019" s="17">
        <f t="shared" si="67"/>
        <v>42329.716840277775</v>
      </c>
      <c r="U1019">
        <f>MONTH(Table1[[#This Row],[Launched]])</f>
        <v>10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 s="8">
        <v>1468496933</v>
      </c>
      <c r="J1020">
        <v>1465904933</v>
      </c>
      <c r="K1020" t="b">
        <v>0</v>
      </c>
      <c r="L1020" s="10">
        <v>7</v>
      </c>
      <c r="M1020" t="b">
        <v>0</v>
      </c>
      <c r="N1020" t="s">
        <v>8271</v>
      </c>
      <c r="O1020" s="11">
        <f t="shared" si="64"/>
        <v>3</v>
      </c>
      <c r="P1020" s="12">
        <f t="shared" si="65"/>
        <v>89</v>
      </c>
      <c r="Q1020" s="14" t="s">
        <v>8316</v>
      </c>
      <c r="R1020" t="s">
        <v>8318</v>
      </c>
      <c r="S1020" s="17">
        <f t="shared" si="66"/>
        <v>42535.492280092592</v>
      </c>
      <c r="T1020" s="17">
        <f t="shared" si="67"/>
        <v>42565.492280092592</v>
      </c>
      <c r="U1020">
        <f>MONTH(Table1[[#This Row],[Launched]])</f>
        <v>6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 s="8">
        <v>1423092149</v>
      </c>
      <c r="J1021">
        <v>1420500149</v>
      </c>
      <c r="K1021" t="b">
        <v>0</v>
      </c>
      <c r="L1021" s="10">
        <v>400</v>
      </c>
      <c r="M1021" t="b">
        <v>0</v>
      </c>
      <c r="N1021" t="s">
        <v>8271</v>
      </c>
      <c r="O1021" s="11">
        <f t="shared" si="64"/>
        <v>47</v>
      </c>
      <c r="P1021" s="12">
        <f t="shared" si="65"/>
        <v>53</v>
      </c>
      <c r="Q1021" s="14" t="s">
        <v>8316</v>
      </c>
      <c r="R1021" t="s">
        <v>8318</v>
      </c>
      <c r="S1021" s="17">
        <f t="shared" si="66"/>
        <v>42009.973946759259</v>
      </c>
      <c r="T1021" s="17">
        <f t="shared" si="67"/>
        <v>42039.973946759259</v>
      </c>
      <c r="U1021">
        <f>MONTH(Table1[[#This Row],[Launched]])</f>
        <v>1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 s="8">
        <v>1433206020</v>
      </c>
      <c r="J1022">
        <v>1430617209</v>
      </c>
      <c r="K1022" t="b">
        <v>0</v>
      </c>
      <c r="L1022" s="10">
        <v>30</v>
      </c>
      <c r="M1022" t="b">
        <v>1</v>
      </c>
      <c r="N1022" t="s">
        <v>8278</v>
      </c>
      <c r="O1022" s="11">
        <f t="shared" si="64"/>
        <v>206</v>
      </c>
      <c r="P1022" s="12">
        <f t="shared" si="65"/>
        <v>106</v>
      </c>
      <c r="Q1022" s="14" t="s">
        <v>8322</v>
      </c>
      <c r="R1022" t="s">
        <v>8327</v>
      </c>
      <c r="S1022" s="17">
        <f t="shared" si="66"/>
        <v>42127.069548611107</v>
      </c>
      <c r="T1022" s="17">
        <f t="shared" si="67"/>
        <v>42157.032638888893</v>
      </c>
      <c r="U1022">
        <f>MONTH(Table1[[#This Row],[Launched]])</f>
        <v>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 s="8">
        <v>1445054400</v>
      </c>
      <c r="J1023">
        <v>1443074571</v>
      </c>
      <c r="K1023" t="b">
        <v>1</v>
      </c>
      <c r="L1023" s="10">
        <v>478</v>
      </c>
      <c r="M1023" t="b">
        <v>1</v>
      </c>
      <c r="N1023" t="s">
        <v>8278</v>
      </c>
      <c r="O1023" s="11">
        <f t="shared" si="64"/>
        <v>352</v>
      </c>
      <c r="P1023" s="12">
        <f t="shared" si="65"/>
        <v>22</v>
      </c>
      <c r="Q1023" s="14" t="s">
        <v>8322</v>
      </c>
      <c r="R1023" t="s">
        <v>8327</v>
      </c>
      <c r="S1023" s="17">
        <f t="shared" si="66"/>
        <v>42271.251979166671</v>
      </c>
      <c r="T1023" s="17">
        <f t="shared" si="67"/>
        <v>42294.166666666672</v>
      </c>
      <c r="U1023">
        <f>MONTH(Table1[[#This Row],[Launched]])</f>
        <v>9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 s="8">
        <v>1431876677</v>
      </c>
      <c r="J1024">
        <v>1429284677</v>
      </c>
      <c r="K1024" t="b">
        <v>1</v>
      </c>
      <c r="L1024" s="10">
        <v>74</v>
      </c>
      <c r="M1024" t="b">
        <v>1</v>
      </c>
      <c r="N1024" t="s">
        <v>8278</v>
      </c>
      <c r="O1024" s="11">
        <f t="shared" si="64"/>
        <v>115</v>
      </c>
      <c r="P1024" s="12">
        <f t="shared" si="65"/>
        <v>31</v>
      </c>
      <c r="Q1024" s="14" t="s">
        <v>8322</v>
      </c>
      <c r="R1024" t="s">
        <v>8327</v>
      </c>
      <c r="S1024" s="17">
        <f t="shared" si="66"/>
        <v>42111.646724537044</v>
      </c>
      <c r="T1024" s="17">
        <f t="shared" si="67"/>
        <v>42141.646724537044</v>
      </c>
      <c r="U1024">
        <f>MONTH(Table1[[#This Row],[Launched]])</f>
        <v>4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 s="8">
        <v>1434837861</v>
      </c>
      <c r="J1025">
        <v>1432245861</v>
      </c>
      <c r="K1025" t="b">
        <v>0</v>
      </c>
      <c r="L1025" s="10">
        <v>131</v>
      </c>
      <c r="M1025" t="b">
        <v>1</v>
      </c>
      <c r="N1025" t="s">
        <v>8278</v>
      </c>
      <c r="O1025" s="11">
        <f t="shared" si="64"/>
        <v>237</v>
      </c>
      <c r="P1025" s="12">
        <f t="shared" si="65"/>
        <v>36</v>
      </c>
      <c r="Q1025" s="14" t="s">
        <v>8322</v>
      </c>
      <c r="R1025" t="s">
        <v>8327</v>
      </c>
      <c r="S1025" s="17">
        <f t="shared" si="66"/>
        <v>42145.919687500005</v>
      </c>
      <c r="T1025" s="17">
        <f t="shared" si="67"/>
        <v>42175.919687500005</v>
      </c>
      <c r="U1025">
        <f>MONTH(Table1[[#This Row],[Launched]])</f>
        <v>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 s="8">
        <v>1454248563</v>
      </c>
      <c r="J1026">
        <v>1451656563</v>
      </c>
      <c r="K1026" t="b">
        <v>1</v>
      </c>
      <c r="L1026" s="10">
        <v>61</v>
      </c>
      <c r="M1026" t="b">
        <v>1</v>
      </c>
      <c r="N1026" t="s">
        <v>8278</v>
      </c>
      <c r="O1026" s="11">
        <f t="shared" ref="O1026:O1089" si="68">ROUND(E1026/D1026*100,0)</f>
        <v>119</v>
      </c>
      <c r="P1026" s="12">
        <f t="shared" si="65"/>
        <v>389</v>
      </c>
      <c r="Q1026" s="14" t="s">
        <v>8322</v>
      </c>
      <c r="R1026" t="s">
        <v>8327</v>
      </c>
      <c r="S1026" s="17">
        <f t="shared" si="66"/>
        <v>42370.580590277779</v>
      </c>
      <c r="T1026" s="17">
        <f t="shared" si="67"/>
        <v>42400.580590277779</v>
      </c>
      <c r="U1026">
        <f>MONTH(Table1[[#This Row],[Launched]])</f>
        <v>1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 s="8">
        <v>1426532437</v>
      </c>
      <c r="J1027">
        <v>1423944037</v>
      </c>
      <c r="K1027" t="b">
        <v>1</v>
      </c>
      <c r="L1027" s="10">
        <v>1071</v>
      </c>
      <c r="M1027" t="b">
        <v>1</v>
      </c>
      <c r="N1027" t="s">
        <v>8278</v>
      </c>
      <c r="O1027" s="11">
        <f t="shared" si="68"/>
        <v>110</v>
      </c>
      <c r="P1027" s="12">
        <f t="shared" ref="P1027:P1090" si="69">IFERROR(ROUND(E1027/L1027,),"No Backers")</f>
        <v>72</v>
      </c>
      <c r="Q1027" s="14" t="s">
        <v>8322</v>
      </c>
      <c r="R1027" t="s">
        <v>8327</v>
      </c>
      <c r="S1027" s="17">
        <f t="shared" ref="S1027:S1090" si="70">(((J1027/60)/60)/24)+DATE(1970,1,1)</f>
        <v>42049.833761574075</v>
      </c>
      <c r="T1027" s="17">
        <f t="shared" ref="T1027:T1090" si="71">(((I1027/60)/60)/24)+DATE(1970,1,1)</f>
        <v>42079.792094907403</v>
      </c>
      <c r="U1027">
        <f>MONTH(Table1[[#This Row],[Launched]])</f>
        <v>2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 s="8">
        <v>1459414016</v>
      </c>
      <c r="J1028">
        <v>1456480016</v>
      </c>
      <c r="K1028" t="b">
        <v>1</v>
      </c>
      <c r="L1028" s="10">
        <v>122</v>
      </c>
      <c r="M1028" t="b">
        <v>1</v>
      </c>
      <c r="N1028" t="s">
        <v>8278</v>
      </c>
      <c r="O1028" s="11">
        <f t="shared" si="68"/>
        <v>100</v>
      </c>
      <c r="P1028" s="12">
        <f t="shared" si="69"/>
        <v>57</v>
      </c>
      <c r="Q1028" s="14" t="s">
        <v>8322</v>
      </c>
      <c r="R1028" t="s">
        <v>8327</v>
      </c>
      <c r="S1028" s="17">
        <f t="shared" si="70"/>
        <v>42426.407592592594</v>
      </c>
      <c r="T1028" s="17">
        <f t="shared" si="71"/>
        <v>42460.365925925929</v>
      </c>
      <c r="U1028">
        <f>MONTH(Table1[[#This Row],[Launched]])</f>
        <v>2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 s="8">
        <v>1414025347</v>
      </c>
      <c r="J1029">
        <v>1411433347</v>
      </c>
      <c r="K1029" t="b">
        <v>1</v>
      </c>
      <c r="L1029" s="10">
        <v>111</v>
      </c>
      <c r="M1029" t="b">
        <v>1</v>
      </c>
      <c r="N1029" t="s">
        <v>8278</v>
      </c>
      <c r="O1029" s="11">
        <f t="shared" si="68"/>
        <v>103</v>
      </c>
      <c r="P1029" s="12">
        <f t="shared" si="69"/>
        <v>70</v>
      </c>
      <c r="Q1029" s="14" t="s">
        <v>8322</v>
      </c>
      <c r="R1029" t="s">
        <v>8327</v>
      </c>
      <c r="S1029" s="17">
        <f t="shared" si="70"/>
        <v>41905.034108796295</v>
      </c>
      <c r="T1029" s="17">
        <f t="shared" si="71"/>
        <v>41935.034108796295</v>
      </c>
      <c r="U1029">
        <f>MONTH(Table1[[#This Row],[Launched]])</f>
        <v>9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 s="8">
        <v>1488830400</v>
      </c>
      <c r="J1030">
        <v>1484924605</v>
      </c>
      <c r="K1030" t="b">
        <v>1</v>
      </c>
      <c r="L1030" s="10">
        <v>255</v>
      </c>
      <c r="M1030" t="b">
        <v>1</v>
      </c>
      <c r="N1030" t="s">
        <v>8278</v>
      </c>
      <c r="O1030" s="11">
        <f t="shared" si="68"/>
        <v>117</v>
      </c>
      <c r="P1030" s="12">
        <f t="shared" si="69"/>
        <v>46</v>
      </c>
      <c r="Q1030" s="14" t="s">
        <v>8322</v>
      </c>
      <c r="R1030" t="s">
        <v>8327</v>
      </c>
      <c r="S1030" s="17">
        <f t="shared" si="70"/>
        <v>42755.627372685187</v>
      </c>
      <c r="T1030" s="17">
        <f t="shared" si="71"/>
        <v>42800.833333333328</v>
      </c>
      <c r="U1030">
        <f>MONTH(Table1[[#This Row],[Launched]])</f>
        <v>1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 s="8">
        <v>1428184740</v>
      </c>
      <c r="J1031">
        <v>1423501507</v>
      </c>
      <c r="K1031" t="b">
        <v>0</v>
      </c>
      <c r="L1031" s="10">
        <v>141</v>
      </c>
      <c r="M1031" t="b">
        <v>1</v>
      </c>
      <c r="N1031" t="s">
        <v>8278</v>
      </c>
      <c r="O1031" s="11">
        <f t="shared" si="68"/>
        <v>112</v>
      </c>
      <c r="P1031" s="12">
        <f t="shared" si="69"/>
        <v>79</v>
      </c>
      <c r="Q1031" s="14" t="s">
        <v>8322</v>
      </c>
      <c r="R1031" t="s">
        <v>8327</v>
      </c>
      <c r="S1031" s="17">
        <f t="shared" si="70"/>
        <v>42044.711886574078</v>
      </c>
      <c r="T1031" s="17">
        <f t="shared" si="71"/>
        <v>42098.915972222225</v>
      </c>
      <c r="U1031">
        <f>MONTH(Table1[[#This Row],[Launched]])</f>
        <v>2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 s="8">
        <v>1473680149</v>
      </c>
      <c r="J1032">
        <v>1472470549</v>
      </c>
      <c r="K1032" t="b">
        <v>0</v>
      </c>
      <c r="L1032" s="10">
        <v>159</v>
      </c>
      <c r="M1032" t="b">
        <v>1</v>
      </c>
      <c r="N1032" t="s">
        <v>8278</v>
      </c>
      <c r="O1032" s="11">
        <f t="shared" si="68"/>
        <v>342</v>
      </c>
      <c r="P1032" s="12">
        <f t="shared" si="69"/>
        <v>43</v>
      </c>
      <c r="Q1032" s="14" t="s">
        <v>8322</v>
      </c>
      <c r="R1032" t="s">
        <v>8327</v>
      </c>
      <c r="S1032" s="17">
        <f t="shared" si="70"/>
        <v>42611.483206018514</v>
      </c>
      <c r="T1032" s="17">
        <f t="shared" si="71"/>
        <v>42625.483206018514</v>
      </c>
      <c r="U1032">
        <f>MONTH(Table1[[#This Row],[Launched]])</f>
        <v>8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 s="8">
        <v>1450290010</v>
      </c>
      <c r="J1033">
        <v>1447698010</v>
      </c>
      <c r="K1033" t="b">
        <v>0</v>
      </c>
      <c r="L1033" s="10">
        <v>99</v>
      </c>
      <c r="M1033" t="b">
        <v>1</v>
      </c>
      <c r="N1033" t="s">
        <v>8278</v>
      </c>
      <c r="O1033" s="11">
        <f t="shared" si="68"/>
        <v>107</v>
      </c>
      <c r="P1033" s="12">
        <f t="shared" si="69"/>
        <v>108</v>
      </c>
      <c r="Q1033" s="14" t="s">
        <v>8322</v>
      </c>
      <c r="R1033" t="s">
        <v>8327</v>
      </c>
      <c r="S1033" s="17">
        <f t="shared" si="70"/>
        <v>42324.764004629629</v>
      </c>
      <c r="T1033" s="17">
        <f t="shared" si="71"/>
        <v>42354.764004629629</v>
      </c>
      <c r="U1033">
        <f>MONTH(Table1[[#This Row],[Launched]])</f>
        <v>11</v>
      </c>
    </row>
    <row r="1034" spans="1:21" ht="15.6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 s="8">
        <v>1466697625</v>
      </c>
      <c r="J1034">
        <v>1464105625</v>
      </c>
      <c r="K1034" t="b">
        <v>0</v>
      </c>
      <c r="L1034" s="10">
        <v>96</v>
      </c>
      <c r="M1034" t="b">
        <v>1</v>
      </c>
      <c r="N1034" t="s">
        <v>8278</v>
      </c>
      <c r="O1034" s="11">
        <f t="shared" si="68"/>
        <v>108</v>
      </c>
      <c r="P1034" s="12">
        <f t="shared" si="69"/>
        <v>61</v>
      </c>
      <c r="Q1034" s="14" t="s">
        <v>8322</v>
      </c>
      <c r="R1034" t="s">
        <v>8327</v>
      </c>
      <c r="S1034" s="17">
        <f t="shared" si="70"/>
        <v>42514.666956018518</v>
      </c>
      <c r="T1034" s="17">
        <f t="shared" si="71"/>
        <v>42544.666956018518</v>
      </c>
      <c r="U1034">
        <f>MONTH(Table1[[#This Row],[Launched]])</f>
        <v>5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 s="8">
        <v>1481564080</v>
      </c>
      <c r="J1035">
        <v>1479144880</v>
      </c>
      <c r="K1035" t="b">
        <v>0</v>
      </c>
      <c r="L1035" s="10">
        <v>27</v>
      </c>
      <c r="M1035" t="b">
        <v>1</v>
      </c>
      <c r="N1035" t="s">
        <v>8278</v>
      </c>
      <c r="O1035" s="11">
        <f t="shared" si="68"/>
        <v>103</v>
      </c>
      <c r="P1035" s="12">
        <f t="shared" si="69"/>
        <v>51</v>
      </c>
      <c r="Q1035" s="14" t="s">
        <v>8322</v>
      </c>
      <c r="R1035" t="s">
        <v>8327</v>
      </c>
      <c r="S1035" s="17">
        <f t="shared" si="70"/>
        <v>42688.732407407413</v>
      </c>
      <c r="T1035" s="17">
        <f t="shared" si="71"/>
        <v>42716.732407407413</v>
      </c>
      <c r="U1035">
        <f>MONTH(Table1[[#This Row],[Launched]])</f>
        <v>11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 s="8">
        <v>1470369540</v>
      </c>
      <c r="J1036">
        <v>1467604804</v>
      </c>
      <c r="K1036" t="b">
        <v>0</v>
      </c>
      <c r="L1036" s="10">
        <v>166</v>
      </c>
      <c r="M1036" t="b">
        <v>1</v>
      </c>
      <c r="N1036" t="s">
        <v>8278</v>
      </c>
      <c r="O1036" s="11">
        <f t="shared" si="68"/>
        <v>130</v>
      </c>
      <c r="P1036" s="12">
        <f t="shared" si="69"/>
        <v>39</v>
      </c>
      <c r="Q1036" s="14" t="s">
        <v>8322</v>
      </c>
      <c r="R1036" t="s">
        <v>8327</v>
      </c>
      <c r="S1036" s="17">
        <f t="shared" si="70"/>
        <v>42555.166712962964</v>
      </c>
      <c r="T1036" s="17">
        <f t="shared" si="71"/>
        <v>42587.165972222225</v>
      </c>
      <c r="U1036">
        <f>MONTH(Table1[[#This Row],[Launched]])</f>
        <v>7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 s="8">
        <v>1423668220</v>
      </c>
      <c r="J1037">
        <v>1421076220</v>
      </c>
      <c r="K1037" t="b">
        <v>0</v>
      </c>
      <c r="L1037" s="10">
        <v>76</v>
      </c>
      <c r="M1037" t="b">
        <v>1</v>
      </c>
      <c r="N1037" t="s">
        <v>8278</v>
      </c>
      <c r="O1037" s="11">
        <f t="shared" si="68"/>
        <v>108</v>
      </c>
      <c r="P1037" s="12">
        <f t="shared" si="69"/>
        <v>65</v>
      </c>
      <c r="Q1037" s="14" t="s">
        <v>8322</v>
      </c>
      <c r="R1037" t="s">
        <v>8327</v>
      </c>
      <c r="S1037" s="17">
        <f t="shared" si="70"/>
        <v>42016.641435185185</v>
      </c>
      <c r="T1037" s="17">
        <f t="shared" si="71"/>
        <v>42046.641435185185</v>
      </c>
      <c r="U1037">
        <f>MONTH(Table1[[#This Row],[Launched]])</f>
        <v>1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 s="8">
        <v>1357545600</v>
      </c>
      <c r="J1038">
        <v>1354790790</v>
      </c>
      <c r="K1038" t="b">
        <v>0</v>
      </c>
      <c r="L1038" s="10">
        <v>211</v>
      </c>
      <c r="M1038" t="b">
        <v>1</v>
      </c>
      <c r="N1038" t="s">
        <v>8278</v>
      </c>
      <c r="O1038" s="11">
        <f t="shared" si="68"/>
        <v>112</v>
      </c>
      <c r="P1038" s="12">
        <f t="shared" si="69"/>
        <v>24</v>
      </c>
      <c r="Q1038" s="14" t="s">
        <v>8322</v>
      </c>
      <c r="R1038" t="s">
        <v>8327</v>
      </c>
      <c r="S1038" s="17">
        <f t="shared" si="70"/>
        <v>41249.448958333334</v>
      </c>
      <c r="T1038" s="17">
        <f t="shared" si="71"/>
        <v>41281.333333333336</v>
      </c>
      <c r="U1038">
        <f>MONTH(Table1[[#This Row],[Launched]])</f>
        <v>12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 s="8">
        <v>1431925200</v>
      </c>
      <c r="J1039">
        <v>1429991062</v>
      </c>
      <c r="K1039" t="b">
        <v>0</v>
      </c>
      <c r="L1039" s="10">
        <v>21</v>
      </c>
      <c r="M1039" t="b">
        <v>1</v>
      </c>
      <c r="N1039" t="s">
        <v>8278</v>
      </c>
      <c r="O1039" s="11">
        <f t="shared" si="68"/>
        <v>102</v>
      </c>
      <c r="P1039" s="12">
        <f t="shared" si="69"/>
        <v>49</v>
      </c>
      <c r="Q1039" s="14" t="s">
        <v>8322</v>
      </c>
      <c r="R1039" t="s">
        <v>8327</v>
      </c>
      <c r="S1039" s="17">
        <f t="shared" si="70"/>
        <v>42119.822476851856</v>
      </c>
      <c r="T1039" s="17">
        <f t="shared" si="71"/>
        <v>42142.208333333328</v>
      </c>
      <c r="U1039">
        <f>MONTH(Table1[[#This Row],[Launched]])</f>
        <v>4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 s="8">
        <v>1458362023</v>
      </c>
      <c r="J1040">
        <v>1455773623</v>
      </c>
      <c r="K1040" t="b">
        <v>0</v>
      </c>
      <c r="L1040" s="10">
        <v>61</v>
      </c>
      <c r="M1040" t="b">
        <v>1</v>
      </c>
      <c r="N1040" t="s">
        <v>8278</v>
      </c>
      <c r="O1040" s="11">
        <f t="shared" si="68"/>
        <v>145</v>
      </c>
      <c r="P1040" s="12">
        <f t="shared" si="69"/>
        <v>36</v>
      </c>
      <c r="Q1040" s="14" t="s">
        <v>8322</v>
      </c>
      <c r="R1040" t="s">
        <v>8327</v>
      </c>
      <c r="S1040" s="17">
        <f t="shared" si="70"/>
        <v>42418.231747685189</v>
      </c>
      <c r="T1040" s="17">
        <f t="shared" si="71"/>
        <v>42448.190081018518</v>
      </c>
      <c r="U1040">
        <f>MONTH(Table1[[#This Row],[Launched]])</f>
        <v>2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8218</v>
      </c>
      <c r="G1041" t="s">
        <v>8223</v>
      </c>
      <c r="H1041" t="s">
        <v>8245</v>
      </c>
      <c r="I1041" s="8">
        <v>1481615940</v>
      </c>
      <c r="J1041">
        <v>1479436646</v>
      </c>
      <c r="K1041" t="b">
        <v>0</v>
      </c>
      <c r="L1041" s="10">
        <v>30</v>
      </c>
      <c r="M1041" t="b">
        <v>1</v>
      </c>
      <c r="N1041" t="s">
        <v>8278</v>
      </c>
      <c r="O1041" s="11">
        <f t="shared" si="68"/>
        <v>128</v>
      </c>
      <c r="P1041" s="12">
        <f t="shared" si="69"/>
        <v>21</v>
      </c>
      <c r="Q1041" s="14" t="s">
        <v>8322</v>
      </c>
      <c r="R1041" t="s">
        <v>8327</v>
      </c>
      <c r="S1041" s="17">
        <f t="shared" si="70"/>
        <v>42692.109328703707</v>
      </c>
      <c r="T1041" s="17">
        <f t="shared" si="71"/>
        <v>42717.332638888889</v>
      </c>
      <c r="U1041">
        <f>MONTH(Table1[[#This Row],[Launched]])</f>
        <v>11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 s="8">
        <v>1472317209</v>
      </c>
      <c r="J1042">
        <v>1469725209</v>
      </c>
      <c r="K1042" t="b">
        <v>0</v>
      </c>
      <c r="L1042" s="10">
        <v>1</v>
      </c>
      <c r="M1042" t="b">
        <v>0</v>
      </c>
      <c r="N1042" t="s">
        <v>8279</v>
      </c>
      <c r="O1042" s="11">
        <f t="shared" si="68"/>
        <v>0</v>
      </c>
      <c r="P1042" s="12">
        <f t="shared" si="69"/>
        <v>250</v>
      </c>
      <c r="Q1042" s="14" t="s">
        <v>8328</v>
      </c>
      <c r="R1042" t="s">
        <v>8329</v>
      </c>
      <c r="S1042" s="17">
        <f t="shared" si="70"/>
        <v>42579.708437499998</v>
      </c>
      <c r="T1042" s="17">
        <f t="shared" si="71"/>
        <v>42609.708437499998</v>
      </c>
      <c r="U1042">
        <f>MONTH(Table1[[#This Row],[Launched]])</f>
        <v>7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8219</v>
      </c>
      <c r="G1043" t="s">
        <v>8223</v>
      </c>
      <c r="H1043" t="s">
        <v>8245</v>
      </c>
      <c r="I1043" s="8">
        <v>1406769992</v>
      </c>
      <c r="J1043">
        <v>1405041992</v>
      </c>
      <c r="K1043" t="b">
        <v>0</v>
      </c>
      <c r="L1043" s="10">
        <v>0</v>
      </c>
      <c r="M1043" t="b">
        <v>0</v>
      </c>
      <c r="N1043" t="s">
        <v>8279</v>
      </c>
      <c r="O1043" s="11">
        <f t="shared" si="68"/>
        <v>0</v>
      </c>
      <c r="P1043" s="12" t="str">
        <f t="shared" si="69"/>
        <v>No Backers</v>
      </c>
      <c r="Q1043" s="14" t="s">
        <v>8328</v>
      </c>
      <c r="R1043" t="s">
        <v>8329</v>
      </c>
      <c r="S1043" s="17">
        <f t="shared" si="70"/>
        <v>41831.060092592597</v>
      </c>
      <c r="T1043" s="17">
        <f t="shared" si="71"/>
        <v>41851.060092592597</v>
      </c>
      <c r="U1043">
        <f>MONTH(Table1[[#This Row],[Launched]])</f>
        <v>7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8219</v>
      </c>
      <c r="G1044" t="s">
        <v>8223</v>
      </c>
      <c r="H1044" t="s">
        <v>8245</v>
      </c>
      <c r="I1044" s="8">
        <v>1410516000</v>
      </c>
      <c r="J1044">
        <v>1406824948</v>
      </c>
      <c r="K1044" t="b">
        <v>0</v>
      </c>
      <c r="L1044" s="10">
        <v>1</v>
      </c>
      <c r="M1044" t="b">
        <v>0</v>
      </c>
      <c r="N1044" t="s">
        <v>8279</v>
      </c>
      <c r="O1044" s="11">
        <f t="shared" si="68"/>
        <v>2</v>
      </c>
      <c r="P1044" s="12">
        <f t="shared" si="69"/>
        <v>10</v>
      </c>
      <c r="Q1044" s="14" t="s">
        <v>8328</v>
      </c>
      <c r="R1044" t="s">
        <v>8329</v>
      </c>
      <c r="S1044" s="17">
        <f t="shared" si="70"/>
        <v>41851.696157407408</v>
      </c>
      <c r="T1044" s="17">
        <f t="shared" si="71"/>
        <v>41894.416666666664</v>
      </c>
      <c r="U1044">
        <f>MONTH(Table1[[#This Row],[Launched]])</f>
        <v>7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 s="8">
        <v>1432101855</v>
      </c>
      <c r="J1045">
        <v>1429509855</v>
      </c>
      <c r="K1045" t="b">
        <v>0</v>
      </c>
      <c r="L1045" s="10">
        <v>292</v>
      </c>
      <c r="M1045" t="b">
        <v>0</v>
      </c>
      <c r="N1045" t="s">
        <v>8279</v>
      </c>
      <c r="O1045" s="11">
        <f t="shared" si="68"/>
        <v>9</v>
      </c>
      <c r="P1045" s="12">
        <f t="shared" si="69"/>
        <v>29</v>
      </c>
      <c r="Q1045" s="14" t="s">
        <v>8328</v>
      </c>
      <c r="R1045" t="s">
        <v>8329</v>
      </c>
      <c r="S1045" s="17">
        <f t="shared" si="70"/>
        <v>42114.252951388888</v>
      </c>
      <c r="T1045" s="17">
        <f t="shared" si="71"/>
        <v>42144.252951388888</v>
      </c>
      <c r="U1045">
        <f>MONTH(Table1[[#This Row],[Launched]])</f>
        <v>4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8219</v>
      </c>
      <c r="G1046" t="s">
        <v>8223</v>
      </c>
      <c r="H1046" t="s">
        <v>8245</v>
      </c>
      <c r="I1046" s="8">
        <v>1425587220</v>
      </c>
      <c r="J1046">
        <v>1420668801</v>
      </c>
      <c r="K1046" t="b">
        <v>0</v>
      </c>
      <c r="L1046" s="10">
        <v>2</v>
      </c>
      <c r="M1046" t="b">
        <v>0</v>
      </c>
      <c r="N1046" t="s">
        <v>8279</v>
      </c>
      <c r="O1046" s="11">
        <f t="shared" si="68"/>
        <v>0</v>
      </c>
      <c r="P1046" s="12">
        <f t="shared" si="69"/>
        <v>3</v>
      </c>
      <c r="Q1046" s="14" t="s">
        <v>8328</v>
      </c>
      <c r="R1046" t="s">
        <v>8329</v>
      </c>
      <c r="S1046" s="17">
        <f t="shared" si="70"/>
        <v>42011.925937499997</v>
      </c>
      <c r="T1046" s="17">
        <f t="shared" si="71"/>
        <v>42068.852083333331</v>
      </c>
      <c r="U1046">
        <f>MONTH(Table1[[#This Row],[Launched]])</f>
        <v>1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 s="8">
        <v>1408827550</v>
      </c>
      <c r="J1047">
        <v>1406235550</v>
      </c>
      <c r="K1047" t="b">
        <v>0</v>
      </c>
      <c r="L1047" s="10">
        <v>8</v>
      </c>
      <c r="M1047" t="b">
        <v>0</v>
      </c>
      <c r="N1047" t="s">
        <v>8279</v>
      </c>
      <c r="O1047" s="11">
        <f t="shared" si="68"/>
        <v>3</v>
      </c>
      <c r="P1047" s="12">
        <f t="shared" si="69"/>
        <v>33</v>
      </c>
      <c r="Q1047" s="14" t="s">
        <v>8328</v>
      </c>
      <c r="R1047" t="s">
        <v>8329</v>
      </c>
      <c r="S1047" s="17">
        <f t="shared" si="70"/>
        <v>41844.874421296299</v>
      </c>
      <c r="T1047" s="17">
        <f t="shared" si="71"/>
        <v>41874.874421296299</v>
      </c>
      <c r="U1047">
        <f>MONTH(Table1[[#This Row],[Launched]])</f>
        <v>7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8219</v>
      </c>
      <c r="G1048" t="s">
        <v>8235</v>
      </c>
      <c r="H1048" t="s">
        <v>8248</v>
      </c>
      <c r="I1048" s="8">
        <v>1451161560</v>
      </c>
      <c r="J1048">
        <v>1447273560</v>
      </c>
      <c r="K1048" t="b">
        <v>0</v>
      </c>
      <c r="L1048" s="10">
        <v>0</v>
      </c>
      <c r="M1048" t="b">
        <v>0</v>
      </c>
      <c r="N1048" t="s">
        <v>8279</v>
      </c>
      <c r="O1048" s="11">
        <f t="shared" si="68"/>
        <v>0</v>
      </c>
      <c r="P1048" s="12" t="str">
        <f t="shared" si="69"/>
        <v>No Backers</v>
      </c>
      <c r="Q1048" s="14" t="s">
        <v>8328</v>
      </c>
      <c r="R1048" t="s">
        <v>8329</v>
      </c>
      <c r="S1048" s="17">
        <f t="shared" si="70"/>
        <v>42319.851388888885</v>
      </c>
      <c r="T1048" s="17">
        <f t="shared" si="71"/>
        <v>42364.851388888885</v>
      </c>
      <c r="U1048">
        <f>MONTH(Table1[[#This Row],[Launched]])</f>
        <v>11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8219</v>
      </c>
      <c r="G1049" t="s">
        <v>8223</v>
      </c>
      <c r="H1049" t="s">
        <v>8245</v>
      </c>
      <c r="I1049" s="8">
        <v>1415219915</v>
      </c>
      <c r="J1049">
        <v>1412624315</v>
      </c>
      <c r="K1049" t="b">
        <v>0</v>
      </c>
      <c r="L1049" s="10">
        <v>1</v>
      </c>
      <c r="M1049" t="b">
        <v>0</v>
      </c>
      <c r="N1049" t="s">
        <v>8279</v>
      </c>
      <c r="O1049" s="11">
        <f t="shared" si="68"/>
        <v>0</v>
      </c>
      <c r="P1049" s="12">
        <f t="shared" si="69"/>
        <v>1</v>
      </c>
      <c r="Q1049" s="14" t="s">
        <v>8328</v>
      </c>
      <c r="R1049" t="s">
        <v>8329</v>
      </c>
      <c r="S1049" s="17">
        <f t="shared" si="70"/>
        <v>41918.818460648145</v>
      </c>
      <c r="T1049" s="17">
        <f t="shared" si="71"/>
        <v>41948.860127314816</v>
      </c>
      <c r="U1049">
        <f>MONTH(Table1[[#This Row],[Launched]])</f>
        <v>10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 s="8">
        <v>1474766189</v>
      </c>
      <c r="J1050">
        <v>1471310189</v>
      </c>
      <c r="K1050" t="b">
        <v>0</v>
      </c>
      <c r="L1050" s="10">
        <v>4</v>
      </c>
      <c r="M1050" t="b">
        <v>0</v>
      </c>
      <c r="N1050" t="s">
        <v>8279</v>
      </c>
      <c r="O1050" s="11">
        <f t="shared" si="68"/>
        <v>1</v>
      </c>
      <c r="P1050" s="12">
        <f t="shared" si="69"/>
        <v>53</v>
      </c>
      <c r="Q1050" s="14" t="s">
        <v>8328</v>
      </c>
      <c r="R1050" t="s">
        <v>8329</v>
      </c>
      <c r="S1050" s="17">
        <f t="shared" si="70"/>
        <v>42598.053113425922</v>
      </c>
      <c r="T1050" s="17">
        <f t="shared" si="71"/>
        <v>42638.053113425922</v>
      </c>
      <c r="U1050">
        <f>MONTH(Table1[[#This Row],[Launched]])</f>
        <v>8</v>
      </c>
    </row>
    <row r="1051" spans="1:21" ht="15.6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8219</v>
      </c>
      <c r="G1051" t="s">
        <v>8223</v>
      </c>
      <c r="H1051" t="s">
        <v>8245</v>
      </c>
      <c r="I1051" s="8">
        <v>1455272445</v>
      </c>
      <c r="J1051">
        <v>1452680445</v>
      </c>
      <c r="K1051" t="b">
        <v>0</v>
      </c>
      <c r="L1051" s="10">
        <v>0</v>
      </c>
      <c r="M1051" t="b">
        <v>0</v>
      </c>
      <c r="N1051" t="s">
        <v>8279</v>
      </c>
      <c r="O1051" s="11">
        <f t="shared" si="68"/>
        <v>0</v>
      </c>
      <c r="P1051" s="12" t="str">
        <f t="shared" si="69"/>
        <v>No Backers</v>
      </c>
      <c r="Q1051" s="14" t="s">
        <v>8328</v>
      </c>
      <c r="R1051" t="s">
        <v>8329</v>
      </c>
      <c r="S1051" s="17">
        <f t="shared" si="70"/>
        <v>42382.431076388893</v>
      </c>
      <c r="T1051" s="17">
        <f t="shared" si="71"/>
        <v>42412.431076388893</v>
      </c>
      <c r="U1051">
        <f>MONTH(Table1[[#This Row],[Launched]])</f>
        <v>1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8219</v>
      </c>
      <c r="G1052" t="s">
        <v>8223</v>
      </c>
      <c r="H1052" t="s">
        <v>8245</v>
      </c>
      <c r="I1052" s="8">
        <v>1442257677</v>
      </c>
      <c r="J1052">
        <v>1439665677</v>
      </c>
      <c r="K1052" t="b">
        <v>0</v>
      </c>
      <c r="L1052" s="10">
        <v>0</v>
      </c>
      <c r="M1052" t="b">
        <v>0</v>
      </c>
      <c r="N1052" t="s">
        <v>8279</v>
      </c>
      <c r="O1052" s="11">
        <f t="shared" si="68"/>
        <v>0</v>
      </c>
      <c r="P1052" s="12" t="str">
        <f t="shared" si="69"/>
        <v>No Backers</v>
      </c>
      <c r="Q1052" s="14" t="s">
        <v>8328</v>
      </c>
      <c r="R1052" t="s">
        <v>8329</v>
      </c>
      <c r="S1052" s="17">
        <f t="shared" si="70"/>
        <v>42231.7971875</v>
      </c>
      <c r="T1052" s="17">
        <f t="shared" si="71"/>
        <v>42261.7971875</v>
      </c>
      <c r="U1052">
        <f>MONTH(Table1[[#This Row],[Launched]])</f>
        <v>8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8219</v>
      </c>
      <c r="G1053" t="s">
        <v>8223</v>
      </c>
      <c r="H1053" t="s">
        <v>8245</v>
      </c>
      <c r="I1053" s="8">
        <v>1409098825</v>
      </c>
      <c r="J1053">
        <v>1406679625</v>
      </c>
      <c r="K1053" t="b">
        <v>0</v>
      </c>
      <c r="L1053" s="10">
        <v>0</v>
      </c>
      <c r="M1053" t="b">
        <v>0</v>
      </c>
      <c r="N1053" t="s">
        <v>8279</v>
      </c>
      <c r="O1053" s="11">
        <f t="shared" si="68"/>
        <v>0</v>
      </c>
      <c r="P1053" s="12" t="str">
        <f t="shared" si="69"/>
        <v>No Backers</v>
      </c>
      <c r="Q1053" s="14" t="s">
        <v>8328</v>
      </c>
      <c r="R1053" t="s">
        <v>8329</v>
      </c>
      <c r="S1053" s="17">
        <f t="shared" si="70"/>
        <v>41850.014178240745</v>
      </c>
      <c r="T1053" s="17">
        <f t="shared" si="71"/>
        <v>41878.014178240745</v>
      </c>
      <c r="U1053">
        <f>MONTH(Table1[[#This Row],[Launched]])</f>
        <v>7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8219</v>
      </c>
      <c r="G1054" t="s">
        <v>8223</v>
      </c>
      <c r="H1054" t="s">
        <v>8245</v>
      </c>
      <c r="I1054" s="8">
        <v>1465243740</v>
      </c>
      <c r="J1054">
        <v>1461438495</v>
      </c>
      <c r="K1054" t="b">
        <v>0</v>
      </c>
      <c r="L1054" s="10">
        <v>0</v>
      </c>
      <c r="M1054" t="b">
        <v>0</v>
      </c>
      <c r="N1054" t="s">
        <v>8279</v>
      </c>
      <c r="O1054" s="11">
        <f t="shared" si="68"/>
        <v>0</v>
      </c>
      <c r="P1054" s="12" t="str">
        <f t="shared" si="69"/>
        <v>No Backers</v>
      </c>
      <c r="Q1054" s="14" t="s">
        <v>8328</v>
      </c>
      <c r="R1054" t="s">
        <v>8329</v>
      </c>
      <c r="S1054" s="17">
        <f t="shared" si="70"/>
        <v>42483.797395833331</v>
      </c>
      <c r="T1054" s="17">
        <f t="shared" si="71"/>
        <v>42527.839583333334</v>
      </c>
      <c r="U1054">
        <f>MONTH(Table1[[#This Row],[Launched]])</f>
        <v>4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8219</v>
      </c>
      <c r="G1055" t="s">
        <v>8223</v>
      </c>
      <c r="H1055" t="s">
        <v>8245</v>
      </c>
      <c r="I1055" s="8">
        <v>1488773332</v>
      </c>
      <c r="J1055">
        <v>1486613332</v>
      </c>
      <c r="K1055" t="b">
        <v>0</v>
      </c>
      <c r="L1055" s="10">
        <v>1</v>
      </c>
      <c r="M1055" t="b">
        <v>0</v>
      </c>
      <c r="N1055" t="s">
        <v>8279</v>
      </c>
      <c r="O1055" s="11">
        <f t="shared" si="68"/>
        <v>1</v>
      </c>
      <c r="P1055" s="12">
        <f t="shared" si="69"/>
        <v>15</v>
      </c>
      <c r="Q1055" s="14" t="s">
        <v>8328</v>
      </c>
      <c r="R1055" t="s">
        <v>8329</v>
      </c>
      <c r="S1055" s="17">
        <f t="shared" si="70"/>
        <v>42775.172824074078</v>
      </c>
      <c r="T1055" s="17">
        <f t="shared" si="71"/>
        <v>42800.172824074078</v>
      </c>
      <c r="U1055">
        <f>MONTH(Table1[[#This Row],[Launched]])</f>
        <v>2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8219</v>
      </c>
      <c r="G1056" t="s">
        <v>8223</v>
      </c>
      <c r="H1056" t="s">
        <v>8245</v>
      </c>
      <c r="I1056" s="8">
        <v>1407708000</v>
      </c>
      <c r="J1056">
        <v>1405110399</v>
      </c>
      <c r="K1056" t="b">
        <v>0</v>
      </c>
      <c r="L1056" s="10">
        <v>0</v>
      </c>
      <c r="M1056" t="b">
        <v>0</v>
      </c>
      <c r="N1056" t="s">
        <v>8279</v>
      </c>
      <c r="O1056" s="11">
        <f t="shared" si="68"/>
        <v>0</v>
      </c>
      <c r="P1056" s="12" t="str">
        <f t="shared" si="69"/>
        <v>No Backers</v>
      </c>
      <c r="Q1056" s="14" t="s">
        <v>8328</v>
      </c>
      <c r="R1056" t="s">
        <v>8329</v>
      </c>
      <c r="S1056" s="17">
        <f t="shared" si="70"/>
        <v>41831.851840277777</v>
      </c>
      <c r="T1056" s="17">
        <f t="shared" si="71"/>
        <v>41861.916666666664</v>
      </c>
      <c r="U1056">
        <f>MONTH(Table1[[#This Row],[Launched]])</f>
        <v>7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8219</v>
      </c>
      <c r="G1057" t="s">
        <v>8223</v>
      </c>
      <c r="H1057" t="s">
        <v>8245</v>
      </c>
      <c r="I1057" s="8">
        <v>1457394545</v>
      </c>
      <c r="J1057">
        <v>1454802545</v>
      </c>
      <c r="K1057" t="b">
        <v>0</v>
      </c>
      <c r="L1057" s="10">
        <v>0</v>
      </c>
      <c r="M1057" t="b">
        <v>0</v>
      </c>
      <c r="N1057" t="s">
        <v>8279</v>
      </c>
      <c r="O1057" s="11">
        <f t="shared" si="68"/>
        <v>0</v>
      </c>
      <c r="P1057" s="12" t="str">
        <f t="shared" si="69"/>
        <v>No Backers</v>
      </c>
      <c r="Q1057" s="14" t="s">
        <v>8328</v>
      </c>
      <c r="R1057" t="s">
        <v>8329</v>
      </c>
      <c r="S1057" s="17">
        <f t="shared" si="70"/>
        <v>42406.992418981477</v>
      </c>
      <c r="T1057" s="17">
        <f t="shared" si="71"/>
        <v>42436.992418981477</v>
      </c>
      <c r="U1057">
        <f>MONTH(Table1[[#This Row],[Launched]])</f>
        <v>2</v>
      </c>
    </row>
    <row r="1058" spans="1:21" ht="57.6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8219</v>
      </c>
      <c r="G1058" t="s">
        <v>8223</v>
      </c>
      <c r="H1058" t="s">
        <v>8245</v>
      </c>
      <c r="I1058" s="8">
        <v>1429892177</v>
      </c>
      <c r="J1058">
        <v>1424711777</v>
      </c>
      <c r="K1058" t="b">
        <v>0</v>
      </c>
      <c r="L1058" s="10">
        <v>0</v>
      </c>
      <c r="M1058" t="b">
        <v>0</v>
      </c>
      <c r="N1058" t="s">
        <v>8279</v>
      </c>
      <c r="O1058" s="11">
        <f t="shared" si="68"/>
        <v>0</v>
      </c>
      <c r="P1058" s="12" t="str">
        <f t="shared" si="69"/>
        <v>No Backers</v>
      </c>
      <c r="Q1058" s="14" t="s">
        <v>8328</v>
      </c>
      <c r="R1058" t="s">
        <v>8329</v>
      </c>
      <c r="S1058" s="17">
        <f t="shared" si="70"/>
        <v>42058.719641203701</v>
      </c>
      <c r="T1058" s="17">
        <f t="shared" si="71"/>
        <v>42118.677974537044</v>
      </c>
      <c r="U1058">
        <f>MONTH(Table1[[#This Row],[Launched]])</f>
        <v>2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8219</v>
      </c>
      <c r="G1059" t="s">
        <v>8223</v>
      </c>
      <c r="H1059" t="s">
        <v>8245</v>
      </c>
      <c r="I1059" s="8">
        <v>1480888483</v>
      </c>
      <c r="J1059">
        <v>1478292883</v>
      </c>
      <c r="K1059" t="b">
        <v>0</v>
      </c>
      <c r="L1059" s="10">
        <v>0</v>
      </c>
      <c r="M1059" t="b">
        <v>0</v>
      </c>
      <c r="N1059" t="s">
        <v>8279</v>
      </c>
      <c r="O1059" s="11">
        <f t="shared" si="68"/>
        <v>0</v>
      </c>
      <c r="P1059" s="12" t="str">
        <f t="shared" si="69"/>
        <v>No Backers</v>
      </c>
      <c r="Q1059" s="14" t="s">
        <v>8328</v>
      </c>
      <c r="R1059" t="s">
        <v>8329</v>
      </c>
      <c r="S1059" s="17">
        <f t="shared" si="70"/>
        <v>42678.871331018512</v>
      </c>
      <c r="T1059" s="17">
        <f t="shared" si="71"/>
        <v>42708.912997685184</v>
      </c>
      <c r="U1059">
        <f>MONTH(Table1[[#This Row],[Launched]])</f>
        <v>11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8219</v>
      </c>
      <c r="G1060" t="s">
        <v>8223</v>
      </c>
      <c r="H1060" t="s">
        <v>8245</v>
      </c>
      <c r="I1060" s="8">
        <v>1427328000</v>
      </c>
      <c r="J1060">
        <v>1423777043</v>
      </c>
      <c r="K1060" t="b">
        <v>0</v>
      </c>
      <c r="L1060" s="10">
        <v>0</v>
      </c>
      <c r="M1060" t="b">
        <v>0</v>
      </c>
      <c r="N1060" t="s">
        <v>8279</v>
      </c>
      <c r="O1060" s="11">
        <f t="shared" si="68"/>
        <v>0</v>
      </c>
      <c r="P1060" s="12" t="str">
        <f t="shared" si="69"/>
        <v>No Backers</v>
      </c>
      <c r="Q1060" s="14" t="s">
        <v>8328</v>
      </c>
      <c r="R1060" t="s">
        <v>8329</v>
      </c>
      <c r="S1060" s="17">
        <f t="shared" si="70"/>
        <v>42047.900960648149</v>
      </c>
      <c r="T1060" s="17">
        <f t="shared" si="71"/>
        <v>42089</v>
      </c>
      <c r="U1060">
        <f>MONTH(Table1[[#This Row],[Launched]])</f>
        <v>2</v>
      </c>
    </row>
    <row r="1061" spans="1:21" ht="15.6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8219</v>
      </c>
      <c r="G1061" t="s">
        <v>8223</v>
      </c>
      <c r="H1061" t="s">
        <v>8245</v>
      </c>
      <c r="I1061" s="8">
        <v>1426269456</v>
      </c>
      <c r="J1061">
        <v>1423681056</v>
      </c>
      <c r="K1061" t="b">
        <v>0</v>
      </c>
      <c r="L1061" s="10">
        <v>0</v>
      </c>
      <c r="M1061" t="b">
        <v>0</v>
      </c>
      <c r="N1061" t="s">
        <v>8279</v>
      </c>
      <c r="O1061" s="11">
        <f t="shared" si="68"/>
        <v>0</v>
      </c>
      <c r="P1061" s="12" t="str">
        <f t="shared" si="69"/>
        <v>No Backers</v>
      </c>
      <c r="Q1061" s="14" t="s">
        <v>8328</v>
      </c>
      <c r="R1061" t="s">
        <v>8329</v>
      </c>
      <c r="S1061" s="17">
        <f t="shared" si="70"/>
        <v>42046.79</v>
      </c>
      <c r="T1061" s="17">
        <f t="shared" si="71"/>
        <v>42076.748333333337</v>
      </c>
      <c r="U1061">
        <f>MONTH(Table1[[#This Row],[Launched]])</f>
        <v>2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8219</v>
      </c>
      <c r="G1062" t="s">
        <v>8223</v>
      </c>
      <c r="H1062" t="s">
        <v>8245</v>
      </c>
      <c r="I1062" s="8">
        <v>1429134893</v>
      </c>
      <c r="J1062">
        <v>1426542893</v>
      </c>
      <c r="K1062" t="b">
        <v>0</v>
      </c>
      <c r="L1062" s="10">
        <v>1</v>
      </c>
      <c r="M1062" t="b">
        <v>0</v>
      </c>
      <c r="N1062" t="s">
        <v>8279</v>
      </c>
      <c r="O1062" s="11">
        <f t="shared" si="68"/>
        <v>1</v>
      </c>
      <c r="P1062" s="12">
        <f t="shared" si="69"/>
        <v>50</v>
      </c>
      <c r="Q1062" s="14" t="s">
        <v>8328</v>
      </c>
      <c r="R1062" t="s">
        <v>8329</v>
      </c>
      <c r="S1062" s="17">
        <f t="shared" si="70"/>
        <v>42079.913113425922</v>
      </c>
      <c r="T1062" s="17">
        <f t="shared" si="71"/>
        <v>42109.913113425922</v>
      </c>
      <c r="U1062">
        <f>MONTH(Table1[[#This Row],[Launched]])</f>
        <v>3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8219</v>
      </c>
      <c r="G1063" t="s">
        <v>8223</v>
      </c>
      <c r="H1063" t="s">
        <v>8245</v>
      </c>
      <c r="I1063" s="8">
        <v>1462150800</v>
      </c>
      <c r="J1063">
        <v>1456987108</v>
      </c>
      <c r="K1063" t="b">
        <v>0</v>
      </c>
      <c r="L1063" s="10">
        <v>0</v>
      </c>
      <c r="M1063" t="b">
        <v>0</v>
      </c>
      <c r="N1063" t="s">
        <v>8279</v>
      </c>
      <c r="O1063" s="11">
        <f t="shared" si="68"/>
        <v>0</v>
      </c>
      <c r="P1063" s="12" t="str">
        <f t="shared" si="69"/>
        <v>No Backers</v>
      </c>
      <c r="Q1063" s="14" t="s">
        <v>8328</v>
      </c>
      <c r="R1063" t="s">
        <v>8329</v>
      </c>
      <c r="S1063" s="17">
        <f t="shared" si="70"/>
        <v>42432.276712962965</v>
      </c>
      <c r="T1063" s="17">
        <f t="shared" si="71"/>
        <v>42492.041666666672</v>
      </c>
      <c r="U1063">
        <f>MONTH(Table1[[#This Row],[Launched]])</f>
        <v>3</v>
      </c>
    </row>
    <row r="1064" spans="1:21" ht="15.6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8219</v>
      </c>
      <c r="G1064" t="s">
        <v>8223</v>
      </c>
      <c r="H1064" t="s">
        <v>8245</v>
      </c>
      <c r="I1064" s="8">
        <v>1468351341</v>
      </c>
      <c r="J1064">
        <v>1467746541</v>
      </c>
      <c r="K1064" t="b">
        <v>0</v>
      </c>
      <c r="L1064" s="10">
        <v>4</v>
      </c>
      <c r="M1064" t="b">
        <v>0</v>
      </c>
      <c r="N1064" t="s">
        <v>8279</v>
      </c>
      <c r="O1064" s="11">
        <f t="shared" si="68"/>
        <v>95</v>
      </c>
      <c r="P1064" s="12">
        <f t="shared" si="69"/>
        <v>48</v>
      </c>
      <c r="Q1064" s="14" t="s">
        <v>8328</v>
      </c>
      <c r="R1064" t="s">
        <v>8329</v>
      </c>
      <c r="S1064" s="17">
        <f t="shared" si="70"/>
        <v>42556.807187500002</v>
      </c>
      <c r="T1064" s="17">
        <f t="shared" si="71"/>
        <v>42563.807187500002</v>
      </c>
      <c r="U1064">
        <f>MONTH(Table1[[#This Row],[Launched]])</f>
        <v>7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8219</v>
      </c>
      <c r="G1065" t="s">
        <v>8223</v>
      </c>
      <c r="H1065" t="s">
        <v>8245</v>
      </c>
      <c r="I1065" s="8">
        <v>1472604262</v>
      </c>
      <c r="J1065">
        <v>1470012262</v>
      </c>
      <c r="K1065" t="b">
        <v>0</v>
      </c>
      <c r="L1065" s="10">
        <v>0</v>
      </c>
      <c r="M1065" t="b">
        <v>0</v>
      </c>
      <c r="N1065" t="s">
        <v>8279</v>
      </c>
      <c r="O1065" s="11">
        <f t="shared" si="68"/>
        <v>0</v>
      </c>
      <c r="P1065" s="12" t="str">
        <f t="shared" si="69"/>
        <v>No Backers</v>
      </c>
      <c r="Q1065" s="14" t="s">
        <v>8328</v>
      </c>
      <c r="R1065" t="s">
        <v>8329</v>
      </c>
      <c r="S1065" s="17">
        <f t="shared" si="70"/>
        <v>42583.030810185184</v>
      </c>
      <c r="T1065" s="17">
        <f t="shared" si="71"/>
        <v>42613.030810185184</v>
      </c>
      <c r="U1065">
        <f>MONTH(Table1[[#This Row],[Launched]])</f>
        <v>8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 s="8">
        <v>1373174903</v>
      </c>
      <c r="J1066">
        <v>1369286903</v>
      </c>
      <c r="K1066" t="b">
        <v>0</v>
      </c>
      <c r="L1066" s="10">
        <v>123</v>
      </c>
      <c r="M1066" t="b">
        <v>0</v>
      </c>
      <c r="N1066" t="s">
        <v>8280</v>
      </c>
      <c r="O1066" s="11">
        <f t="shared" si="68"/>
        <v>9</v>
      </c>
      <c r="P1066" s="12">
        <f t="shared" si="69"/>
        <v>66</v>
      </c>
      <c r="Q1066" s="14" t="s">
        <v>8330</v>
      </c>
      <c r="R1066" t="s">
        <v>8331</v>
      </c>
      <c r="S1066" s="17">
        <f t="shared" si="70"/>
        <v>41417.228043981479</v>
      </c>
      <c r="T1066" s="17">
        <f t="shared" si="71"/>
        <v>41462.228043981479</v>
      </c>
      <c r="U1066">
        <f>MONTH(Table1[[#This Row],[Launched]])</f>
        <v>5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8220</v>
      </c>
      <c r="G1067" t="s">
        <v>8225</v>
      </c>
      <c r="H1067" t="s">
        <v>8247</v>
      </c>
      <c r="I1067" s="8">
        <v>1392800922</v>
      </c>
      <c r="J1067">
        <v>1390381722</v>
      </c>
      <c r="K1067" t="b">
        <v>0</v>
      </c>
      <c r="L1067" s="10">
        <v>5</v>
      </c>
      <c r="M1067" t="b">
        <v>0</v>
      </c>
      <c r="N1067" t="s">
        <v>8280</v>
      </c>
      <c r="O1067" s="11">
        <f t="shared" si="68"/>
        <v>3</v>
      </c>
      <c r="P1067" s="12">
        <f t="shared" si="69"/>
        <v>16</v>
      </c>
      <c r="Q1067" s="14" t="s">
        <v>8330</v>
      </c>
      <c r="R1067" t="s">
        <v>8331</v>
      </c>
      <c r="S1067" s="17">
        <f t="shared" si="70"/>
        <v>41661.381041666667</v>
      </c>
      <c r="T1067" s="17">
        <f t="shared" si="71"/>
        <v>41689.381041666667</v>
      </c>
      <c r="U1067">
        <f>MONTH(Table1[[#This Row],[Launched]])</f>
        <v>1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 s="8">
        <v>1375657582</v>
      </c>
      <c r="J1068">
        <v>1371769582</v>
      </c>
      <c r="K1068" t="b">
        <v>0</v>
      </c>
      <c r="L1068" s="10">
        <v>148</v>
      </c>
      <c r="M1068" t="b">
        <v>0</v>
      </c>
      <c r="N1068" t="s">
        <v>8280</v>
      </c>
      <c r="O1068" s="11">
        <f t="shared" si="68"/>
        <v>3</v>
      </c>
      <c r="P1068" s="12">
        <f t="shared" si="69"/>
        <v>34</v>
      </c>
      <c r="Q1068" s="14" t="s">
        <v>8330</v>
      </c>
      <c r="R1068" t="s">
        <v>8331</v>
      </c>
      <c r="S1068" s="17">
        <f t="shared" si="70"/>
        <v>41445.962754629632</v>
      </c>
      <c r="T1068" s="17">
        <f t="shared" si="71"/>
        <v>41490.962754629632</v>
      </c>
      <c r="U1068">
        <f>MONTH(Table1[[#This Row],[Launched]])</f>
        <v>6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8220</v>
      </c>
      <c r="G1069" t="s">
        <v>8223</v>
      </c>
      <c r="H1069" t="s">
        <v>8245</v>
      </c>
      <c r="I1069" s="8">
        <v>1387657931</v>
      </c>
      <c r="J1069">
        <v>1385065931</v>
      </c>
      <c r="K1069" t="b">
        <v>0</v>
      </c>
      <c r="L1069" s="10">
        <v>10</v>
      </c>
      <c r="M1069" t="b">
        <v>0</v>
      </c>
      <c r="N1069" t="s">
        <v>8280</v>
      </c>
      <c r="O1069" s="11">
        <f t="shared" si="68"/>
        <v>26</v>
      </c>
      <c r="P1069" s="12">
        <f t="shared" si="69"/>
        <v>13</v>
      </c>
      <c r="Q1069" s="14" t="s">
        <v>8330</v>
      </c>
      <c r="R1069" t="s">
        <v>8331</v>
      </c>
      <c r="S1069" s="17">
        <f t="shared" si="70"/>
        <v>41599.855682870373</v>
      </c>
      <c r="T1069" s="17">
        <f t="shared" si="71"/>
        <v>41629.855682870373</v>
      </c>
      <c r="U1069">
        <f>MONTH(Table1[[#This Row],[Launched]])</f>
        <v>11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8220</v>
      </c>
      <c r="G1070" t="s">
        <v>8223</v>
      </c>
      <c r="H1070" t="s">
        <v>8245</v>
      </c>
      <c r="I1070" s="8">
        <v>1460274864</v>
      </c>
      <c r="J1070">
        <v>1457686464</v>
      </c>
      <c r="K1070" t="b">
        <v>0</v>
      </c>
      <c r="L1070" s="10">
        <v>4</v>
      </c>
      <c r="M1070" t="b">
        <v>0</v>
      </c>
      <c r="N1070" t="s">
        <v>8280</v>
      </c>
      <c r="O1070" s="11">
        <f t="shared" si="68"/>
        <v>0</v>
      </c>
      <c r="P1070" s="12">
        <f t="shared" si="69"/>
        <v>11</v>
      </c>
      <c r="Q1070" s="14" t="s">
        <v>8330</v>
      </c>
      <c r="R1070" t="s">
        <v>8331</v>
      </c>
      <c r="S1070" s="17">
        <f t="shared" si="70"/>
        <v>42440.371111111104</v>
      </c>
      <c r="T1070" s="17">
        <f t="shared" si="71"/>
        <v>42470.329444444447</v>
      </c>
      <c r="U1070">
        <f>MONTH(Table1[[#This Row],[Launched]])</f>
        <v>3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8220</v>
      </c>
      <c r="G1071" t="s">
        <v>8223</v>
      </c>
      <c r="H1071" t="s">
        <v>8245</v>
      </c>
      <c r="I1071" s="8">
        <v>1385447459</v>
      </c>
      <c r="J1071">
        <v>1382679059</v>
      </c>
      <c r="K1071" t="b">
        <v>0</v>
      </c>
      <c r="L1071" s="10">
        <v>21</v>
      </c>
      <c r="M1071" t="b">
        <v>0</v>
      </c>
      <c r="N1071" t="s">
        <v>8280</v>
      </c>
      <c r="O1071" s="11">
        <f t="shared" si="68"/>
        <v>39</v>
      </c>
      <c r="P1071" s="12">
        <f t="shared" si="69"/>
        <v>40</v>
      </c>
      <c r="Q1071" s="14" t="s">
        <v>8330</v>
      </c>
      <c r="R1071" t="s">
        <v>8331</v>
      </c>
      <c r="S1071" s="17">
        <f t="shared" si="70"/>
        <v>41572.229849537034</v>
      </c>
      <c r="T1071" s="17">
        <f t="shared" si="71"/>
        <v>41604.271516203706</v>
      </c>
      <c r="U1071">
        <f>MONTH(Table1[[#This Row],[Launched]])</f>
        <v>10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8220</v>
      </c>
      <c r="G1072" t="s">
        <v>8223</v>
      </c>
      <c r="H1072" t="s">
        <v>8245</v>
      </c>
      <c r="I1072" s="8">
        <v>1349050622</v>
      </c>
      <c r="J1072">
        <v>1347322622</v>
      </c>
      <c r="K1072" t="b">
        <v>0</v>
      </c>
      <c r="L1072" s="10">
        <v>2</v>
      </c>
      <c r="M1072" t="b">
        <v>0</v>
      </c>
      <c r="N1072" t="s">
        <v>8280</v>
      </c>
      <c r="O1072" s="11">
        <f t="shared" si="68"/>
        <v>1</v>
      </c>
      <c r="P1072" s="12">
        <f t="shared" si="69"/>
        <v>35</v>
      </c>
      <c r="Q1072" s="14" t="s">
        <v>8330</v>
      </c>
      <c r="R1072" t="s">
        <v>8331</v>
      </c>
      <c r="S1072" s="17">
        <f t="shared" si="70"/>
        <v>41163.011828703704</v>
      </c>
      <c r="T1072" s="17">
        <f t="shared" si="71"/>
        <v>41183.011828703704</v>
      </c>
      <c r="U1072">
        <f>MONTH(Table1[[#This Row],[Launched]])</f>
        <v>9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8220</v>
      </c>
      <c r="G1073" t="s">
        <v>8233</v>
      </c>
      <c r="H1073" t="s">
        <v>8253</v>
      </c>
      <c r="I1073" s="8">
        <v>1447787093</v>
      </c>
      <c r="J1073">
        <v>1445191493</v>
      </c>
      <c r="K1073" t="b">
        <v>0</v>
      </c>
      <c r="L1073" s="10">
        <v>0</v>
      </c>
      <c r="M1073" t="b">
        <v>0</v>
      </c>
      <c r="N1073" t="s">
        <v>8280</v>
      </c>
      <c r="O1073" s="11">
        <f t="shared" si="68"/>
        <v>0</v>
      </c>
      <c r="P1073" s="12" t="str">
        <f t="shared" si="69"/>
        <v>No Backers</v>
      </c>
      <c r="Q1073" s="14" t="s">
        <v>8330</v>
      </c>
      <c r="R1073" t="s">
        <v>8331</v>
      </c>
      <c r="S1073" s="17">
        <f t="shared" si="70"/>
        <v>42295.753391203703</v>
      </c>
      <c r="T1073" s="17">
        <f t="shared" si="71"/>
        <v>42325.795057870375</v>
      </c>
      <c r="U1073">
        <f>MONTH(Table1[[#This Row],[Launched]])</f>
        <v>10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8220</v>
      </c>
      <c r="G1074" t="s">
        <v>8223</v>
      </c>
      <c r="H1074" t="s">
        <v>8245</v>
      </c>
      <c r="I1074" s="8">
        <v>1391630297</v>
      </c>
      <c r="J1074">
        <v>1389038297</v>
      </c>
      <c r="K1074" t="b">
        <v>0</v>
      </c>
      <c r="L1074" s="10">
        <v>4</v>
      </c>
      <c r="M1074" t="b">
        <v>0</v>
      </c>
      <c r="N1074" t="s">
        <v>8280</v>
      </c>
      <c r="O1074" s="11">
        <f t="shared" si="68"/>
        <v>0</v>
      </c>
      <c r="P1074" s="12">
        <f t="shared" si="69"/>
        <v>13</v>
      </c>
      <c r="Q1074" s="14" t="s">
        <v>8330</v>
      </c>
      <c r="R1074" t="s">
        <v>8331</v>
      </c>
      <c r="S1074" s="17">
        <f t="shared" si="70"/>
        <v>41645.832141203704</v>
      </c>
      <c r="T1074" s="17">
        <f t="shared" si="71"/>
        <v>41675.832141203704</v>
      </c>
      <c r="U1074">
        <f>MONTH(Table1[[#This Row],[Launched]])</f>
        <v>1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8220</v>
      </c>
      <c r="G1075" t="s">
        <v>8223</v>
      </c>
      <c r="H1075" t="s">
        <v>8245</v>
      </c>
      <c r="I1075" s="8">
        <v>1318806541</v>
      </c>
      <c r="J1075">
        <v>1316214541</v>
      </c>
      <c r="K1075" t="b">
        <v>0</v>
      </c>
      <c r="L1075" s="10">
        <v>1</v>
      </c>
      <c r="M1075" t="b">
        <v>0</v>
      </c>
      <c r="N1075" t="s">
        <v>8280</v>
      </c>
      <c r="O1075" s="11">
        <f t="shared" si="68"/>
        <v>1</v>
      </c>
      <c r="P1075" s="12">
        <f t="shared" si="69"/>
        <v>10</v>
      </c>
      <c r="Q1075" s="14" t="s">
        <v>8330</v>
      </c>
      <c r="R1075" t="s">
        <v>8331</v>
      </c>
      <c r="S1075" s="17">
        <f t="shared" si="70"/>
        <v>40802.964594907404</v>
      </c>
      <c r="T1075" s="17">
        <f t="shared" si="71"/>
        <v>40832.964594907404</v>
      </c>
      <c r="U1075">
        <f>MONTH(Table1[[#This Row],[Launched]])</f>
        <v>9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 s="8">
        <v>1388808545</v>
      </c>
      <c r="J1076">
        <v>1386216545</v>
      </c>
      <c r="K1076" t="b">
        <v>0</v>
      </c>
      <c r="L1076" s="10">
        <v>30</v>
      </c>
      <c r="M1076" t="b">
        <v>0</v>
      </c>
      <c r="N1076" t="s">
        <v>8280</v>
      </c>
      <c r="O1076" s="11">
        <f t="shared" si="68"/>
        <v>6</v>
      </c>
      <c r="P1076" s="12">
        <f t="shared" si="69"/>
        <v>114</v>
      </c>
      <c r="Q1076" s="14" t="s">
        <v>8330</v>
      </c>
      <c r="R1076" t="s">
        <v>8331</v>
      </c>
      <c r="S1076" s="17">
        <f t="shared" si="70"/>
        <v>41613.172974537039</v>
      </c>
      <c r="T1076" s="17">
        <f t="shared" si="71"/>
        <v>41643.172974537039</v>
      </c>
      <c r="U1076">
        <f>MONTH(Table1[[#This Row],[Launched]])</f>
        <v>12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8220</v>
      </c>
      <c r="G1077" t="s">
        <v>8223</v>
      </c>
      <c r="H1077" t="s">
        <v>8245</v>
      </c>
      <c r="I1077" s="8">
        <v>1336340516</v>
      </c>
      <c r="J1077">
        <v>1333748516</v>
      </c>
      <c r="K1077" t="b">
        <v>0</v>
      </c>
      <c r="L1077" s="10">
        <v>3</v>
      </c>
      <c r="M1077" t="b">
        <v>0</v>
      </c>
      <c r="N1077" t="s">
        <v>8280</v>
      </c>
      <c r="O1077" s="11">
        <f t="shared" si="68"/>
        <v>5</v>
      </c>
      <c r="P1077" s="12">
        <f t="shared" si="69"/>
        <v>15</v>
      </c>
      <c r="Q1077" s="14" t="s">
        <v>8330</v>
      </c>
      <c r="R1077" t="s">
        <v>8331</v>
      </c>
      <c r="S1077" s="17">
        <f t="shared" si="70"/>
        <v>41005.904120370367</v>
      </c>
      <c r="T1077" s="17">
        <f t="shared" si="71"/>
        <v>41035.904120370367</v>
      </c>
      <c r="U1077">
        <f>MONTH(Table1[[#This Row],[Launched]])</f>
        <v>4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 s="8">
        <v>1410426250</v>
      </c>
      <c r="J1078">
        <v>1405674250</v>
      </c>
      <c r="K1078" t="b">
        <v>0</v>
      </c>
      <c r="L1078" s="10">
        <v>975</v>
      </c>
      <c r="M1078" t="b">
        <v>0</v>
      </c>
      <c r="N1078" t="s">
        <v>8280</v>
      </c>
      <c r="O1078" s="11">
        <f t="shared" si="68"/>
        <v>63</v>
      </c>
      <c r="P1078" s="12">
        <f t="shared" si="69"/>
        <v>48</v>
      </c>
      <c r="Q1078" s="14" t="s">
        <v>8330</v>
      </c>
      <c r="R1078" t="s">
        <v>8331</v>
      </c>
      <c r="S1078" s="17">
        <f t="shared" si="70"/>
        <v>41838.377893518518</v>
      </c>
      <c r="T1078" s="17">
        <f t="shared" si="71"/>
        <v>41893.377893518518</v>
      </c>
      <c r="U1078">
        <f>MONTH(Table1[[#This Row],[Launched]])</f>
        <v>7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 s="8">
        <v>1452744011</v>
      </c>
      <c r="J1079">
        <v>1450152011</v>
      </c>
      <c r="K1079" t="b">
        <v>0</v>
      </c>
      <c r="L1079" s="10">
        <v>167</v>
      </c>
      <c r="M1079" t="b">
        <v>0</v>
      </c>
      <c r="N1079" t="s">
        <v>8280</v>
      </c>
      <c r="O1079" s="11">
        <f t="shared" si="68"/>
        <v>29</v>
      </c>
      <c r="P1079" s="12">
        <f t="shared" si="69"/>
        <v>44</v>
      </c>
      <c r="Q1079" s="14" t="s">
        <v>8330</v>
      </c>
      <c r="R1079" t="s">
        <v>8331</v>
      </c>
      <c r="S1079" s="17">
        <f t="shared" si="70"/>
        <v>42353.16679398148</v>
      </c>
      <c r="T1079" s="17">
        <f t="shared" si="71"/>
        <v>42383.16679398148</v>
      </c>
      <c r="U1079">
        <f>MONTH(Table1[[#This Row],[Launched]])</f>
        <v>12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8220</v>
      </c>
      <c r="G1080" t="s">
        <v>8223</v>
      </c>
      <c r="H1080" t="s">
        <v>8245</v>
      </c>
      <c r="I1080" s="8">
        <v>1311309721</v>
      </c>
      <c r="J1080">
        <v>1307421721</v>
      </c>
      <c r="K1080" t="b">
        <v>0</v>
      </c>
      <c r="L1080" s="10">
        <v>5</v>
      </c>
      <c r="M1080" t="b">
        <v>0</v>
      </c>
      <c r="N1080" t="s">
        <v>8280</v>
      </c>
      <c r="O1080" s="11">
        <f t="shared" si="68"/>
        <v>8</v>
      </c>
      <c r="P1080" s="12">
        <f t="shared" si="69"/>
        <v>9</v>
      </c>
      <c r="Q1080" s="14" t="s">
        <v>8330</v>
      </c>
      <c r="R1080" t="s">
        <v>8331</v>
      </c>
      <c r="S1080" s="17">
        <f t="shared" si="70"/>
        <v>40701.195844907408</v>
      </c>
      <c r="T1080" s="17">
        <f t="shared" si="71"/>
        <v>40746.195844907408</v>
      </c>
      <c r="U1080">
        <f>MONTH(Table1[[#This Row],[Launched]])</f>
        <v>6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 s="8">
        <v>1463232936</v>
      </c>
      <c r="J1081">
        <v>1461072936</v>
      </c>
      <c r="K1081" t="b">
        <v>0</v>
      </c>
      <c r="L1081" s="10">
        <v>18</v>
      </c>
      <c r="M1081" t="b">
        <v>0</v>
      </c>
      <c r="N1081" t="s">
        <v>8280</v>
      </c>
      <c r="O1081" s="11">
        <f t="shared" si="68"/>
        <v>3</v>
      </c>
      <c r="P1081" s="12">
        <f t="shared" si="69"/>
        <v>38</v>
      </c>
      <c r="Q1081" s="14" t="s">
        <v>8330</v>
      </c>
      <c r="R1081" t="s">
        <v>8331</v>
      </c>
      <c r="S1081" s="17">
        <f t="shared" si="70"/>
        <v>42479.566388888896</v>
      </c>
      <c r="T1081" s="17">
        <f t="shared" si="71"/>
        <v>42504.566388888896</v>
      </c>
      <c r="U1081">
        <f>MONTH(Table1[[#This Row],[Launched]])</f>
        <v>4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 s="8">
        <v>1399778333</v>
      </c>
      <c r="J1082">
        <v>1397186333</v>
      </c>
      <c r="K1082" t="b">
        <v>0</v>
      </c>
      <c r="L1082" s="10">
        <v>98</v>
      </c>
      <c r="M1082" t="b">
        <v>0</v>
      </c>
      <c r="N1082" t="s">
        <v>8280</v>
      </c>
      <c r="O1082" s="11">
        <f t="shared" si="68"/>
        <v>9</v>
      </c>
      <c r="P1082" s="12">
        <f t="shared" si="69"/>
        <v>19</v>
      </c>
      <c r="Q1082" s="14" t="s">
        <v>8330</v>
      </c>
      <c r="R1082" t="s">
        <v>8331</v>
      </c>
      <c r="S1082" s="17">
        <f t="shared" si="70"/>
        <v>41740.138113425928</v>
      </c>
      <c r="T1082" s="17">
        <f t="shared" si="71"/>
        <v>41770.138113425928</v>
      </c>
      <c r="U1082">
        <f>MONTH(Table1[[#This Row],[Launched]])</f>
        <v>4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8220</v>
      </c>
      <c r="G1083" t="s">
        <v>8223</v>
      </c>
      <c r="H1083" t="s">
        <v>8245</v>
      </c>
      <c r="I1083" s="8">
        <v>1422483292</v>
      </c>
      <c r="J1083">
        <v>1419891292</v>
      </c>
      <c r="K1083" t="b">
        <v>0</v>
      </c>
      <c r="L1083" s="10">
        <v>4</v>
      </c>
      <c r="M1083" t="b">
        <v>0</v>
      </c>
      <c r="N1083" t="s">
        <v>8280</v>
      </c>
      <c r="O1083" s="11">
        <f t="shared" si="68"/>
        <v>0</v>
      </c>
      <c r="P1083" s="12">
        <f t="shared" si="69"/>
        <v>3</v>
      </c>
      <c r="Q1083" s="14" t="s">
        <v>8330</v>
      </c>
      <c r="R1083" t="s">
        <v>8331</v>
      </c>
      <c r="S1083" s="17">
        <f t="shared" si="70"/>
        <v>42002.926990740743</v>
      </c>
      <c r="T1083" s="17">
        <f t="shared" si="71"/>
        <v>42032.926990740743</v>
      </c>
      <c r="U1083">
        <f>MONTH(Table1[[#This Row],[Launched]])</f>
        <v>12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8220</v>
      </c>
      <c r="G1084" t="s">
        <v>8223</v>
      </c>
      <c r="H1084" t="s">
        <v>8245</v>
      </c>
      <c r="I1084" s="8">
        <v>1344635088</v>
      </c>
      <c r="J1084">
        <v>1342043088</v>
      </c>
      <c r="K1084" t="b">
        <v>0</v>
      </c>
      <c r="L1084" s="10">
        <v>3</v>
      </c>
      <c r="M1084" t="b">
        <v>0</v>
      </c>
      <c r="N1084" t="s">
        <v>8280</v>
      </c>
      <c r="O1084" s="11">
        <f t="shared" si="68"/>
        <v>1</v>
      </c>
      <c r="P1084" s="12">
        <f t="shared" si="69"/>
        <v>19</v>
      </c>
      <c r="Q1084" s="14" t="s">
        <v>8330</v>
      </c>
      <c r="R1084" t="s">
        <v>8331</v>
      </c>
      <c r="S1084" s="17">
        <f t="shared" si="70"/>
        <v>41101.906111111115</v>
      </c>
      <c r="T1084" s="17">
        <f t="shared" si="71"/>
        <v>41131.906111111115</v>
      </c>
      <c r="U1084">
        <f>MONTH(Table1[[#This Row],[Launched]])</f>
        <v>7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 s="8">
        <v>1406994583</v>
      </c>
      <c r="J1085">
        <v>1401810583</v>
      </c>
      <c r="K1085" t="b">
        <v>0</v>
      </c>
      <c r="L1085" s="10">
        <v>1</v>
      </c>
      <c r="M1085" t="b">
        <v>0</v>
      </c>
      <c r="N1085" t="s">
        <v>8280</v>
      </c>
      <c r="O1085" s="11">
        <f t="shared" si="68"/>
        <v>1</v>
      </c>
      <c r="P1085" s="12">
        <f t="shared" si="69"/>
        <v>410</v>
      </c>
      <c r="Q1085" s="14" t="s">
        <v>8330</v>
      </c>
      <c r="R1085" t="s">
        <v>8331</v>
      </c>
      <c r="S1085" s="17">
        <f t="shared" si="70"/>
        <v>41793.659525462965</v>
      </c>
      <c r="T1085" s="17">
        <f t="shared" si="71"/>
        <v>41853.659525462965</v>
      </c>
      <c r="U1085">
        <f>MONTH(Table1[[#This Row],[Launched]])</f>
        <v>6</v>
      </c>
    </row>
    <row r="1086" spans="1:21" ht="15.6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8220</v>
      </c>
      <c r="G1086" t="s">
        <v>8223</v>
      </c>
      <c r="H1086" t="s">
        <v>8245</v>
      </c>
      <c r="I1086" s="8">
        <v>1407534804</v>
      </c>
      <c r="J1086">
        <v>1404942804</v>
      </c>
      <c r="K1086" t="b">
        <v>0</v>
      </c>
      <c r="L1086" s="10">
        <v>0</v>
      </c>
      <c r="M1086" t="b">
        <v>0</v>
      </c>
      <c r="N1086" t="s">
        <v>8280</v>
      </c>
      <c r="O1086" s="11">
        <f t="shared" si="68"/>
        <v>0</v>
      </c>
      <c r="P1086" s="12" t="str">
        <f t="shared" si="69"/>
        <v>No Backers</v>
      </c>
      <c r="Q1086" s="14" t="s">
        <v>8330</v>
      </c>
      <c r="R1086" t="s">
        <v>8331</v>
      </c>
      <c r="S1086" s="17">
        <f t="shared" si="70"/>
        <v>41829.912083333329</v>
      </c>
      <c r="T1086" s="17">
        <f t="shared" si="71"/>
        <v>41859.912083333329</v>
      </c>
      <c r="U1086">
        <f>MONTH(Table1[[#This Row],[Launched]])</f>
        <v>7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 s="8">
        <v>1457967975</v>
      </c>
      <c r="J1087">
        <v>1455379575</v>
      </c>
      <c r="K1087" t="b">
        <v>0</v>
      </c>
      <c r="L1087" s="10">
        <v>9</v>
      </c>
      <c r="M1087" t="b">
        <v>0</v>
      </c>
      <c r="N1087" t="s">
        <v>8280</v>
      </c>
      <c r="O1087" s="11">
        <f t="shared" si="68"/>
        <v>3</v>
      </c>
      <c r="P1087" s="12">
        <f t="shared" si="69"/>
        <v>114</v>
      </c>
      <c r="Q1087" s="14" t="s">
        <v>8330</v>
      </c>
      <c r="R1087" t="s">
        <v>8331</v>
      </c>
      <c r="S1087" s="17">
        <f t="shared" si="70"/>
        <v>42413.671006944445</v>
      </c>
      <c r="T1087" s="17">
        <f t="shared" si="71"/>
        <v>42443.629340277781</v>
      </c>
      <c r="U1087">
        <f>MONTH(Table1[[#This Row],[Launched]])</f>
        <v>2</v>
      </c>
    </row>
    <row r="1088" spans="1:21" ht="15.6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8220</v>
      </c>
      <c r="G1088" t="s">
        <v>8223</v>
      </c>
      <c r="H1088" t="s">
        <v>8245</v>
      </c>
      <c r="I1088" s="8">
        <v>1408913291</v>
      </c>
      <c r="J1088">
        <v>1406321291</v>
      </c>
      <c r="K1088" t="b">
        <v>0</v>
      </c>
      <c r="L1088" s="10">
        <v>2</v>
      </c>
      <c r="M1088" t="b">
        <v>0</v>
      </c>
      <c r="N1088" t="s">
        <v>8280</v>
      </c>
      <c r="O1088" s="11">
        <f t="shared" si="68"/>
        <v>0</v>
      </c>
      <c r="P1088" s="12">
        <f t="shared" si="69"/>
        <v>8</v>
      </c>
      <c r="Q1088" s="14" t="s">
        <v>8330</v>
      </c>
      <c r="R1088" t="s">
        <v>8331</v>
      </c>
      <c r="S1088" s="17">
        <f t="shared" si="70"/>
        <v>41845.866793981484</v>
      </c>
      <c r="T1088" s="17">
        <f t="shared" si="71"/>
        <v>41875.866793981484</v>
      </c>
      <c r="U1088">
        <f>MONTH(Table1[[#This Row],[Launched]])</f>
        <v>7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8220</v>
      </c>
      <c r="G1089" t="s">
        <v>8223</v>
      </c>
      <c r="H1089" t="s">
        <v>8245</v>
      </c>
      <c r="I1089" s="8">
        <v>1402852087</v>
      </c>
      <c r="J1089">
        <v>1400260087</v>
      </c>
      <c r="K1089" t="b">
        <v>0</v>
      </c>
      <c r="L1089" s="10">
        <v>0</v>
      </c>
      <c r="M1089" t="b">
        <v>0</v>
      </c>
      <c r="N1089" t="s">
        <v>8280</v>
      </c>
      <c r="O1089" s="11">
        <f t="shared" si="68"/>
        <v>0</v>
      </c>
      <c r="P1089" s="12" t="str">
        <f t="shared" si="69"/>
        <v>No Backers</v>
      </c>
      <c r="Q1089" s="14" t="s">
        <v>8330</v>
      </c>
      <c r="R1089" t="s">
        <v>8331</v>
      </c>
      <c r="S1089" s="17">
        <f t="shared" si="70"/>
        <v>41775.713969907411</v>
      </c>
      <c r="T1089" s="17">
        <f t="shared" si="71"/>
        <v>41805.713969907411</v>
      </c>
      <c r="U1089">
        <f>MONTH(Table1[[#This Row],[Launched]])</f>
        <v>5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 s="8">
        <v>1398366667</v>
      </c>
      <c r="J1090">
        <v>1395774667</v>
      </c>
      <c r="K1090" t="b">
        <v>0</v>
      </c>
      <c r="L1090" s="10">
        <v>147</v>
      </c>
      <c r="M1090" t="b">
        <v>0</v>
      </c>
      <c r="N1090" t="s">
        <v>8280</v>
      </c>
      <c r="O1090" s="11">
        <f t="shared" ref="O1090:O1153" si="72">ROUND(E1090/D1090*100,0)</f>
        <v>14</v>
      </c>
      <c r="P1090" s="12">
        <f t="shared" si="69"/>
        <v>43</v>
      </c>
      <c r="Q1090" s="14" t="s">
        <v>8330</v>
      </c>
      <c r="R1090" t="s">
        <v>8331</v>
      </c>
      <c r="S1090" s="17">
        <f t="shared" si="70"/>
        <v>41723.799386574072</v>
      </c>
      <c r="T1090" s="17">
        <f t="shared" si="71"/>
        <v>41753.799386574072</v>
      </c>
      <c r="U1090">
        <f>MONTH(Table1[[#This Row],[Launched]])</f>
        <v>3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 s="8">
        <v>1435293175</v>
      </c>
      <c r="J1091">
        <v>1432701175</v>
      </c>
      <c r="K1091" t="b">
        <v>0</v>
      </c>
      <c r="L1091" s="10">
        <v>49</v>
      </c>
      <c r="M1091" t="b">
        <v>0</v>
      </c>
      <c r="N1091" t="s">
        <v>8280</v>
      </c>
      <c r="O1091" s="11">
        <f t="shared" si="72"/>
        <v>8</v>
      </c>
      <c r="P1091" s="12">
        <f t="shared" ref="P1091:P1154" si="73">IFERROR(ROUND(E1091/L1091,),"No Backers")</f>
        <v>24</v>
      </c>
      <c r="Q1091" s="14" t="s">
        <v>8330</v>
      </c>
      <c r="R1091" t="s">
        <v>8331</v>
      </c>
      <c r="S1091" s="17">
        <f t="shared" ref="S1091:S1154" si="74">(((J1091/60)/60)/24)+DATE(1970,1,1)</f>
        <v>42151.189525462964</v>
      </c>
      <c r="T1091" s="17">
        <f t="shared" ref="T1091:T1154" si="75">(((I1091/60)/60)/24)+DATE(1970,1,1)</f>
        <v>42181.189525462964</v>
      </c>
      <c r="U1091">
        <f>MONTH(Table1[[#This Row],[Launched]])</f>
        <v>5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8220</v>
      </c>
      <c r="G1092" t="s">
        <v>8225</v>
      </c>
      <c r="H1092" t="s">
        <v>8247</v>
      </c>
      <c r="I1092" s="8">
        <v>1432873653</v>
      </c>
      <c r="J1092">
        <v>1430281653</v>
      </c>
      <c r="K1092" t="b">
        <v>0</v>
      </c>
      <c r="L1092" s="10">
        <v>1</v>
      </c>
      <c r="M1092" t="b">
        <v>0</v>
      </c>
      <c r="N1092" t="s">
        <v>8280</v>
      </c>
      <c r="O1092" s="11">
        <f t="shared" si="72"/>
        <v>0</v>
      </c>
      <c r="P1092" s="12">
        <f t="shared" si="73"/>
        <v>5</v>
      </c>
      <c r="Q1092" s="14" t="s">
        <v>8330</v>
      </c>
      <c r="R1092" t="s">
        <v>8331</v>
      </c>
      <c r="S1092" s="17">
        <f t="shared" si="74"/>
        <v>42123.185798611114</v>
      </c>
      <c r="T1092" s="17">
        <f t="shared" si="75"/>
        <v>42153.185798611114</v>
      </c>
      <c r="U1092">
        <f>MONTH(Table1[[#This Row],[Launched]])</f>
        <v>4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8220</v>
      </c>
      <c r="G1093" t="s">
        <v>8224</v>
      </c>
      <c r="H1093" t="s">
        <v>8246</v>
      </c>
      <c r="I1093" s="8">
        <v>1460313672</v>
      </c>
      <c r="J1093">
        <v>1457725272</v>
      </c>
      <c r="K1093" t="b">
        <v>0</v>
      </c>
      <c r="L1093" s="10">
        <v>2</v>
      </c>
      <c r="M1093" t="b">
        <v>0</v>
      </c>
      <c r="N1093" t="s">
        <v>8280</v>
      </c>
      <c r="O1093" s="11">
        <f t="shared" si="72"/>
        <v>13</v>
      </c>
      <c r="P1093" s="12">
        <f t="shared" si="73"/>
        <v>13</v>
      </c>
      <c r="Q1093" s="14" t="s">
        <v>8330</v>
      </c>
      <c r="R1093" t="s">
        <v>8331</v>
      </c>
      <c r="S1093" s="17">
        <f t="shared" si="74"/>
        <v>42440.820277777777</v>
      </c>
      <c r="T1093" s="17">
        <f t="shared" si="75"/>
        <v>42470.778611111105</v>
      </c>
      <c r="U1093">
        <f>MONTH(Table1[[#This Row],[Launched]])</f>
        <v>3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8220</v>
      </c>
      <c r="G1094" t="s">
        <v>8223</v>
      </c>
      <c r="H1094" t="s">
        <v>8245</v>
      </c>
      <c r="I1094" s="8">
        <v>1357432638</v>
      </c>
      <c r="J1094">
        <v>1354840638</v>
      </c>
      <c r="K1094" t="b">
        <v>0</v>
      </c>
      <c r="L1094" s="10">
        <v>7</v>
      </c>
      <c r="M1094" t="b">
        <v>0</v>
      </c>
      <c r="N1094" t="s">
        <v>8280</v>
      </c>
      <c r="O1094" s="11">
        <f t="shared" si="72"/>
        <v>1</v>
      </c>
      <c r="P1094" s="12">
        <f t="shared" si="73"/>
        <v>3</v>
      </c>
      <c r="Q1094" s="14" t="s">
        <v>8330</v>
      </c>
      <c r="R1094" t="s">
        <v>8331</v>
      </c>
      <c r="S1094" s="17">
        <f t="shared" si="74"/>
        <v>41250.025902777779</v>
      </c>
      <c r="T1094" s="17">
        <f t="shared" si="75"/>
        <v>41280.025902777779</v>
      </c>
      <c r="U1094">
        <f>MONTH(Table1[[#This Row],[Launched]])</f>
        <v>12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 s="8">
        <v>1455232937</v>
      </c>
      <c r="J1095">
        <v>1453936937</v>
      </c>
      <c r="K1095" t="b">
        <v>0</v>
      </c>
      <c r="L1095" s="10">
        <v>4</v>
      </c>
      <c r="M1095" t="b">
        <v>0</v>
      </c>
      <c r="N1095" t="s">
        <v>8280</v>
      </c>
      <c r="O1095" s="11">
        <f t="shared" si="72"/>
        <v>14</v>
      </c>
      <c r="P1095" s="12">
        <f t="shared" si="73"/>
        <v>11</v>
      </c>
      <c r="Q1095" s="14" t="s">
        <v>8330</v>
      </c>
      <c r="R1095" t="s">
        <v>8331</v>
      </c>
      <c r="S1095" s="17">
        <f t="shared" si="74"/>
        <v>42396.973807870367</v>
      </c>
      <c r="T1095" s="17">
        <f t="shared" si="75"/>
        <v>42411.973807870367</v>
      </c>
      <c r="U1095">
        <f>MONTH(Table1[[#This Row],[Launched]])</f>
        <v>1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 s="8">
        <v>1318180033</v>
      </c>
      <c r="J1096">
        <v>1315588033</v>
      </c>
      <c r="K1096" t="b">
        <v>0</v>
      </c>
      <c r="L1096" s="10">
        <v>27</v>
      </c>
      <c r="M1096" t="b">
        <v>0</v>
      </c>
      <c r="N1096" t="s">
        <v>8280</v>
      </c>
      <c r="O1096" s="11">
        <f t="shared" si="72"/>
        <v>18</v>
      </c>
      <c r="P1096" s="12">
        <f t="shared" si="73"/>
        <v>122</v>
      </c>
      <c r="Q1096" s="14" t="s">
        <v>8330</v>
      </c>
      <c r="R1096" t="s">
        <v>8331</v>
      </c>
      <c r="S1096" s="17">
        <f t="shared" si="74"/>
        <v>40795.713344907403</v>
      </c>
      <c r="T1096" s="17">
        <f t="shared" si="75"/>
        <v>40825.713344907403</v>
      </c>
      <c r="U1096">
        <f>MONTH(Table1[[#This Row],[Launched]])</f>
        <v>9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 s="8">
        <v>1377867220</v>
      </c>
      <c r="J1097">
        <v>1375275220</v>
      </c>
      <c r="K1097" t="b">
        <v>0</v>
      </c>
      <c r="L1097" s="10">
        <v>94</v>
      </c>
      <c r="M1097" t="b">
        <v>0</v>
      </c>
      <c r="N1097" t="s">
        <v>8280</v>
      </c>
      <c r="O1097" s="11">
        <f t="shared" si="72"/>
        <v>5</v>
      </c>
      <c r="P1097" s="12">
        <f t="shared" si="73"/>
        <v>268</v>
      </c>
      <c r="Q1097" s="14" t="s">
        <v>8330</v>
      </c>
      <c r="R1097" t="s">
        <v>8331</v>
      </c>
      <c r="S1097" s="17">
        <f t="shared" si="74"/>
        <v>41486.537268518521</v>
      </c>
      <c r="T1097" s="17">
        <f t="shared" si="75"/>
        <v>41516.537268518521</v>
      </c>
      <c r="U1097">
        <f>MONTH(Table1[[#This Row],[Launched]])</f>
        <v>7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 s="8">
        <v>1412393400</v>
      </c>
      <c r="J1098">
        <v>1409747154</v>
      </c>
      <c r="K1098" t="b">
        <v>0</v>
      </c>
      <c r="L1098" s="10">
        <v>29</v>
      </c>
      <c r="M1098" t="b">
        <v>0</v>
      </c>
      <c r="N1098" t="s">
        <v>8280</v>
      </c>
      <c r="O1098" s="11">
        <f t="shared" si="72"/>
        <v>18</v>
      </c>
      <c r="P1098" s="12">
        <f t="shared" si="73"/>
        <v>74</v>
      </c>
      <c r="Q1098" s="14" t="s">
        <v>8330</v>
      </c>
      <c r="R1098" t="s">
        <v>8331</v>
      </c>
      <c r="S1098" s="17">
        <f t="shared" si="74"/>
        <v>41885.51798611111</v>
      </c>
      <c r="T1098" s="17">
        <f t="shared" si="75"/>
        <v>41916.145833333336</v>
      </c>
      <c r="U1098">
        <f>MONTH(Table1[[#This Row],[Launched]])</f>
        <v>9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 s="8">
        <v>1393786877</v>
      </c>
      <c r="J1099">
        <v>1390330877</v>
      </c>
      <c r="K1099" t="b">
        <v>0</v>
      </c>
      <c r="L1099" s="10">
        <v>7</v>
      </c>
      <c r="M1099" t="b">
        <v>0</v>
      </c>
      <c r="N1099" t="s">
        <v>8280</v>
      </c>
      <c r="O1099" s="11">
        <f t="shared" si="72"/>
        <v>0</v>
      </c>
      <c r="P1099" s="12">
        <f t="shared" si="73"/>
        <v>7</v>
      </c>
      <c r="Q1099" s="14" t="s">
        <v>8330</v>
      </c>
      <c r="R1099" t="s">
        <v>8331</v>
      </c>
      <c r="S1099" s="17">
        <f t="shared" si="74"/>
        <v>41660.792557870373</v>
      </c>
      <c r="T1099" s="17">
        <f t="shared" si="75"/>
        <v>41700.792557870373</v>
      </c>
      <c r="U1099">
        <f>MONTH(Table1[[#This Row],[Launched]])</f>
        <v>1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 s="8">
        <v>1397413095</v>
      </c>
      <c r="J1100">
        <v>1394821095</v>
      </c>
      <c r="K1100" t="b">
        <v>0</v>
      </c>
      <c r="L1100" s="10">
        <v>22</v>
      </c>
      <c r="M1100" t="b">
        <v>0</v>
      </c>
      <c r="N1100" t="s">
        <v>8280</v>
      </c>
      <c r="O1100" s="11">
        <f t="shared" si="72"/>
        <v>7</v>
      </c>
      <c r="P1100" s="12">
        <f t="shared" si="73"/>
        <v>82</v>
      </c>
      <c r="Q1100" s="14" t="s">
        <v>8330</v>
      </c>
      <c r="R1100" t="s">
        <v>8331</v>
      </c>
      <c r="S1100" s="17">
        <f t="shared" si="74"/>
        <v>41712.762673611112</v>
      </c>
      <c r="T1100" s="17">
        <f t="shared" si="75"/>
        <v>41742.762673611112</v>
      </c>
      <c r="U1100">
        <f>MONTH(Table1[[#This Row],[Launched]])</f>
        <v>3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8220</v>
      </c>
      <c r="G1101" t="s">
        <v>8224</v>
      </c>
      <c r="H1101" t="s">
        <v>8246</v>
      </c>
      <c r="I1101" s="8">
        <v>1431547468</v>
      </c>
      <c r="J1101">
        <v>1428955468</v>
      </c>
      <c r="K1101" t="b">
        <v>0</v>
      </c>
      <c r="L1101" s="10">
        <v>1</v>
      </c>
      <c r="M1101" t="b">
        <v>0</v>
      </c>
      <c r="N1101" t="s">
        <v>8280</v>
      </c>
      <c r="O1101" s="11">
        <f t="shared" si="72"/>
        <v>1</v>
      </c>
      <c r="P1101" s="12">
        <f t="shared" si="73"/>
        <v>25</v>
      </c>
      <c r="Q1101" s="14" t="s">
        <v>8330</v>
      </c>
      <c r="R1101" t="s">
        <v>8331</v>
      </c>
      <c r="S1101" s="17">
        <f t="shared" si="74"/>
        <v>42107.836435185185</v>
      </c>
      <c r="T1101" s="17">
        <f t="shared" si="75"/>
        <v>42137.836435185185</v>
      </c>
      <c r="U1101">
        <f>MONTH(Table1[[#This Row],[Launched]])</f>
        <v>4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8220</v>
      </c>
      <c r="G1102" t="s">
        <v>8235</v>
      </c>
      <c r="H1102" t="s">
        <v>8248</v>
      </c>
      <c r="I1102" s="8">
        <v>1455417571</v>
      </c>
      <c r="J1102">
        <v>1452825571</v>
      </c>
      <c r="K1102" t="b">
        <v>0</v>
      </c>
      <c r="L1102" s="10">
        <v>10</v>
      </c>
      <c r="M1102" t="b">
        <v>0</v>
      </c>
      <c r="N1102" t="s">
        <v>8280</v>
      </c>
      <c r="O1102" s="11">
        <f t="shared" si="72"/>
        <v>3</v>
      </c>
      <c r="P1102" s="12">
        <f t="shared" si="73"/>
        <v>10</v>
      </c>
      <c r="Q1102" s="14" t="s">
        <v>8330</v>
      </c>
      <c r="R1102" t="s">
        <v>8331</v>
      </c>
      <c r="S1102" s="17">
        <f t="shared" si="74"/>
        <v>42384.110775462963</v>
      </c>
      <c r="T1102" s="17">
        <f t="shared" si="75"/>
        <v>42414.110775462963</v>
      </c>
      <c r="U1102">
        <f>MONTH(Table1[[#This Row],[Launched]])</f>
        <v>1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 s="8">
        <v>1468519920</v>
      </c>
      <c r="J1103">
        <v>1466188338</v>
      </c>
      <c r="K1103" t="b">
        <v>0</v>
      </c>
      <c r="L1103" s="10">
        <v>6</v>
      </c>
      <c r="M1103" t="b">
        <v>0</v>
      </c>
      <c r="N1103" t="s">
        <v>8280</v>
      </c>
      <c r="O1103" s="11">
        <f t="shared" si="72"/>
        <v>0</v>
      </c>
      <c r="P1103" s="12">
        <f t="shared" si="73"/>
        <v>7</v>
      </c>
      <c r="Q1103" s="14" t="s">
        <v>8330</v>
      </c>
      <c r="R1103" t="s">
        <v>8331</v>
      </c>
      <c r="S1103" s="17">
        <f t="shared" si="74"/>
        <v>42538.77243055556</v>
      </c>
      <c r="T1103" s="17">
        <f t="shared" si="75"/>
        <v>42565.758333333331</v>
      </c>
      <c r="U1103">
        <f>MONTH(Table1[[#This Row],[Launched]])</f>
        <v>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8220</v>
      </c>
      <c r="G1104" t="s">
        <v>8223</v>
      </c>
      <c r="H1104" t="s">
        <v>8245</v>
      </c>
      <c r="I1104" s="8">
        <v>1386568740</v>
      </c>
      <c r="J1104">
        <v>1383095125</v>
      </c>
      <c r="K1104" t="b">
        <v>0</v>
      </c>
      <c r="L1104" s="10">
        <v>24</v>
      </c>
      <c r="M1104" t="b">
        <v>0</v>
      </c>
      <c r="N1104" t="s">
        <v>8280</v>
      </c>
      <c r="O1104" s="11">
        <f t="shared" si="72"/>
        <v>5</v>
      </c>
      <c r="P1104" s="12">
        <f t="shared" si="73"/>
        <v>18</v>
      </c>
      <c r="Q1104" s="14" t="s">
        <v>8330</v>
      </c>
      <c r="R1104" t="s">
        <v>8331</v>
      </c>
      <c r="S1104" s="17">
        <f t="shared" si="74"/>
        <v>41577.045428240745</v>
      </c>
      <c r="T1104" s="17">
        <f t="shared" si="75"/>
        <v>41617.249305555553</v>
      </c>
      <c r="U1104">
        <f>MONTH(Table1[[#This Row],[Launched]])</f>
        <v>10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 s="8">
        <v>1466227190</v>
      </c>
      <c r="J1105">
        <v>1461043190</v>
      </c>
      <c r="K1105" t="b">
        <v>0</v>
      </c>
      <c r="L1105" s="10">
        <v>15</v>
      </c>
      <c r="M1105" t="b">
        <v>0</v>
      </c>
      <c r="N1105" t="s">
        <v>8280</v>
      </c>
      <c r="O1105" s="11">
        <f t="shared" si="72"/>
        <v>2</v>
      </c>
      <c r="P1105" s="12">
        <f t="shared" si="73"/>
        <v>16</v>
      </c>
      <c r="Q1105" s="14" t="s">
        <v>8330</v>
      </c>
      <c r="R1105" t="s">
        <v>8331</v>
      </c>
      <c r="S1105" s="17">
        <f t="shared" si="74"/>
        <v>42479.22210648148</v>
      </c>
      <c r="T1105" s="17">
        <f t="shared" si="75"/>
        <v>42539.22210648148</v>
      </c>
      <c r="U1105">
        <f>MONTH(Table1[[#This Row],[Launched]])</f>
        <v>4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 s="8">
        <v>1402480221</v>
      </c>
      <c r="J1106">
        <v>1399888221</v>
      </c>
      <c r="K1106" t="b">
        <v>0</v>
      </c>
      <c r="L1106" s="10">
        <v>37</v>
      </c>
      <c r="M1106" t="b">
        <v>0</v>
      </c>
      <c r="N1106" t="s">
        <v>8280</v>
      </c>
      <c r="O1106" s="11">
        <f t="shared" si="72"/>
        <v>5</v>
      </c>
      <c r="P1106" s="12">
        <f t="shared" si="73"/>
        <v>80</v>
      </c>
      <c r="Q1106" s="14" t="s">
        <v>8330</v>
      </c>
      <c r="R1106" t="s">
        <v>8331</v>
      </c>
      <c r="S1106" s="17">
        <f t="shared" si="74"/>
        <v>41771.40996527778</v>
      </c>
      <c r="T1106" s="17">
        <f t="shared" si="75"/>
        <v>41801.40996527778</v>
      </c>
      <c r="U1106">
        <f>MONTH(Table1[[#This Row],[Launched]])</f>
        <v>5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 s="8">
        <v>1395627327</v>
      </c>
      <c r="J1107">
        <v>1393038927</v>
      </c>
      <c r="K1107" t="b">
        <v>0</v>
      </c>
      <c r="L1107" s="10">
        <v>20</v>
      </c>
      <c r="M1107" t="b">
        <v>0</v>
      </c>
      <c r="N1107" t="s">
        <v>8280</v>
      </c>
      <c r="O1107" s="11">
        <f t="shared" si="72"/>
        <v>0</v>
      </c>
      <c r="P1107" s="12">
        <f t="shared" si="73"/>
        <v>72</v>
      </c>
      <c r="Q1107" s="14" t="s">
        <v>8330</v>
      </c>
      <c r="R1107" t="s">
        <v>8331</v>
      </c>
      <c r="S1107" s="17">
        <f t="shared" si="74"/>
        <v>41692.135729166665</v>
      </c>
      <c r="T1107" s="17">
        <f t="shared" si="75"/>
        <v>41722.0940625</v>
      </c>
      <c r="U1107">
        <f>MONTH(Table1[[#This Row],[Launched]])</f>
        <v>2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8220</v>
      </c>
      <c r="G1108" t="s">
        <v>8223</v>
      </c>
      <c r="H1108" t="s">
        <v>8245</v>
      </c>
      <c r="I1108" s="8">
        <v>1333557975</v>
      </c>
      <c r="J1108">
        <v>1330969575</v>
      </c>
      <c r="K1108" t="b">
        <v>0</v>
      </c>
      <c r="L1108" s="10">
        <v>7</v>
      </c>
      <c r="M1108" t="b">
        <v>0</v>
      </c>
      <c r="N1108" t="s">
        <v>8280</v>
      </c>
      <c r="O1108" s="11">
        <f t="shared" si="72"/>
        <v>41</v>
      </c>
      <c r="P1108" s="12">
        <f t="shared" si="73"/>
        <v>24</v>
      </c>
      <c r="Q1108" s="14" t="s">
        <v>8330</v>
      </c>
      <c r="R1108" t="s">
        <v>8331</v>
      </c>
      <c r="S1108" s="17">
        <f t="shared" si="74"/>
        <v>40973.740451388891</v>
      </c>
      <c r="T1108" s="17">
        <f t="shared" si="75"/>
        <v>41003.698784722219</v>
      </c>
      <c r="U1108">
        <f>MONTH(Table1[[#This Row],[Launched]])</f>
        <v>3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8220</v>
      </c>
      <c r="G1109" t="s">
        <v>8223</v>
      </c>
      <c r="H1109" t="s">
        <v>8245</v>
      </c>
      <c r="I1109" s="8">
        <v>1406148024</v>
      </c>
      <c r="J1109">
        <v>1403556024</v>
      </c>
      <c r="K1109" t="b">
        <v>0</v>
      </c>
      <c r="L1109" s="10">
        <v>0</v>
      </c>
      <c r="M1109" t="b">
        <v>0</v>
      </c>
      <c r="N1109" t="s">
        <v>8280</v>
      </c>
      <c r="O1109" s="11">
        <f t="shared" si="72"/>
        <v>0</v>
      </c>
      <c r="P1109" s="12" t="str">
        <f t="shared" si="73"/>
        <v>No Backers</v>
      </c>
      <c r="Q1109" s="14" t="s">
        <v>8330</v>
      </c>
      <c r="R1109" t="s">
        <v>8331</v>
      </c>
      <c r="S1109" s="17">
        <f t="shared" si="74"/>
        <v>41813.861388888887</v>
      </c>
      <c r="T1109" s="17">
        <f t="shared" si="75"/>
        <v>41843.861388888887</v>
      </c>
      <c r="U1109">
        <f>MONTH(Table1[[#This Row],[Launched]])</f>
        <v>6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 s="8">
        <v>1334326635</v>
      </c>
      <c r="J1110">
        <v>1329146235</v>
      </c>
      <c r="K1110" t="b">
        <v>0</v>
      </c>
      <c r="L1110" s="10">
        <v>21</v>
      </c>
      <c r="M1110" t="b">
        <v>0</v>
      </c>
      <c r="N1110" t="s">
        <v>8280</v>
      </c>
      <c r="O1110" s="11">
        <f t="shared" si="72"/>
        <v>3</v>
      </c>
      <c r="P1110" s="12">
        <f t="shared" si="73"/>
        <v>35</v>
      </c>
      <c r="Q1110" s="14" t="s">
        <v>8330</v>
      </c>
      <c r="R1110" t="s">
        <v>8331</v>
      </c>
      <c r="S1110" s="17">
        <f t="shared" si="74"/>
        <v>40952.636979166666</v>
      </c>
      <c r="T1110" s="17">
        <f t="shared" si="75"/>
        <v>41012.595312500001</v>
      </c>
      <c r="U1110">
        <f>MONTH(Table1[[#This Row],[Launched]])</f>
        <v>2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8220</v>
      </c>
      <c r="G1111" t="s">
        <v>8223</v>
      </c>
      <c r="H1111" t="s">
        <v>8245</v>
      </c>
      <c r="I1111" s="8">
        <v>1479495790</v>
      </c>
      <c r="J1111">
        <v>1476900190</v>
      </c>
      <c r="K1111" t="b">
        <v>0</v>
      </c>
      <c r="L1111" s="10">
        <v>3</v>
      </c>
      <c r="M1111" t="b">
        <v>0</v>
      </c>
      <c r="N1111" t="s">
        <v>8280</v>
      </c>
      <c r="O1111" s="11">
        <f t="shared" si="72"/>
        <v>0</v>
      </c>
      <c r="P1111" s="12">
        <f t="shared" si="73"/>
        <v>15</v>
      </c>
      <c r="Q1111" s="14" t="s">
        <v>8330</v>
      </c>
      <c r="R1111" t="s">
        <v>8331</v>
      </c>
      <c r="S1111" s="17">
        <f t="shared" si="74"/>
        <v>42662.752199074079</v>
      </c>
      <c r="T1111" s="17">
        <f t="shared" si="75"/>
        <v>42692.793865740736</v>
      </c>
      <c r="U1111">
        <f>MONTH(Table1[[#This Row],[Launched]])</f>
        <v>10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 s="8">
        <v>1354919022</v>
      </c>
      <c r="J1112">
        <v>1352327022</v>
      </c>
      <c r="K1112" t="b">
        <v>0</v>
      </c>
      <c r="L1112" s="10">
        <v>11</v>
      </c>
      <c r="M1112" t="b">
        <v>0</v>
      </c>
      <c r="N1112" t="s">
        <v>8280</v>
      </c>
      <c r="O1112" s="11">
        <f t="shared" si="72"/>
        <v>1</v>
      </c>
      <c r="P1112" s="12">
        <f t="shared" si="73"/>
        <v>23</v>
      </c>
      <c r="Q1112" s="14" t="s">
        <v>8330</v>
      </c>
      <c r="R1112" t="s">
        <v>8331</v>
      </c>
      <c r="S1112" s="17">
        <f t="shared" si="74"/>
        <v>41220.933124999996</v>
      </c>
      <c r="T1112" s="17">
        <f t="shared" si="75"/>
        <v>41250.933124999996</v>
      </c>
      <c r="U1112">
        <f>MONTH(Table1[[#This Row],[Launched]])</f>
        <v>11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8220</v>
      </c>
      <c r="G1113" t="s">
        <v>8223</v>
      </c>
      <c r="H1113" t="s">
        <v>8245</v>
      </c>
      <c r="I1113" s="8">
        <v>1452228790</v>
      </c>
      <c r="J1113">
        <v>1449636790</v>
      </c>
      <c r="K1113" t="b">
        <v>0</v>
      </c>
      <c r="L1113" s="10">
        <v>1</v>
      </c>
      <c r="M1113" t="b">
        <v>0</v>
      </c>
      <c r="N1113" t="s">
        <v>8280</v>
      </c>
      <c r="O1113" s="11">
        <f t="shared" si="72"/>
        <v>0</v>
      </c>
      <c r="P1113" s="12">
        <f t="shared" si="73"/>
        <v>1</v>
      </c>
      <c r="Q1113" s="14" t="s">
        <v>8330</v>
      </c>
      <c r="R1113" t="s">
        <v>8331</v>
      </c>
      <c r="S1113" s="17">
        <f t="shared" si="74"/>
        <v>42347.203587962969</v>
      </c>
      <c r="T1113" s="17">
        <f t="shared" si="75"/>
        <v>42377.203587962969</v>
      </c>
      <c r="U1113">
        <f>MONTH(Table1[[#This Row],[Launched]])</f>
        <v>12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 s="8">
        <v>1421656200</v>
      </c>
      <c r="J1114">
        <v>1416507211</v>
      </c>
      <c r="K1114" t="b">
        <v>0</v>
      </c>
      <c r="L1114" s="10">
        <v>312</v>
      </c>
      <c r="M1114" t="b">
        <v>0</v>
      </c>
      <c r="N1114" t="s">
        <v>8280</v>
      </c>
      <c r="O1114" s="11">
        <f t="shared" si="72"/>
        <v>36</v>
      </c>
      <c r="P1114" s="12">
        <f t="shared" si="73"/>
        <v>100</v>
      </c>
      <c r="Q1114" s="14" t="s">
        <v>8330</v>
      </c>
      <c r="R1114" t="s">
        <v>8331</v>
      </c>
      <c r="S1114" s="17">
        <f t="shared" si="74"/>
        <v>41963.759386574078</v>
      </c>
      <c r="T1114" s="17">
        <f t="shared" si="75"/>
        <v>42023.354166666672</v>
      </c>
      <c r="U1114">
        <f>MONTH(Table1[[#This Row],[Launched]])</f>
        <v>11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8220</v>
      </c>
      <c r="G1115" t="s">
        <v>8224</v>
      </c>
      <c r="H1115" t="s">
        <v>8246</v>
      </c>
      <c r="I1115" s="8">
        <v>1408058820</v>
      </c>
      <c r="J1115">
        <v>1405466820</v>
      </c>
      <c r="K1115" t="b">
        <v>0</v>
      </c>
      <c r="L1115" s="10">
        <v>1</v>
      </c>
      <c r="M1115" t="b">
        <v>0</v>
      </c>
      <c r="N1115" t="s">
        <v>8280</v>
      </c>
      <c r="O1115" s="11">
        <f t="shared" si="72"/>
        <v>1</v>
      </c>
      <c r="P1115" s="12">
        <f t="shared" si="73"/>
        <v>5</v>
      </c>
      <c r="Q1115" s="14" t="s">
        <v>8330</v>
      </c>
      <c r="R1115" t="s">
        <v>8331</v>
      </c>
      <c r="S1115" s="17">
        <f t="shared" si="74"/>
        <v>41835.977083333331</v>
      </c>
      <c r="T1115" s="17">
        <f t="shared" si="75"/>
        <v>41865.977083333331</v>
      </c>
      <c r="U1115">
        <f>MONTH(Table1[[#This Row],[Launched]])</f>
        <v>7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8220</v>
      </c>
      <c r="G1116" t="s">
        <v>8224</v>
      </c>
      <c r="H1116" t="s">
        <v>8246</v>
      </c>
      <c r="I1116" s="8">
        <v>1381306687</v>
      </c>
      <c r="J1116">
        <v>1378714687</v>
      </c>
      <c r="K1116" t="b">
        <v>0</v>
      </c>
      <c r="L1116" s="10">
        <v>3</v>
      </c>
      <c r="M1116" t="b">
        <v>0</v>
      </c>
      <c r="N1116" t="s">
        <v>8280</v>
      </c>
      <c r="O1116" s="11">
        <f t="shared" si="72"/>
        <v>0</v>
      </c>
      <c r="P1116" s="12">
        <f t="shared" si="73"/>
        <v>3</v>
      </c>
      <c r="Q1116" s="14" t="s">
        <v>8330</v>
      </c>
      <c r="R1116" t="s">
        <v>8331</v>
      </c>
      <c r="S1116" s="17">
        <f t="shared" si="74"/>
        <v>41526.345914351856</v>
      </c>
      <c r="T1116" s="17">
        <f t="shared" si="75"/>
        <v>41556.345914351856</v>
      </c>
      <c r="U1116">
        <f>MONTH(Table1[[#This Row],[Launched]])</f>
        <v>9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8220</v>
      </c>
      <c r="G1117" t="s">
        <v>8223</v>
      </c>
      <c r="H1117" t="s">
        <v>8245</v>
      </c>
      <c r="I1117" s="8">
        <v>1459352495</v>
      </c>
      <c r="J1117">
        <v>1456764095</v>
      </c>
      <c r="K1117" t="b">
        <v>0</v>
      </c>
      <c r="L1117" s="10">
        <v>4</v>
      </c>
      <c r="M1117" t="b">
        <v>0</v>
      </c>
      <c r="N1117" t="s">
        <v>8280</v>
      </c>
      <c r="O1117" s="11">
        <f t="shared" si="72"/>
        <v>0</v>
      </c>
      <c r="P1117" s="12">
        <f t="shared" si="73"/>
        <v>13</v>
      </c>
      <c r="Q1117" s="14" t="s">
        <v>8330</v>
      </c>
      <c r="R1117" t="s">
        <v>8331</v>
      </c>
      <c r="S1117" s="17">
        <f t="shared" si="74"/>
        <v>42429.695543981477</v>
      </c>
      <c r="T1117" s="17">
        <f t="shared" si="75"/>
        <v>42459.653877314813</v>
      </c>
      <c r="U1117">
        <f>MONTH(Table1[[#This Row],[Launched]])</f>
        <v>2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 s="8">
        <v>1339273208</v>
      </c>
      <c r="J1118">
        <v>1334089208</v>
      </c>
      <c r="K1118" t="b">
        <v>0</v>
      </c>
      <c r="L1118" s="10">
        <v>10</v>
      </c>
      <c r="M1118" t="b">
        <v>0</v>
      </c>
      <c r="N1118" t="s">
        <v>8280</v>
      </c>
      <c r="O1118" s="11">
        <f t="shared" si="72"/>
        <v>0</v>
      </c>
      <c r="P1118" s="12">
        <f t="shared" si="73"/>
        <v>18</v>
      </c>
      <c r="Q1118" s="14" t="s">
        <v>8330</v>
      </c>
      <c r="R1118" t="s">
        <v>8331</v>
      </c>
      <c r="S1118" s="17">
        <f t="shared" si="74"/>
        <v>41009.847314814811</v>
      </c>
      <c r="T1118" s="17">
        <f t="shared" si="75"/>
        <v>41069.847314814811</v>
      </c>
      <c r="U1118">
        <f>MONTH(Table1[[#This Row],[Launched]])</f>
        <v>4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8220</v>
      </c>
      <c r="G1119" t="s">
        <v>8235</v>
      </c>
      <c r="H1119" t="s">
        <v>8248</v>
      </c>
      <c r="I1119" s="8">
        <v>1451053313</v>
      </c>
      <c r="J1119">
        <v>1448461313</v>
      </c>
      <c r="K1119" t="b">
        <v>0</v>
      </c>
      <c r="L1119" s="10">
        <v>8</v>
      </c>
      <c r="M1119" t="b">
        <v>0</v>
      </c>
      <c r="N1119" t="s">
        <v>8280</v>
      </c>
      <c r="O1119" s="11">
        <f t="shared" si="72"/>
        <v>8</v>
      </c>
      <c r="P1119" s="12">
        <f t="shared" si="73"/>
        <v>10</v>
      </c>
      <c r="Q1119" s="14" t="s">
        <v>8330</v>
      </c>
      <c r="R1119" t="s">
        <v>8331</v>
      </c>
      <c r="S1119" s="17">
        <f t="shared" si="74"/>
        <v>42333.598530092597</v>
      </c>
      <c r="T1119" s="17">
        <f t="shared" si="75"/>
        <v>42363.598530092597</v>
      </c>
      <c r="U1119">
        <f>MONTH(Table1[[#This Row],[Launched]])</f>
        <v>11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8220</v>
      </c>
      <c r="G1120" t="s">
        <v>8225</v>
      </c>
      <c r="H1120" t="s">
        <v>8247</v>
      </c>
      <c r="I1120" s="8">
        <v>1396666779</v>
      </c>
      <c r="J1120">
        <v>1394078379</v>
      </c>
      <c r="K1120" t="b">
        <v>0</v>
      </c>
      <c r="L1120" s="10">
        <v>3</v>
      </c>
      <c r="M1120" t="b">
        <v>0</v>
      </c>
      <c r="N1120" t="s">
        <v>8280</v>
      </c>
      <c r="O1120" s="11">
        <f t="shared" si="72"/>
        <v>2</v>
      </c>
      <c r="P1120" s="12">
        <f t="shared" si="73"/>
        <v>36</v>
      </c>
      <c r="Q1120" s="14" t="s">
        <v>8330</v>
      </c>
      <c r="R1120" t="s">
        <v>8331</v>
      </c>
      <c r="S1120" s="17">
        <f t="shared" si="74"/>
        <v>41704.16642361111</v>
      </c>
      <c r="T1120" s="17">
        <f t="shared" si="75"/>
        <v>41734.124756944446</v>
      </c>
      <c r="U1120">
        <f>MONTH(Table1[[#This Row],[Launched]])</f>
        <v>3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8220</v>
      </c>
      <c r="G1121" t="s">
        <v>8223</v>
      </c>
      <c r="H1121" t="s">
        <v>8245</v>
      </c>
      <c r="I1121" s="8">
        <v>1396810864</v>
      </c>
      <c r="J1121">
        <v>1395687664</v>
      </c>
      <c r="K1121" t="b">
        <v>0</v>
      </c>
      <c r="L1121" s="10">
        <v>1</v>
      </c>
      <c r="M1121" t="b">
        <v>0</v>
      </c>
      <c r="N1121" t="s">
        <v>8280</v>
      </c>
      <c r="O1121" s="11">
        <f t="shared" si="72"/>
        <v>0</v>
      </c>
      <c r="P1121" s="12">
        <f t="shared" si="73"/>
        <v>5</v>
      </c>
      <c r="Q1121" s="14" t="s">
        <v>8330</v>
      </c>
      <c r="R1121" t="s">
        <v>8331</v>
      </c>
      <c r="S1121" s="17">
        <f t="shared" si="74"/>
        <v>41722.792407407411</v>
      </c>
      <c r="T1121" s="17">
        <f t="shared" si="75"/>
        <v>41735.792407407411</v>
      </c>
      <c r="U1121">
        <f>MONTH(Table1[[#This Row],[Launched]])</f>
        <v>3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8220</v>
      </c>
      <c r="G1122" t="s">
        <v>8223</v>
      </c>
      <c r="H1122" t="s">
        <v>8245</v>
      </c>
      <c r="I1122" s="8">
        <v>1319835400</v>
      </c>
      <c r="J1122">
        <v>1315947400</v>
      </c>
      <c r="K1122" t="b">
        <v>0</v>
      </c>
      <c r="L1122" s="10">
        <v>0</v>
      </c>
      <c r="M1122" t="b">
        <v>0</v>
      </c>
      <c r="N1122" t="s">
        <v>8280</v>
      </c>
      <c r="O1122" s="11">
        <f t="shared" si="72"/>
        <v>0</v>
      </c>
      <c r="P1122" s="12" t="str">
        <f t="shared" si="73"/>
        <v>No Backers</v>
      </c>
      <c r="Q1122" s="14" t="s">
        <v>8330</v>
      </c>
      <c r="R1122" t="s">
        <v>8331</v>
      </c>
      <c r="S1122" s="17">
        <f t="shared" si="74"/>
        <v>40799.872685185182</v>
      </c>
      <c r="T1122" s="17">
        <f t="shared" si="75"/>
        <v>40844.872685185182</v>
      </c>
      <c r="U1122">
        <f>MONTH(Table1[[#This Row],[Launched]])</f>
        <v>9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 s="8">
        <v>1457904316</v>
      </c>
      <c r="J1123">
        <v>1455315916</v>
      </c>
      <c r="K1123" t="b">
        <v>0</v>
      </c>
      <c r="L1123" s="10">
        <v>5</v>
      </c>
      <c r="M1123" t="b">
        <v>0</v>
      </c>
      <c r="N1123" t="s">
        <v>8280</v>
      </c>
      <c r="O1123" s="11">
        <f t="shared" si="72"/>
        <v>0</v>
      </c>
      <c r="P1123" s="12">
        <f t="shared" si="73"/>
        <v>6</v>
      </c>
      <c r="Q1123" s="14" t="s">
        <v>8330</v>
      </c>
      <c r="R1123" t="s">
        <v>8331</v>
      </c>
      <c r="S1123" s="17">
        <f t="shared" si="74"/>
        <v>42412.934212962966</v>
      </c>
      <c r="T1123" s="17">
        <f t="shared" si="75"/>
        <v>42442.892546296294</v>
      </c>
      <c r="U1123">
        <f>MONTH(Table1[[#This Row],[Launched]])</f>
        <v>2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8220</v>
      </c>
      <c r="G1124" t="s">
        <v>8224</v>
      </c>
      <c r="H1124" t="s">
        <v>8246</v>
      </c>
      <c r="I1124" s="8">
        <v>1369932825</v>
      </c>
      <c r="J1124">
        <v>1368723225</v>
      </c>
      <c r="K1124" t="b">
        <v>0</v>
      </c>
      <c r="L1124" s="10">
        <v>0</v>
      </c>
      <c r="M1124" t="b">
        <v>0</v>
      </c>
      <c r="N1124" t="s">
        <v>8280</v>
      </c>
      <c r="O1124" s="11">
        <f t="shared" si="72"/>
        <v>0</v>
      </c>
      <c r="P1124" s="12" t="str">
        <f t="shared" si="73"/>
        <v>No Backers</v>
      </c>
      <c r="Q1124" s="14" t="s">
        <v>8330</v>
      </c>
      <c r="R1124" t="s">
        <v>8331</v>
      </c>
      <c r="S1124" s="17">
        <f t="shared" si="74"/>
        <v>41410.703993055555</v>
      </c>
      <c r="T1124" s="17">
        <f t="shared" si="75"/>
        <v>41424.703993055555</v>
      </c>
      <c r="U1124">
        <f>MONTH(Table1[[#This Row],[Launched]])</f>
        <v>5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8220</v>
      </c>
      <c r="G1125" t="s">
        <v>8223</v>
      </c>
      <c r="H1125" t="s">
        <v>8245</v>
      </c>
      <c r="I1125" s="8">
        <v>1397910848</v>
      </c>
      <c r="J1125">
        <v>1395318848</v>
      </c>
      <c r="K1125" t="b">
        <v>0</v>
      </c>
      <c r="L1125" s="10">
        <v>3</v>
      </c>
      <c r="M1125" t="b">
        <v>0</v>
      </c>
      <c r="N1125" t="s">
        <v>8280</v>
      </c>
      <c r="O1125" s="11">
        <f t="shared" si="72"/>
        <v>0</v>
      </c>
      <c r="P1125" s="12">
        <f t="shared" si="73"/>
        <v>4</v>
      </c>
      <c r="Q1125" s="14" t="s">
        <v>8330</v>
      </c>
      <c r="R1125" t="s">
        <v>8331</v>
      </c>
      <c r="S1125" s="17">
        <f t="shared" si="74"/>
        <v>41718.5237037037</v>
      </c>
      <c r="T1125" s="17">
        <f t="shared" si="75"/>
        <v>41748.5237037037</v>
      </c>
      <c r="U1125">
        <f>MONTH(Table1[[#This Row],[Launched]])</f>
        <v>3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 s="8">
        <v>1430409651</v>
      </c>
      <c r="J1126">
        <v>1427817651</v>
      </c>
      <c r="K1126" t="b">
        <v>0</v>
      </c>
      <c r="L1126" s="10">
        <v>7</v>
      </c>
      <c r="M1126" t="b">
        <v>0</v>
      </c>
      <c r="N1126" t="s">
        <v>8281</v>
      </c>
      <c r="O1126" s="11">
        <f t="shared" si="72"/>
        <v>0</v>
      </c>
      <c r="P1126" s="12">
        <f t="shared" si="73"/>
        <v>61</v>
      </c>
      <c r="Q1126" s="14" t="s">
        <v>8330</v>
      </c>
      <c r="R1126" t="s">
        <v>8332</v>
      </c>
      <c r="S1126" s="17">
        <f t="shared" si="74"/>
        <v>42094.667256944449</v>
      </c>
      <c r="T1126" s="17">
        <f t="shared" si="75"/>
        <v>42124.667256944449</v>
      </c>
      <c r="U1126">
        <f>MONTH(Table1[[#This Row],[Launched]])</f>
        <v>3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8220</v>
      </c>
      <c r="G1127" t="s">
        <v>8224</v>
      </c>
      <c r="H1127" t="s">
        <v>8246</v>
      </c>
      <c r="I1127" s="8">
        <v>1443193130</v>
      </c>
      <c r="J1127">
        <v>1438009130</v>
      </c>
      <c r="K1127" t="b">
        <v>0</v>
      </c>
      <c r="L1127" s="10">
        <v>0</v>
      </c>
      <c r="M1127" t="b">
        <v>0</v>
      </c>
      <c r="N1127" t="s">
        <v>8281</v>
      </c>
      <c r="O1127" s="11">
        <f t="shared" si="72"/>
        <v>0</v>
      </c>
      <c r="P1127" s="12" t="str">
        <f t="shared" si="73"/>
        <v>No Backers</v>
      </c>
      <c r="Q1127" s="14" t="s">
        <v>8330</v>
      </c>
      <c r="R1127" t="s">
        <v>8332</v>
      </c>
      <c r="S1127" s="17">
        <f t="shared" si="74"/>
        <v>42212.624189814815</v>
      </c>
      <c r="T1127" s="17">
        <f t="shared" si="75"/>
        <v>42272.624189814815</v>
      </c>
      <c r="U1127">
        <f>MONTH(Table1[[#This Row],[Launched]])</f>
        <v>7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8220</v>
      </c>
      <c r="G1128" t="s">
        <v>8223</v>
      </c>
      <c r="H1128" t="s">
        <v>8245</v>
      </c>
      <c r="I1128" s="8">
        <v>1468482694</v>
      </c>
      <c r="J1128">
        <v>1465890694</v>
      </c>
      <c r="K1128" t="b">
        <v>0</v>
      </c>
      <c r="L1128" s="10">
        <v>2</v>
      </c>
      <c r="M1128" t="b">
        <v>0</v>
      </c>
      <c r="N1128" t="s">
        <v>8281</v>
      </c>
      <c r="O1128" s="11">
        <f t="shared" si="72"/>
        <v>1</v>
      </c>
      <c r="P1128" s="12">
        <f t="shared" si="73"/>
        <v>5</v>
      </c>
      <c r="Q1128" s="14" t="s">
        <v>8330</v>
      </c>
      <c r="R1128" t="s">
        <v>8332</v>
      </c>
      <c r="S1128" s="17">
        <f t="shared" si="74"/>
        <v>42535.327476851846</v>
      </c>
      <c r="T1128" s="17">
        <f t="shared" si="75"/>
        <v>42565.327476851846</v>
      </c>
      <c r="U1128">
        <f>MONTH(Table1[[#This Row],[Launched]])</f>
        <v>6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 s="8">
        <v>1416000600</v>
      </c>
      <c r="J1129">
        <v>1413318600</v>
      </c>
      <c r="K1129" t="b">
        <v>0</v>
      </c>
      <c r="L1129" s="10">
        <v>23</v>
      </c>
      <c r="M1129" t="b">
        <v>0</v>
      </c>
      <c r="N1129" t="s">
        <v>8281</v>
      </c>
      <c r="O1129" s="11">
        <f t="shared" si="72"/>
        <v>2</v>
      </c>
      <c r="P1129" s="12">
        <f t="shared" si="73"/>
        <v>25</v>
      </c>
      <c r="Q1129" s="14" t="s">
        <v>8330</v>
      </c>
      <c r="R1129" t="s">
        <v>8332</v>
      </c>
      <c r="S1129" s="17">
        <f t="shared" si="74"/>
        <v>41926.854166666664</v>
      </c>
      <c r="T1129" s="17">
        <f t="shared" si="75"/>
        <v>41957.895833333328</v>
      </c>
      <c r="U1129">
        <f>MONTH(Table1[[#This Row],[Launched]])</f>
        <v>10</v>
      </c>
    </row>
    <row r="1130" spans="1:21" ht="15.6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8220</v>
      </c>
      <c r="G1130" t="s">
        <v>8224</v>
      </c>
      <c r="H1130" t="s">
        <v>8246</v>
      </c>
      <c r="I1130" s="8">
        <v>1407425717</v>
      </c>
      <c r="J1130">
        <v>1404833717</v>
      </c>
      <c r="K1130" t="b">
        <v>0</v>
      </c>
      <c r="L1130" s="10">
        <v>1</v>
      </c>
      <c r="M1130" t="b">
        <v>0</v>
      </c>
      <c r="N1130" t="s">
        <v>8281</v>
      </c>
      <c r="O1130" s="11">
        <f t="shared" si="72"/>
        <v>0</v>
      </c>
      <c r="P1130" s="12">
        <f t="shared" si="73"/>
        <v>1</v>
      </c>
      <c r="Q1130" s="14" t="s">
        <v>8330</v>
      </c>
      <c r="R1130" t="s">
        <v>8332</v>
      </c>
      <c r="S1130" s="17">
        <f t="shared" si="74"/>
        <v>41828.649502314816</v>
      </c>
      <c r="T1130" s="17">
        <f t="shared" si="75"/>
        <v>41858.649502314816</v>
      </c>
      <c r="U1130">
        <f>MONTH(Table1[[#This Row],[Launched]])</f>
        <v>7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8220</v>
      </c>
      <c r="G1131" t="s">
        <v>8223</v>
      </c>
      <c r="H1131" t="s">
        <v>8245</v>
      </c>
      <c r="I1131" s="8">
        <v>1465107693</v>
      </c>
      <c r="J1131">
        <v>1462515693</v>
      </c>
      <c r="K1131" t="b">
        <v>0</v>
      </c>
      <c r="L1131" s="10">
        <v>2</v>
      </c>
      <c r="M1131" t="b">
        <v>0</v>
      </c>
      <c r="N1131" t="s">
        <v>8281</v>
      </c>
      <c r="O1131" s="11">
        <f t="shared" si="72"/>
        <v>0</v>
      </c>
      <c r="P1131" s="12">
        <f t="shared" si="73"/>
        <v>11</v>
      </c>
      <c r="Q1131" s="14" t="s">
        <v>8330</v>
      </c>
      <c r="R1131" t="s">
        <v>8332</v>
      </c>
      <c r="S1131" s="17">
        <f t="shared" si="74"/>
        <v>42496.264965277776</v>
      </c>
      <c r="T1131" s="17">
        <f t="shared" si="75"/>
        <v>42526.264965277776</v>
      </c>
      <c r="U1131">
        <f>MONTH(Table1[[#This Row],[Launched]])</f>
        <v>5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8220</v>
      </c>
      <c r="G1132" t="s">
        <v>8223</v>
      </c>
      <c r="H1132" t="s">
        <v>8245</v>
      </c>
      <c r="I1132" s="8">
        <v>1416963300</v>
      </c>
      <c r="J1132">
        <v>1411775700</v>
      </c>
      <c r="K1132" t="b">
        <v>0</v>
      </c>
      <c r="L1132" s="10">
        <v>3</v>
      </c>
      <c r="M1132" t="b">
        <v>0</v>
      </c>
      <c r="N1132" t="s">
        <v>8281</v>
      </c>
      <c r="O1132" s="11">
        <f t="shared" si="72"/>
        <v>0</v>
      </c>
      <c r="P1132" s="12">
        <f t="shared" si="73"/>
        <v>4</v>
      </c>
      <c r="Q1132" s="14" t="s">
        <v>8330</v>
      </c>
      <c r="R1132" t="s">
        <v>8332</v>
      </c>
      <c r="S1132" s="17">
        <f t="shared" si="74"/>
        <v>41908.996527777781</v>
      </c>
      <c r="T1132" s="17">
        <f t="shared" si="75"/>
        <v>41969.038194444445</v>
      </c>
      <c r="U1132">
        <f>MONTH(Table1[[#This Row],[Launched]])</f>
        <v>9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8220</v>
      </c>
      <c r="G1133" t="s">
        <v>8225</v>
      </c>
      <c r="H1133" t="s">
        <v>8247</v>
      </c>
      <c r="I1133" s="8">
        <v>1450993668</v>
      </c>
      <c r="J1133">
        <v>1448401668</v>
      </c>
      <c r="K1133" t="b">
        <v>0</v>
      </c>
      <c r="L1133" s="10">
        <v>0</v>
      </c>
      <c r="M1133" t="b">
        <v>0</v>
      </c>
      <c r="N1133" t="s">
        <v>8281</v>
      </c>
      <c r="O1133" s="11">
        <f t="shared" si="72"/>
        <v>0</v>
      </c>
      <c r="P1133" s="12" t="str">
        <f t="shared" si="73"/>
        <v>No Backers</v>
      </c>
      <c r="Q1133" s="14" t="s">
        <v>8330</v>
      </c>
      <c r="R1133" t="s">
        <v>8332</v>
      </c>
      <c r="S1133" s="17">
        <f t="shared" si="74"/>
        <v>42332.908194444448</v>
      </c>
      <c r="T1133" s="17">
        <f t="shared" si="75"/>
        <v>42362.908194444448</v>
      </c>
      <c r="U1133">
        <f>MONTH(Table1[[#This Row],[Launched]])</f>
        <v>11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 s="8">
        <v>1483238771</v>
      </c>
      <c r="J1134">
        <v>1480646771</v>
      </c>
      <c r="K1134" t="b">
        <v>0</v>
      </c>
      <c r="L1134" s="10">
        <v>13</v>
      </c>
      <c r="M1134" t="b">
        <v>0</v>
      </c>
      <c r="N1134" t="s">
        <v>8281</v>
      </c>
      <c r="O1134" s="11">
        <f t="shared" si="72"/>
        <v>14</v>
      </c>
      <c r="P1134" s="12">
        <f t="shared" si="73"/>
        <v>111</v>
      </c>
      <c r="Q1134" s="14" t="s">
        <v>8330</v>
      </c>
      <c r="R1134" t="s">
        <v>8332</v>
      </c>
      <c r="S1134" s="17">
        <f t="shared" si="74"/>
        <v>42706.115405092598</v>
      </c>
      <c r="T1134" s="17">
        <f t="shared" si="75"/>
        <v>42736.115405092598</v>
      </c>
      <c r="U1134">
        <f>MONTH(Table1[[#This Row],[Launched]])</f>
        <v>12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8220</v>
      </c>
      <c r="G1135" t="s">
        <v>8224</v>
      </c>
      <c r="H1135" t="s">
        <v>8246</v>
      </c>
      <c r="I1135" s="8">
        <v>1406799981</v>
      </c>
      <c r="J1135">
        <v>1404207981</v>
      </c>
      <c r="K1135" t="b">
        <v>0</v>
      </c>
      <c r="L1135" s="10">
        <v>1</v>
      </c>
      <c r="M1135" t="b">
        <v>0</v>
      </c>
      <c r="N1135" t="s">
        <v>8281</v>
      </c>
      <c r="O1135" s="11">
        <f t="shared" si="72"/>
        <v>1</v>
      </c>
      <c r="P1135" s="12">
        <f t="shared" si="73"/>
        <v>20</v>
      </c>
      <c r="Q1135" s="14" t="s">
        <v>8330</v>
      </c>
      <c r="R1135" t="s">
        <v>8332</v>
      </c>
      <c r="S1135" s="17">
        <f t="shared" si="74"/>
        <v>41821.407187500001</v>
      </c>
      <c r="T1135" s="17">
        <f t="shared" si="75"/>
        <v>41851.407187500001</v>
      </c>
      <c r="U1135">
        <f>MONTH(Table1[[#This Row],[Launched]])</f>
        <v>7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8220</v>
      </c>
      <c r="G1136" t="s">
        <v>8225</v>
      </c>
      <c r="H1136" t="s">
        <v>8247</v>
      </c>
      <c r="I1136" s="8">
        <v>1417235580</v>
      </c>
      <c r="J1136">
        <v>1416034228</v>
      </c>
      <c r="K1136" t="b">
        <v>0</v>
      </c>
      <c r="L1136" s="10">
        <v>1</v>
      </c>
      <c r="M1136" t="b">
        <v>0</v>
      </c>
      <c r="N1136" t="s">
        <v>8281</v>
      </c>
      <c r="O1136" s="11">
        <f t="shared" si="72"/>
        <v>0</v>
      </c>
      <c r="P1136" s="12">
        <f t="shared" si="73"/>
        <v>1</v>
      </c>
      <c r="Q1136" s="14" t="s">
        <v>8330</v>
      </c>
      <c r="R1136" t="s">
        <v>8332</v>
      </c>
      <c r="S1136" s="17">
        <f t="shared" si="74"/>
        <v>41958.285046296296</v>
      </c>
      <c r="T1136" s="17">
        <f t="shared" si="75"/>
        <v>41972.189583333333</v>
      </c>
      <c r="U1136">
        <f>MONTH(Table1[[#This Row],[Launched]])</f>
        <v>11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8220</v>
      </c>
      <c r="G1137" t="s">
        <v>8235</v>
      </c>
      <c r="H1137" t="s">
        <v>8248</v>
      </c>
      <c r="I1137" s="8">
        <v>1470527094</v>
      </c>
      <c r="J1137">
        <v>1467935094</v>
      </c>
      <c r="K1137" t="b">
        <v>0</v>
      </c>
      <c r="L1137" s="10">
        <v>1</v>
      </c>
      <c r="M1137" t="b">
        <v>0</v>
      </c>
      <c r="N1137" t="s">
        <v>8281</v>
      </c>
      <c r="O1137" s="11">
        <f t="shared" si="72"/>
        <v>5</v>
      </c>
      <c r="P1137" s="12">
        <f t="shared" si="73"/>
        <v>50</v>
      </c>
      <c r="Q1137" s="14" t="s">
        <v>8330</v>
      </c>
      <c r="R1137" t="s">
        <v>8332</v>
      </c>
      <c r="S1137" s="17">
        <f t="shared" si="74"/>
        <v>42558.989513888882</v>
      </c>
      <c r="T1137" s="17">
        <f t="shared" si="75"/>
        <v>42588.989513888882</v>
      </c>
      <c r="U1137">
        <f>MONTH(Table1[[#This Row],[Launched]])</f>
        <v>7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8220</v>
      </c>
      <c r="G1138" t="s">
        <v>8229</v>
      </c>
      <c r="H1138" t="s">
        <v>8248</v>
      </c>
      <c r="I1138" s="8">
        <v>1450541229</v>
      </c>
      <c r="J1138">
        <v>1447949229</v>
      </c>
      <c r="K1138" t="b">
        <v>0</v>
      </c>
      <c r="L1138" s="10">
        <v>6</v>
      </c>
      <c r="M1138" t="b">
        <v>0</v>
      </c>
      <c r="N1138" t="s">
        <v>8281</v>
      </c>
      <c r="O1138" s="11">
        <f t="shared" si="72"/>
        <v>6</v>
      </c>
      <c r="P1138" s="12">
        <f t="shared" si="73"/>
        <v>45</v>
      </c>
      <c r="Q1138" s="14" t="s">
        <v>8330</v>
      </c>
      <c r="R1138" t="s">
        <v>8332</v>
      </c>
      <c r="S1138" s="17">
        <f t="shared" si="74"/>
        <v>42327.671631944439</v>
      </c>
      <c r="T1138" s="17">
        <f t="shared" si="75"/>
        <v>42357.671631944439</v>
      </c>
      <c r="U1138">
        <f>MONTH(Table1[[#This Row],[Launched]])</f>
        <v>11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 s="8">
        <v>1461440421</v>
      </c>
      <c r="J1139">
        <v>1458848421</v>
      </c>
      <c r="K1139" t="b">
        <v>0</v>
      </c>
      <c r="L1139" s="10">
        <v>39</v>
      </c>
      <c r="M1139" t="b">
        <v>0</v>
      </c>
      <c r="N1139" t="s">
        <v>8281</v>
      </c>
      <c r="O1139" s="11">
        <f t="shared" si="72"/>
        <v>40</v>
      </c>
      <c r="P1139" s="12">
        <f t="shared" si="73"/>
        <v>253</v>
      </c>
      <c r="Q1139" s="14" t="s">
        <v>8330</v>
      </c>
      <c r="R1139" t="s">
        <v>8332</v>
      </c>
      <c r="S1139" s="17">
        <f t="shared" si="74"/>
        <v>42453.819687499999</v>
      </c>
      <c r="T1139" s="17">
        <f t="shared" si="75"/>
        <v>42483.819687499999</v>
      </c>
      <c r="U1139">
        <f>MONTH(Table1[[#This Row],[Launched]])</f>
        <v>3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 s="8">
        <v>1485035131</v>
      </c>
      <c r="J1140">
        <v>1483307131</v>
      </c>
      <c r="K1140" t="b">
        <v>0</v>
      </c>
      <c r="L1140" s="10">
        <v>4</v>
      </c>
      <c r="M1140" t="b">
        <v>0</v>
      </c>
      <c r="N1140" t="s">
        <v>8281</v>
      </c>
      <c r="O1140" s="11">
        <f t="shared" si="72"/>
        <v>0</v>
      </c>
      <c r="P1140" s="12">
        <f t="shared" si="73"/>
        <v>31</v>
      </c>
      <c r="Q1140" s="14" t="s">
        <v>8330</v>
      </c>
      <c r="R1140" t="s">
        <v>8332</v>
      </c>
      <c r="S1140" s="17">
        <f t="shared" si="74"/>
        <v>42736.9066087963</v>
      </c>
      <c r="T1140" s="17">
        <f t="shared" si="75"/>
        <v>42756.9066087963</v>
      </c>
      <c r="U1140">
        <f>MONTH(Table1[[#This Row],[Launched]])</f>
        <v>1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8220</v>
      </c>
      <c r="G1141" t="s">
        <v>8223</v>
      </c>
      <c r="H1141" t="s">
        <v>8245</v>
      </c>
      <c r="I1141" s="8">
        <v>1420100426</v>
      </c>
      <c r="J1141">
        <v>1417508426</v>
      </c>
      <c r="K1141" t="b">
        <v>0</v>
      </c>
      <c r="L1141" s="10">
        <v>1</v>
      </c>
      <c r="M1141" t="b">
        <v>0</v>
      </c>
      <c r="N1141" t="s">
        <v>8281</v>
      </c>
      <c r="O1141" s="11">
        <f t="shared" si="72"/>
        <v>0</v>
      </c>
      <c r="P1141" s="12">
        <f t="shared" si="73"/>
        <v>5</v>
      </c>
      <c r="Q1141" s="14" t="s">
        <v>8330</v>
      </c>
      <c r="R1141" t="s">
        <v>8332</v>
      </c>
      <c r="S1141" s="17">
        <f t="shared" si="74"/>
        <v>41975.347523148142</v>
      </c>
      <c r="T1141" s="17">
        <f t="shared" si="75"/>
        <v>42005.347523148142</v>
      </c>
      <c r="U1141">
        <f>MONTH(Table1[[#This Row],[Launched]])</f>
        <v>12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8220</v>
      </c>
      <c r="G1142" t="s">
        <v>8224</v>
      </c>
      <c r="H1142" t="s">
        <v>8246</v>
      </c>
      <c r="I1142" s="8">
        <v>1438859121</v>
      </c>
      <c r="J1142">
        <v>1436267121</v>
      </c>
      <c r="K1142" t="b">
        <v>0</v>
      </c>
      <c r="L1142" s="10">
        <v>0</v>
      </c>
      <c r="M1142" t="b">
        <v>0</v>
      </c>
      <c r="N1142" t="s">
        <v>8281</v>
      </c>
      <c r="O1142" s="11">
        <f t="shared" si="72"/>
        <v>0</v>
      </c>
      <c r="P1142" s="12" t="str">
        <f t="shared" si="73"/>
        <v>No Backers</v>
      </c>
      <c r="Q1142" s="14" t="s">
        <v>8330</v>
      </c>
      <c r="R1142" t="s">
        <v>8332</v>
      </c>
      <c r="S1142" s="17">
        <f t="shared" si="74"/>
        <v>42192.462048611109</v>
      </c>
      <c r="T1142" s="17">
        <f t="shared" si="75"/>
        <v>42222.462048611109</v>
      </c>
      <c r="U1142">
        <f>MONTH(Table1[[#This Row],[Launched]])</f>
        <v>7</v>
      </c>
    </row>
    <row r="1143" spans="1:21" ht="15.6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8220</v>
      </c>
      <c r="G1143" t="s">
        <v>8235</v>
      </c>
      <c r="H1143" t="s">
        <v>8248</v>
      </c>
      <c r="I1143" s="8">
        <v>1436460450</v>
      </c>
      <c r="J1143">
        <v>1433868450</v>
      </c>
      <c r="K1143" t="b">
        <v>0</v>
      </c>
      <c r="L1143" s="10">
        <v>0</v>
      </c>
      <c r="M1143" t="b">
        <v>0</v>
      </c>
      <c r="N1143" t="s">
        <v>8281</v>
      </c>
      <c r="O1143" s="11">
        <f t="shared" si="72"/>
        <v>0</v>
      </c>
      <c r="P1143" s="12" t="str">
        <f t="shared" si="73"/>
        <v>No Backers</v>
      </c>
      <c r="Q1143" s="14" t="s">
        <v>8330</v>
      </c>
      <c r="R1143" t="s">
        <v>8332</v>
      </c>
      <c r="S1143" s="17">
        <f t="shared" si="74"/>
        <v>42164.699652777781</v>
      </c>
      <c r="T1143" s="17">
        <f t="shared" si="75"/>
        <v>42194.699652777781</v>
      </c>
      <c r="U1143">
        <f>MONTH(Table1[[#This Row],[Launched]])</f>
        <v>6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8220</v>
      </c>
      <c r="G1144" t="s">
        <v>8223</v>
      </c>
      <c r="H1144" t="s">
        <v>8245</v>
      </c>
      <c r="I1144" s="8">
        <v>1424131727</v>
      </c>
      <c r="J1144">
        <v>1421539727</v>
      </c>
      <c r="K1144" t="b">
        <v>0</v>
      </c>
      <c r="L1144" s="10">
        <v>0</v>
      </c>
      <c r="M1144" t="b">
        <v>0</v>
      </c>
      <c r="N1144" t="s">
        <v>8281</v>
      </c>
      <c r="O1144" s="11">
        <f t="shared" si="72"/>
        <v>0</v>
      </c>
      <c r="P1144" s="12" t="str">
        <f t="shared" si="73"/>
        <v>No Backers</v>
      </c>
      <c r="Q1144" s="14" t="s">
        <v>8330</v>
      </c>
      <c r="R1144" t="s">
        <v>8332</v>
      </c>
      <c r="S1144" s="17">
        <f t="shared" si="74"/>
        <v>42022.006099537044</v>
      </c>
      <c r="T1144" s="17">
        <f t="shared" si="75"/>
        <v>42052.006099537044</v>
      </c>
      <c r="U1144">
        <f>MONTH(Table1[[#This Row],[Launched]])</f>
        <v>1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 s="8">
        <v>1450327126</v>
      </c>
      <c r="J1145">
        <v>1447735126</v>
      </c>
      <c r="K1145" t="b">
        <v>0</v>
      </c>
      <c r="L1145" s="10">
        <v>8</v>
      </c>
      <c r="M1145" t="b">
        <v>0</v>
      </c>
      <c r="N1145" t="s">
        <v>8281</v>
      </c>
      <c r="O1145" s="11">
        <f t="shared" si="72"/>
        <v>0</v>
      </c>
      <c r="P1145" s="12">
        <f t="shared" si="73"/>
        <v>23</v>
      </c>
      <c r="Q1145" s="14" t="s">
        <v>8330</v>
      </c>
      <c r="R1145" t="s">
        <v>8332</v>
      </c>
      <c r="S1145" s="17">
        <f t="shared" si="74"/>
        <v>42325.19358796296</v>
      </c>
      <c r="T1145" s="17">
        <f t="shared" si="75"/>
        <v>42355.19358796296</v>
      </c>
      <c r="U1145">
        <f>MONTH(Table1[[#This Row],[Launched]])</f>
        <v>11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8220</v>
      </c>
      <c r="G1146" t="s">
        <v>8223</v>
      </c>
      <c r="H1146" t="s">
        <v>8245</v>
      </c>
      <c r="I1146" s="8">
        <v>1430281320</v>
      </c>
      <c r="J1146">
        <v>1427689320</v>
      </c>
      <c r="K1146" t="b">
        <v>0</v>
      </c>
      <c r="L1146" s="10">
        <v>0</v>
      </c>
      <c r="M1146" t="b">
        <v>0</v>
      </c>
      <c r="N1146" t="s">
        <v>8282</v>
      </c>
      <c r="O1146" s="11">
        <f t="shared" si="72"/>
        <v>0</v>
      </c>
      <c r="P1146" s="12" t="str">
        <f t="shared" si="73"/>
        <v>No Backers</v>
      </c>
      <c r="Q1146" s="14" t="s">
        <v>8333</v>
      </c>
      <c r="R1146" t="s">
        <v>8334</v>
      </c>
      <c r="S1146" s="17">
        <f t="shared" si="74"/>
        <v>42093.181944444441</v>
      </c>
      <c r="T1146" s="17">
        <f t="shared" si="75"/>
        <v>42123.181944444441</v>
      </c>
      <c r="U1146">
        <f>MONTH(Table1[[#This Row],[Launched]])</f>
        <v>3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 s="8">
        <v>1412272592</v>
      </c>
      <c r="J1147">
        <v>1407088592</v>
      </c>
      <c r="K1147" t="b">
        <v>0</v>
      </c>
      <c r="L1147" s="10">
        <v>1</v>
      </c>
      <c r="M1147" t="b">
        <v>0</v>
      </c>
      <c r="N1147" t="s">
        <v>8282</v>
      </c>
      <c r="O1147" s="11">
        <f t="shared" si="72"/>
        <v>0</v>
      </c>
      <c r="P1147" s="12">
        <f t="shared" si="73"/>
        <v>100</v>
      </c>
      <c r="Q1147" s="14" t="s">
        <v>8333</v>
      </c>
      <c r="R1147" t="s">
        <v>8334</v>
      </c>
      <c r="S1147" s="17">
        <f t="shared" si="74"/>
        <v>41854.747592592597</v>
      </c>
      <c r="T1147" s="17">
        <f t="shared" si="75"/>
        <v>41914.747592592597</v>
      </c>
      <c r="U1147">
        <f>MONTH(Table1[[#This Row],[Launched]])</f>
        <v>8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8220</v>
      </c>
      <c r="G1148" t="s">
        <v>8223</v>
      </c>
      <c r="H1148" t="s">
        <v>8245</v>
      </c>
      <c r="I1148" s="8">
        <v>1399071173</v>
      </c>
      <c r="J1148">
        <v>1395787973</v>
      </c>
      <c r="K1148" t="b">
        <v>0</v>
      </c>
      <c r="L1148" s="10">
        <v>12</v>
      </c>
      <c r="M1148" t="b">
        <v>0</v>
      </c>
      <c r="N1148" t="s">
        <v>8282</v>
      </c>
      <c r="O1148" s="11">
        <f t="shared" si="72"/>
        <v>9</v>
      </c>
      <c r="P1148" s="12">
        <f t="shared" si="73"/>
        <v>44</v>
      </c>
      <c r="Q1148" s="14" t="s">
        <v>8333</v>
      </c>
      <c r="R1148" t="s">
        <v>8334</v>
      </c>
      <c r="S1148" s="17">
        <f t="shared" si="74"/>
        <v>41723.9533912037</v>
      </c>
      <c r="T1148" s="17">
        <f t="shared" si="75"/>
        <v>41761.9533912037</v>
      </c>
      <c r="U1148">
        <f>MONTH(Table1[[#This Row],[Launched]])</f>
        <v>3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8220</v>
      </c>
      <c r="G1149" t="s">
        <v>8228</v>
      </c>
      <c r="H1149" t="s">
        <v>8250</v>
      </c>
      <c r="I1149" s="8">
        <v>1413760783</v>
      </c>
      <c r="J1149">
        <v>1408576783</v>
      </c>
      <c r="K1149" t="b">
        <v>0</v>
      </c>
      <c r="L1149" s="10">
        <v>0</v>
      </c>
      <c r="M1149" t="b">
        <v>0</v>
      </c>
      <c r="N1149" t="s">
        <v>8282</v>
      </c>
      <c r="O1149" s="11">
        <f t="shared" si="72"/>
        <v>0</v>
      </c>
      <c r="P1149" s="12" t="str">
        <f t="shared" si="73"/>
        <v>No Backers</v>
      </c>
      <c r="Q1149" s="14" t="s">
        <v>8333</v>
      </c>
      <c r="R1149" t="s">
        <v>8334</v>
      </c>
      <c r="S1149" s="17">
        <f t="shared" si="74"/>
        <v>41871.972025462965</v>
      </c>
      <c r="T1149" s="17">
        <f t="shared" si="75"/>
        <v>41931.972025462965</v>
      </c>
      <c r="U1149">
        <f>MONTH(Table1[[#This Row],[Launched]])</f>
        <v>8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8220</v>
      </c>
      <c r="G1150" t="s">
        <v>8223</v>
      </c>
      <c r="H1150" t="s">
        <v>8245</v>
      </c>
      <c r="I1150" s="8">
        <v>1480568781</v>
      </c>
      <c r="J1150">
        <v>1477973181</v>
      </c>
      <c r="K1150" t="b">
        <v>0</v>
      </c>
      <c r="L1150" s="10">
        <v>3</v>
      </c>
      <c r="M1150" t="b">
        <v>0</v>
      </c>
      <c r="N1150" t="s">
        <v>8282</v>
      </c>
      <c r="O1150" s="11">
        <f t="shared" si="72"/>
        <v>0</v>
      </c>
      <c r="P1150" s="12">
        <f t="shared" si="73"/>
        <v>24</v>
      </c>
      <c r="Q1150" s="14" t="s">
        <v>8333</v>
      </c>
      <c r="R1150" t="s">
        <v>8334</v>
      </c>
      <c r="S1150" s="17">
        <f t="shared" si="74"/>
        <v>42675.171076388884</v>
      </c>
      <c r="T1150" s="17">
        <f t="shared" si="75"/>
        <v>42705.212743055556</v>
      </c>
      <c r="U1150">
        <f>MONTH(Table1[[#This Row],[Launched]])</f>
        <v>11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8220</v>
      </c>
      <c r="G1151" t="s">
        <v>8223</v>
      </c>
      <c r="H1151" t="s">
        <v>8245</v>
      </c>
      <c r="I1151" s="8">
        <v>1466096566</v>
      </c>
      <c r="J1151">
        <v>1463504566</v>
      </c>
      <c r="K1151" t="b">
        <v>0</v>
      </c>
      <c r="L1151" s="10">
        <v>2</v>
      </c>
      <c r="M1151" t="b">
        <v>0</v>
      </c>
      <c r="N1151" t="s">
        <v>8282</v>
      </c>
      <c r="O1151" s="11">
        <f t="shared" si="72"/>
        <v>0</v>
      </c>
      <c r="P1151" s="12">
        <f t="shared" si="73"/>
        <v>38</v>
      </c>
      <c r="Q1151" s="14" t="s">
        <v>8333</v>
      </c>
      <c r="R1151" t="s">
        <v>8334</v>
      </c>
      <c r="S1151" s="17">
        <f t="shared" si="74"/>
        <v>42507.71025462963</v>
      </c>
      <c r="T1151" s="17">
        <f t="shared" si="75"/>
        <v>42537.71025462963</v>
      </c>
      <c r="U1151">
        <f>MONTH(Table1[[#This Row],[Launched]])</f>
        <v>5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8220</v>
      </c>
      <c r="G1152" t="s">
        <v>8223</v>
      </c>
      <c r="H1152" t="s">
        <v>8245</v>
      </c>
      <c r="I1152" s="8">
        <v>1452293675</v>
      </c>
      <c r="J1152">
        <v>1447109675</v>
      </c>
      <c r="K1152" t="b">
        <v>0</v>
      </c>
      <c r="L1152" s="10">
        <v>6</v>
      </c>
      <c r="M1152" t="b">
        <v>0</v>
      </c>
      <c r="N1152" t="s">
        <v>8282</v>
      </c>
      <c r="O1152" s="11">
        <f t="shared" si="72"/>
        <v>10</v>
      </c>
      <c r="P1152" s="12">
        <f t="shared" si="73"/>
        <v>42</v>
      </c>
      <c r="Q1152" s="14" t="s">
        <v>8333</v>
      </c>
      <c r="R1152" t="s">
        <v>8334</v>
      </c>
      <c r="S1152" s="17">
        <f t="shared" si="74"/>
        <v>42317.954571759255</v>
      </c>
      <c r="T1152" s="17">
        <f t="shared" si="75"/>
        <v>42377.954571759255</v>
      </c>
      <c r="U1152">
        <f>MONTH(Table1[[#This Row],[Launched]])</f>
        <v>11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8220</v>
      </c>
      <c r="G1153" t="s">
        <v>8223</v>
      </c>
      <c r="H1153" t="s">
        <v>8245</v>
      </c>
      <c r="I1153" s="8">
        <v>1441592863</v>
      </c>
      <c r="J1153">
        <v>1439000863</v>
      </c>
      <c r="K1153" t="b">
        <v>0</v>
      </c>
      <c r="L1153" s="10">
        <v>0</v>
      </c>
      <c r="M1153" t="b">
        <v>0</v>
      </c>
      <c r="N1153" t="s">
        <v>8282</v>
      </c>
      <c r="O1153" s="11">
        <f t="shared" si="72"/>
        <v>0</v>
      </c>
      <c r="P1153" s="12" t="str">
        <f t="shared" si="73"/>
        <v>No Backers</v>
      </c>
      <c r="Q1153" s="14" t="s">
        <v>8333</v>
      </c>
      <c r="R1153" t="s">
        <v>8334</v>
      </c>
      <c r="S1153" s="17">
        <f t="shared" si="74"/>
        <v>42224.102581018517</v>
      </c>
      <c r="T1153" s="17">
        <f t="shared" si="75"/>
        <v>42254.102581018517</v>
      </c>
      <c r="U1153">
        <f>MONTH(Table1[[#This Row],[Launched]])</f>
        <v>8</v>
      </c>
    </row>
    <row r="1154" spans="1:21" ht="15.6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 s="8">
        <v>1431709312</v>
      </c>
      <c r="J1154">
        <v>1429117312</v>
      </c>
      <c r="K1154" t="b">
        <v>0</v>
      </c>
      <c r="L1154" s="10">
        <v>15</v>
      </c>
      <c r="M1154" t="b">
        <v>0</v>
      </c>
      <c r="N1154" t="s">
        <v>8282</v>
      </c>
      <c r="O1154" s="11">
        <f t="shared" ref="O1154:O1217" si="76">ROUND(E1154/D1154*100,0)</f>
        <v>6</v>
      </c>
      <c r="P1154" s="12">
        <f t="shared" si="73"/>
        <v>61</v>
      </c>
      <c r="Q1154" s="14" t="s">
        <v>8333</v>
      </c>
      <c r="R1154" t="s">
        <v>8334</v>
      </c>
      <c r="S1154" s="17">
        <f t="shared" si="74"/>
        <v>42109.709629629629</v>
      </c>
      <c r="T1154" s="17">
        <f t="shared" si="75"/>
        <v>42139.709629629629</v>
      </c>
      <c r="U1154">
        <f>MONTH(Table1[[#This Row],[Launched]])</f>
        <v>4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8220</v>
      </c>
      <c r="G1155" t="s">
        <v>8223</v>
      </c>
      <c r="H1155" t="s">
        <v>8245</v>
      </c>
      <c r="I1155" s="8">
        <v>1434647305</v>
      </c>
      <c r="J1155">
        <v>1432055305</v>
      </c>
      <c r="K1155" t="b">
        <v>0</v>
      </c>
      <c r="L1155" s="10">
        <v>1</v>
      </c>
      <c r="M1155" t="b">
        <v>0</v>
      </c>
      <c r="N1155" t="s">
        <v>8282</v>
      </c>
      <c r="O1155" s="11">
        <f t="shared" si="76"/>
        <v>1</v>
      </c>
      <c r="P1155" s="12">
        <f t="shared" ref="P1155:P1218" si="77">IFERROR(ROUND(E1155/L1155,),"No Backers")</f>
        <v>50</v>
      </c>
      <c r="Q1155" s="14" t="s">
        <v>8333</v>
      </c>
      <c r="R1155" t="s">
        <v>8334</v>
      </c>
      <c r="S1155" s="17">
        <f t="shared" ref="S1155:S1218" si="78">(((J1155/60)/60)/24)+DATE(1970,1,1)</f>
        <v>42143.714178240742</v>
      </c>
      <c r="T1155" s="17">
        <f t="shared" ref="T1155:T1218" si="79">(((I1155/60)/60)/24)+DATE(1970,1,1)</f>
        <v>42173.714178240742</v>
      </c>
      <c r="U1155">
        <f>MONTH(Table1[[#This Row],[Launched]])</f>
        <v>5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8220</v>
      </c>
      <c r="G1156" t="s">
        <v>8223</v>
      </c>
      <c r="H1156" t="s">
        <v>8245</v>
      </c>
      <c r="I1156" s="8">
        <v>1441507006</v>
      </c>
      <c r="J1156">
        <v>1438915006</v>
      </c>
      <c r="K1156" t="b">
        <v>0</v>
      </c>
      <c r="L1156" s="10">
        <v>3</v>
      </c>
      <c r="M1156" t="b">
        <v>0</v>
      </c>
      <c r="N1156" t="s">
        <v>8282</v>
      </c>
      <c r="O1156" s="11">
        <f t="shared" si="76"/>
        <v>7</v>
      </c>
      <c r="P1156" s="12">
        <f t="shared" si="77"/>
        <v>108</v>
      </c>
      <c r="Q1156" s="14" t="s">
        <v>8333</v>
      </c>
      <c r="R1156" t="s">
        <v>8334</v>
      </c>
      <c r="S1156" s="17">
        <f t="shared" si="78"/>
        <v>42223.108865740738</v>
      </c>
      <c r="T1156" s="17">
        <f t="shared" si="79"/>
        <v>42253.108865740738</v>
      </c>
      <c r="U1156">
        <f>MONTH(Table1[[#This Row],[Launched]])</f>
        <v>8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 s="8">
        <v>1408040408</v>
      </c>
      <c r="J1157">
        <v>1405448408</v>
      </c>
      <c r="K1157" t="b">
        <v>0</v>
      </c>
      <c r="L1157" s="10">
        <v>8</v>
      </c>
      <c r="M1157" t="b">
        <v>0</v>
      </c>
      <c r="N1157" t="s">
        <v>8282</v>
      </c>
      <c r="O1157" s="11">
        <f t="shared" si="76"/>
        <v>1</v>
      </c>
      <c r="P1157" s="12">
        <f t="shared" si="77"/>
        <v>24</v>
      </c>
      <c r="Q1157" s="14" t="s">
        <v>8333</v>
      </c>
      <c r="R1157" t="s">
        <v>8334</v>
      </c>
      <c r="S1157" s="17">
        <f t="shared" si="78"/>
        <v>41835.763981481483</v>
      </c>
      <c r="T1157" s="17">
        <f t="shared" si="79"/>
        <v>41865.763981481483</v>
      </c>
      <c r="U1157">
        <f>MONTH(Table1[[#This Row],[Launched]])</f>
        <v>7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8220</v>
      </c>
      <c r="G1158" t="s">
        <v>8223</v>
      </c>
      <c r="H1158" t="s">
        <v>8245</v>
      </c>
      <c r="I1158" s="8">
        <v>1424742162</v>
      </c>
      <c r="J1158">
        <v>1422150162</v>
      </c>
      <c r="K1158" t="b">
        <v>0</v>
      </c>
      <c r="L1158" s="10">
        <v>0</v>
      </c>
      <c r="M1158" t="b">
        <v>0</v>
      </c>
      <c r="N1158" t="s">
        <v>8282</v>
      </c>
      <c r="O1158" s="11">
        <f t="shared" si="76"/>
        <v>0</v>
      </c>
      <c r="P1158" s="12" t="str">
        <f t="shared" si="77"/>
        <v>No Backers</v>
      </c>
      <c r="Q1158" s="14" t="s">
        <v>8333</v>
      </c>
      <c r="R1158" t="s">
        <v>8334</v>
      </c>
      <c r="S1158" s="17">
        <f t="shared" si="78"/>
        <v>42029.07131944444</v>
      </c>
      <c r="T1158" s="17">
        <f t="shared" si="79"/>
        <v>42059.07131944444</v>
      </c>
      <c r="U1158">
        <f>MONTH(Table1[[#This Row],[Launched]])</f>
        <v>1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 s="8">
        <v>1417795480</v>
      </c>
      <c r="J1159">
        <v>1412607880</v>
      </c>
      <c r="K1159" t="b">
        <v>0</v>
      </c>
      <c r="L1159" s="10">
        <v>3</v>
      </c>
      <c r="M1159" t="b">
        <v>0</v>
      </c>
      <c r="N1159" t="s">
        <v>8282</v>
      </c>
      <c r="O1159" s="11">
        <f t="shared" si="76"/>
        <v>2</v>
      </c>
      <c r="P1159" s="12">
        <f t="shared" si="77"/>
        <v>50</v>
      </c>
      <c r="Q1159" s="14" t="s">
        <v>8333</v>
      </c>
      <c r="R1159" t="s">
        <v>8334</v>
      </c>
      <c r="S1159" s="17">
        <f t="shared" si="78"/>
        <v>41918.628240740742</v>
      </c>
      <c r="T1159" s="17">
        <f t="shared" si="79"/>
        <v>41978.669907407413</v>
      </c>
      <c r="U1159">
        <f>MONTH(Table1[[#This Row],[Launched]])</f>
        <v>10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8220</v>
      </c>
      <c r="G1160" t="s">
        <v>8223</v>
      </c>
      <c r="H1160" t="s">
        <v>8245</v>
      </c>
      <c r="I1160" s="8">
        <v>1418091128</v>
      </c>
      <c r="J1160">
        <v>1415499128</v>
      </c>
      <c r="K1160" t="b">
        <v>0</v>
      </c>
      <c r="L1160" s="10">
        <v>3</v>
      </c>
      <c r="M1160" t="b">
        <v>0</v>
      </c>
      <c r="N1160" t="s">
        <v>8282</v>
      </c>
      <c r="O1160" s="11">
        <f t="shared" si="76"/>
        <v>0</v>
      </c>
      <c r="P1160" s="12">
        <f t="shared" si="77"/>
        <v>12</v>
      </c>
      <c r="Q1160" s="14" t="s">
        <v>8333</v>
      </c>
      <c r="R1160" t="s">
        <v>8334</v>
      </c>
      <c r="S1160" s="17">
        <f t="shared" si="78"/>
        <v>41952.09175925926</v>
      </c>
      <c r="T1160" s="17">
        <f t="shared" si="79"/>
        <v>41982.09175925926</v>
      </c>
      <c r="U1160">
        <f>MONTH(Table1[[#This Row],[Launched]])</f>
        <v>11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8220</v>
      </c>
      <c r="G1161" t="s">
        <v>8223</v>
      </c>
      <c r="H1161" t="s">
        <v>8245</v>
      </c>
      <c r="I1161" s="8">
        <v>1435679100</v>
      </c>
      <c r="J1161">
        <v>1433006765</v>
      </c>
      <c r="K1161" t="b">
        <v>0</v>
      </c>
      <c r="L1161" s="10">
        <v>0</v>
      </c>
      <c r="M1161" t="b">
        <v>0</v>
      </c>
      <c r="N1161" t="s">
        <v>8282</v>
      </c>
      <c r="O1161" s="11">
        <f t="shared" si="76"/>
        <v>0</v>
      </c>
      <c r="P1161" s="12" t="str">
        <f t="shared" si="77"/>
        <v>No Backers</v>
      </c>
      <c r="Q1161" s="14" t="s">
        <v>8333</v>
      </c>
      <c r="R1161" t="s">
        <v>8334</v>
      </c>
      <c r="S1161" s="17">
        <f t="shared" si="78"/>
        <v>42154.726446759261</v>
      </c>
      <c r="T1161" s="17">
        <f t="shared" si="79"/>
        <v>42185.65625</v>
      </c>
      <c r="U1161">
        <f>MONTH(Table1[[#This Row],[Launched]])</f>
        <v>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 s="8">
        <v>1427510586</v>
      </c>
      <c r="J1162">
        <v>1424922186</v>
      </c>
      <c r="K1162" t="b">
        <v>0</v>
      </c>
      <c r="L1162" s="10">
        <v>19</v>
      </c>
      <c r="M1162" t="b">
        <v>0</v>
      </c>
      <c r="N1162" t="s">
        <v>8282</v>
      </c>
      <c r="O1162" s="11">
        <f t="shared" si="76"/>
        <v>4</v>
      </c>
      <c r="P1162" s="12">
        <f t="shared" si="77"/>
        <v>61</v>
      </c>
      <c r="Q1162" s="14" t="s">
        <v>8333</v>
      </c>
      <c r="R1162" t="s">
        <v>8334</v>
      </c>
      <c r="S1162" s="17">
        <f t="shared" si="78"/>
        <v>42061.154930555553</v>
      </c>
      <c r="T1162" s="17">
        <f t="shared" si="79"/>
        <v>42091.113263888896</v>
      </c>
      <c r="U1162">
        <f>MONTH(Table1[[#This Row],[Launched]])</f>
        <v>2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8220</v>
      </c>
      <c r="G1163" t="s">
        <v>8223</v>
      </c>
      <c r="H1163" t="s">
        <v>8245</v>
      </c>
      <c r="I1163" s="8">
        <v>1432047989</v>
      </c>
      <c r="J1163">
        <v>1430233589</v>
      </c>
      <c r="K1163" t="b">
        <v>0</v>
      </c>
      <c r="L1163" s="10">
        <v>0</v>
      </c>
      <c r="M1163" t="b">
        <v>0</v>
      </c>
      <c r="N1163" t="s">
        <v>8282</v>
      </c>
      <c r="O1163" s="11">
        <f t="shared" si="76"/>
        <v>0</v>
      </c>
      <c r="P1163" s="12" t="str">
        <f t="shared" si="77"/>
        <v>No Backers</v>
      </c>
      <c r="Q1163" s="14" t="s">
        <v>8333</v>
      </c>
      <c r="R1163" t="s">
        <v>8334</v>
      </c>
      <c r="S1163" s="17">
        <f t="shared" si="78"/>
        <v>42122.629502314812</v>
      </c>
      <c r="T1163" s="17">
        <f t="shared" si="79"/>
        <v>42143.629502314812</v>
      </c>
      <c r="U1163">
        <f>MONTH(Table1[[#This Row],[Launched]])</f>
        <v>4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8220</v>
      </c>
      <c r="G1164" t="s">
        <v>8223</v>
      </c>
      <c r="H1164" t="s">
        <v>8245</v>
      </c>
      <c r="I1164" s="8">
        <v>1411662264</v>
      </c>
      <c r="J1164">
        <v>1408983864</v>
      </c>
      <c r="K1164" t="b">
        <v>0</v>
      </c>
      <c r="L1164" s="10">
        <v>2</v>
      </c>
      <c r="M1164" t="b">
        <v>0</v>
      </c>
      <c r="N1164" t="s">
        <v>8282</v>
      </c>
      <c r="O1164" s="11">
        <f t="shared" si="76"/>
        <v>0</v>
      </c>
      <c r="P1164" s="12">
        <f t="shared" si="77"/>
        <v>18</v>
      </c>
      <c r="Q1164" s="14" t="s">
        <v>8333</v>
      </c>
      <c r="R1164" t="s">
        <v>8334</v>
      </c>
      <c r="S1164" s="17">
        <f t="shared" si="78"/>
        <v>41876.683611111112</v>
      </c>
      <c r="T1164" s="17">
        <f t="shared" si="79"/>
        <v>41907.683611111112</v>
      </c>
      <c r="U1164">
        <f>MONTH(Table1[[#This Row],[Launched]])</f>
        <v>8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8220</v>
      </c>
      <c r="G1165" t="s">
        <v>8223</v>
      </c>
      <c r="H1165" t="s">
        <v>8245</v>
      </c>
      <c r="I1165" s="8">
        <v>1407604920</v>
      </c>
      <c r="J1165">
        <v>1405012920</v>
      </c>
      <c r="K1165" t="b">
        <v>0</v>
      </c>
      <c r="L1165" s="10">
        <v>0</v>
      </c>
      <c r="M1165" t="b">
        <v>0</v>
      </c>
      <c r="N1165" t="s">
        <v>8282</v>
      </c>
      <c r="O1165" s="11">
        <f t="shared" si="76"/>
        <v>0</v>
      </c>
      <c r="P1165" s="12" t="str">
        <f t="shared" si="77"/>
        <v>No Backers</v>
      </c>
      <c r="Q1165" s="14" t="s">
        <v>8333</v>
      </c>
      <c r="R1165" t="s">
        <v>8334</v>
      </c>
      <c r="S1165" s="17">
        <f t="shared" si="78"/>
        <v>41830.723611111112</v>
      </c>
      <c r="T1165" s="17">
        <f t="shared" si="79"/>
        <v>41860.723611111112</v>
      </c>
      <c r="U1165">
        <f>MONTH(Table1[[#This Row],[Launched]])</f>
        <v>7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8220</v>
      </c>
      <c r="G1166" t="s">
        <v>8223</v>
      </c>
      <c r="H1166" t="s">
        <v>8245</v>
      </c>
      <c r="I1166" s="8">
        <v>1466270582</v>
      </c>
      <c r="J1166">
        <v>1463678582</v>
      </c>
      <c r="K1166" t="b">
        <v>0</v>
      </c>
      <c r="L1166" s="10">
        <v>0</v>
      </c>
      <c r="M1166" t="b">
        <v>0</v>
      </c>
      <c r="N1166" t="s">
        <v>8282</v>
      </c>
      <c r="O1166" s="11">
        <f t="shared" si="76"/>
        <v>0</v>
      </c>
      <c r="P1166" s="12" t="str">
        <f t="shared" si="77"/>
        <v>No Backers</v>
      </c>
      <c r="Q1166" s="14" t="s">
        <v>8333</v>
      </c>
      <c r="R1166" t="s">
        <v>8334</v>
      </c>
      <c r="S1166" s="17">
        <f t="shared" si="78"/>
        <v>42509.724328703705</v>
      </c>
      <c r="T1166" s="17">
        <f t="shared" si="79"/>
        <v>42539.724328703705</v>
      </c>
      <c r="U1166">
        <f>MONTH(Table1[[#This Row],[Launched]])</f>
        <v>5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 s="8">
        <v>1404623330</v>
      </c>
      <c r="J1167">
        <v>1401685730</v>
      </c>
      <c r="K1167" t="b">
        <v>0</v>
      </c>
      <c r="L1167" s="10">
        <v>25</v>
      </c>
      <c r="M1167" t="b">
        <v>0</v>
      </c>
      <c r="N1167" t="s">
        <v>8282</v>
      </c>
      <c r="O1167" s="11">
        <f t="shared" si="76"/>
        <v>21</v>
      </c>
      <c r="P1167" s="12">
        <f t="shared" si="77"/>
        <v>83</v>
      </c>
      <c r="Q1167" s="14" t="s">
        <v>8333</v>
      </c>
      <c r="R1167" t="s">
        <v>8334</v>
      </c>
      <c r="S1167" s="17">
        <f t="shared" si="78"/>
        <v>41792.214467592588</v>
      </c>
      <c r="T1167" s="17">
        <f t="shared" si="79"/>
        <v>41826.214467592588</v>
      </c>
      <c r="U1167">
        <f>MONTH(Table1[[#This Row],[Launched]])</f>
        <v>6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 s="8">
        <v>1435291200</v>
      </c>
      <c r="J1168">
        <v>1432640342</v>
      </c>
      <c r="K1168" t="b">
        <v>0</v>
      </c>
      <c r="L1168" s="10">
        <v>8</v>
      </c>
      <c r="M1168" t="b">
        <v>0</v>
      </c>
      <c r="N1168" t="s">
        <v>8282</v>
      </c>
      <c r="O1168" s="11">
        <f t="shared" si="76"/>
        <v>19</v>
      </c>
      <c r="P1168" s="12">
        <f t="shared" si="77"/>
        <v>359</v>
      </c>
      <c r="Q1168" s="14" t="s">
        <v>8333</v>
      </c>
      <c r="R1168" t="s">
        <v>8334</v>
      </c>
      <c r="S1168" s="17">
        <f t="shared" si="78"/>
        <v>42150.485439814816</v>
      </c>
      <c r="T1168" s="17">
        <f t="shared" si="79"/>
        <v>42181.166666666672</v>
      </c>
      <c r="U1168">
        <f>MONTH(Table1[[#This Row],[Launched]])</f>
        <v>5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 s="8">
        <v>1410543495</v>
      </c>
      <c r="J1169">
        <v>1407865095</v>
      </c>
      <c r="K1169" t="b">
        <v>0</v>
      </c>
      <c r="L1169" s="10">
        <v>16</v>
      </c>
      <c r="M1169" t="b">
        <v>0</v>
      </c>
      <c r="N1169" t="s">
        <v>8282</v>
      </c>
      <c r="O1169" s="11">
        <f t="shared" si="76"/>
        <v>2</v>
      </c>
      <c r="P1169" s="12">
        <f t="shared" si="77"/>
        <v>61</v>
      </c>
      <c r="Q1169" s="14" t="s">
        <v>8333</v>
      </c>
      <c r="R1169" t="s">
        <v>8334</v>
      </c>
      <c r="S1169" s="17">
        <f t="shared" si="78"/>
        <v>41863.734895833331</v>
      </c>
      <c r="T1169" s="17">
        <f t="shared" si="79"/>
        <v>41894.734895833331</v>
      </c>
      <c r="U1169">
        <f>MONTH(Table1[[#This Row],[Launched]])</f>
        <v>8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 s="8">
        <v>1474507065</v>
      </c>
      <c r="J1170">
        <v>1471915065</v>
      </c>
      <c r="K1170" t="b">
        <v>0</v>
      </c>
      <c r="L1170" s="10">
        <v>3</v>
      </c>
      <c r="M1170" t="b">
        <v>0</v>
      </c>
      <c r="N1170" t="s">
        <v>8282</v>
      </c>
      <c r="O1170" s="11">
        <f t="shared" si="76"/>
        <v>6</v>
      </c>
      <c r="P1170" s="12">
        <f t="shared" si="77"/>
        <v>340</v>
      </c>
      <c r="Q1170" s="14" t="s">
        <v>8333</v>
      </c>
      <c r="R1170" t="s">
        <v>8334</v>
      </c>
      <c r="S1170" s="17">
        <f t="shared" si="78"/>
        <v>42605.053993055553</v>
      </c>
      <c r="T1170" s="17">
        <f t="shared" si="79"/>
        <v>42635.053993055553</v>
      </c>
      <c r="U1170">
        <f>MONTH(Table1[[#This Row],[Launched]])</f>
        <v>8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8220</v>
      </c>
      <c r="G1171" t="s">
        <v>8223</v>
      </c>
      <c r="H1171" t="s">
        <v>8245</v>
      </c>
      <c r="I1171" s="8">
        <v>1424593763</v>
      </c>
      <c r="J1171">
        <v>1422001763</v>
      </c>
      <c r="K1171" t="b">
        <v>0</v>
      </c>
      <c r="L1171" s="10">
        <v>3</v>
      </c>
      <c r="M1171" t="b">
        <v>0</v>
      </c>
      <c r="N1171" t="s">
        <v>8282</v>
      </c>
      <c r="O1171" s="11">
        <f t="shared" si="76"/>
        <v>0</v>
      </c>
      <c r="P1171" s="12">
        <f t="shared" si="77"/>
        <v>6</v>
      </c>
      <c r="Q1171" s="14" t="s">
        <v>8333</v>
      </c>
      <c r="R1171" t="s">
        <v>8334</v>
      </c>
      <c r="S1171" s="17">
        <f t="shared" si="78"/>
        <v>42027.353738425925</v>
      </c>
      <c r="T1171" s="17">
        <f t="shared" si="79"/>
        <v>42057.353738425925</v>
      </c>
      <c r="U1171">
        <f>MONTH(Table1[[#This Row],[Launched]])</f>
        <v>1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 s="8">
        <v>1433021171</v>
      </c>
      <c r="J1172">
        <v>1430429171</v>
      </c>
      <c r="K1172" t="b">
        <v>0</v>
      </c>
      <c r="L1172" s="10">
        <v>2</v>
      </c>
      <c r="M1172" t="b">
        <v>0</v>
      </c>
      <c r="N1172" t="s">
        <v>8282</v>
      </c>
      <c r="O1172" s="11">
        <f t="shared" si="76"/>
        <v>0</v>
      </c>
      <c r="P1172" s="12">
        <f t="shared" si="77"/>
        <v>50</v>
      </c>
      <c r="Q1172" s="14" t="s">
        <v>8333</v>
      </c>
      <c r="R1172" t="s">
        <v>8334</v>
      </c>
      <c r="S1172" s="17">
        <f t="shared" si="78"/>
        <v>42124.893182870372</v>
      </c>
      <c r="T1172" s="17">
        <f t="shared" si="79"/>
        <v>42154.893182870372</v>
      </c>
      <c r="U1172">
        <f>MONTH(Table1[[#This Row],[Launched]])</f>
        <v>4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8220</v>
      </c>
      <c r="G1173" t="s">
        <v>8223</v>
      </c>
      <c r="H1173" t="s">
        <v>8245</v>
      </c>
      <c r="I1173" s="8">
        <v>1415909927</v>
      </c>
      <c r="J1173">
        <v>1414351127</v>
      </c>
      <c r="K1173" t="b">
        <v>0</v>
      </c>
      <c r="L1173" s="10">
        <v>1</v>
      </c>
      <c r="M1173" t="b">
        <v>0</v>
      </c>
      <c r="N1173" t="s">
        <v>8282</v>
      </c>
      <c r="O1173" s="11">
        <f t="shared" si="76"/>
        <v>0</v>
      </c>
      <c r="P1173" s="12">
        <f t="shared" si="77"/>
        <v>25</v>
      </c>
      <c r="Q1173" s="14" t="s">
        <v>8333</v>
      </c>
      <c r="R1173" t="s">
        <v>8334</v>
      </c>
      <c r="S1173" s="17">
        <f t="shared" si="78"/>
        <v>41938.804710648146</v>
      </c>
      <c r="T1173" s="17">
        <f t="shared" si="79"/>
        <v>41956.846377314811</v>
      </c>
      <c r="U1173">
        <f>MONTH(Table1[[#This Row],[Launched]])</f>
        <v>10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8220</v>
      </c>
      <c r="G1174" t="s">
        <v>8223</v>
      </c>
      <c r="H1174" t="s">
        <v>8245</v>
      </c>
      <c r="I1174" s="8">
        <v>1408551752</v>
      </c>
      <c r="J1174">
        <v>1405959752</v>
      </c>
      <c r="K1174" t="b">
        <v>0</v>
      </c>
      <c r="L1174" s="10">
        <v>0</v>
      </c>
      <c r="M1174" t="b">
        <v>0</v>
      </c>
      <c r="N1174" t="s">
        <v>8282</v>
      </c>
      <c r="O1174" s="11">
        <f t="shared" si="76"/>
        <v>0</v>
      </c>
      <c r="P1174" s="12" t="str">
        <f t="shared" si="77"/>
        <v>No Backers</v>
      </c>
      <c r="Q1174" s="14" t="s">
        <v>8333</v>
      </c>
      <c r="R1174" t="s">
        <v>8334</v>
      </c>
      <c r="S1174" s="17">
        <f t="shared" si="78"/>
        <v>41841.682314814818</v>
      </c>
      <c r="T1174" s="17">
        <f t="shared" si="79"/>
        <v>41871.682314814818</v>
      </c>
      <c r="U1174">
        <f>MONTH(Table1[[#This Row],[Launched]])</f>
        <v>7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 s="8">
        <v>1438576057</v>
      </c>
      <c r="J1175">
        <v>1435552057</v>
      </c>
      <c r="K1175" t="b">
        <v>0</v>
      </c>
      <c r="L1175" s="10">
        <v>1</v>
      </c>
      <c r="M1175" t="b">
        <v>0</v>
      </c>
      <c r="N1175" t="s">
        <v>8282</v>
      </c>
      <c r="O1175" s="11">
        <f t="shared" si="76"/>
        <v>0</v>
      </c>
      <c r="P1175" s="12">
        <f t="shared" si="77"/>
        <v>30</v>
      </c>
      <c r="Q1175" s="14" t="s">
        <v>8333</v>
      </c>
      <c r="R1175" t="s">
        <v>8334</v>
      </c>
      <c r="S1175" s="17">
        <f t="shared" si="78"/>
        <v>42184.185844907406</v>
      </c>
      <c r="T1175" s="17">
        <f t="shared" si="79"/>
        <v>42219.185844907406</v>
      </c>
      <c r="U1175">
        <f>MONTH(Table1[[#This Row],[Launched]])</f>
        <v>6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 s="8">
        <v>1462738327</v>
      </c>
      <c r="J1176">
        <v>1460146327</v>
      </c>
      <c r="K1176" t="b">
        <v>0</v>
      </c>
      <c r="L1176" s="10">
        <v>19</v>
      </c>
      <c r="M1176" t="b">
        <v>0</v>
      </c>
      <c r="N1176" t="s">
        <v>8282</v>
      </c>
      <c r="O1176" s="11">
        <f t="shared" si="76"/>
        <v>6</v>
      </c>
      <c r="P1176" s="12">
        <f t="shared" si="77"/>
        <v>47</v>
      </c>
      <c r="Q1176" s="14" t="s">
        <v>8333</v>
      </c>
      <c r="R1176" t="s">
        <v>8334</v>
      </c>
      <c r="S1176" s="17">
        <f t="shared" si="78"/>
        <v>42468.84174768519</v>
      </c>
      <c r="T1176" s="17">
        <f t="shared" si="79"/>
        <v>42498.84174768519</v>
      </c>
      <c r="U1176">
        <f>MONTH(Table1[[#This Row],[Launched]])</f>
        <v>4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 s="8">
        <v>1436981339</v>
      </c>
      <c r="J1177">
        <v>1434389339</v>
      </c>
      <c r="K1177" t="b">
        <v>0</v>
      </c>
      <c r="L1177" s="10">
        <v>9</v>
      </c>
      <c r="M1177" t="b">
        <v>0</v>
      </c>
      <c r="N1177" t="s">
        <v>8282</v>
      </c>
      <c r="O1177" s="11">
        <f t="shared" si="76"/>
        <v>3</v>
      </c>
      <c r="P1177" s="12">
        <f t="shared" si="77"/>
        <v>65</v>
      </c>
      <c r="Q1177" s="14" t="s">
        <v>8333</v>
      </c>
      <c r="R1177" t="s">
        <v>8334</v>
      </c>
      <c r="S1177" s="17">
        <f t="shared" si="78"/>
        <v>42170.728460648148</v>
      </c>
      <c r="T1177" s="17">
        <f t="shared" si="79"/>
        <v>42200.728460648148</v>
      </c>
      <c r="U1177">
        <f>MONTH(Table1[[#This Row],[Launched]])</f>
        <v>6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 s="8">
        <v>1488805200</v>
      </c>
      <c r="J1178">
        <v>1484094498</v>
      </c>
      <c r="K1178" t="b">
        <v>0</v>
      </c>
      <c r="L1178" s="10">
        <v>1</v>
      </c>
      <c r="M1178" t="b">
        <v>0</v>
      </c>
      <c r="N1178" t="s">
        <v>8282</v>
      </c>
      <c r="O1178" s="11">
        <f t="shared" si="76"/>
        <v>0</v>
      </c>
      <c r="P1178" s="12">
        <f t="shared" si="77"/>
        <v>10</v>
      </c>
      <c r="Q1178" s="14" t="s">
        <v>8333</v>
      </c>
      <c r="R1178" t="s">
        <v>8334</v>
      </c>
      <c r="S1178" s="17">
        <f t="shared" si="78"/>
        <v>42746.019652777773</v>
      </c>
      <c r="T1178" s="17">
        <f t="shared" si="79"/>
        <v>42800.541666666672</v>
      </c>
      <c r="U1178">
        <f>MONTH(Table1[[#This Row],[Launched]])</f>
        <v>1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8220</v>
      </c>
      <c r="G1179" t="s">
        <v>8224</v>
      </c>
      <c r="H1179" t="s">
        <v>8246</v>
      </c>
      <c r="I1179" s="8">
        <v>1413388296</v>
      </c>
      <c r="J1179">
        <v>1410796296</v>
      </c>
      <c r="K1179" t="b">
        <v>0</v>
      </c>
      <c r="L1179" s="10">
        <v>0</v>
      </c>
      <c r="M1179" t="b">
        <v>0</v>
      </c>
      <c r="N1179" t="s">
        <v>8282</v>
      </c>
      <c r="O1179" s="11">
        <f t="shared" si="76"/>
        <v>0</v>
      </c>
      <c r="P1179" s="12" t="str">
        <f t="shared" si="77"/>
        <v>No Backers</v>
      </c>
      <c r="Q1179" s="14" t="s">
        <v>8333</v>
      </c>
      <c r="R1179" t="s">
        <v>8334</v>
      </c>
      <c r="S1179" s="17">
        <f t="shared" si="78"/>
        <v>41897.660833333335</v>
      </c>
      <c r="T1179" s="17">
        <f t="shared" si="79"/>
        <v>41927.660833333335</v>
      </c>
      <c r="U1179">
        <f>MONTH(Table1[[#This Row],[Launched]])</f>
        <v>9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8220</v>
      </c>
      <c r="G1180" t="s">
        <v>8223</v>
      </c>
      <c r="H1180" t="s">
        <v>8245</v>
      </c>
      <c r="I1180" s="8">
        <v>1408225452</v>
      </c>
      <c r="J1180">
        <v>1405633452</v>
      </c>
      <c r="K1180" t="b">
        <v>0</v>
      </c>
      <c r="L1180" s="10">
        <v>1</v>
      </c>
      <c r="M1180" t="b">
        <v>0</v>
      </c>
      <c r="N1180" t="s">
        <v>8282</v>
      </c>
      <c r="O1180" s="11">
        <f t="shared" si="76"/>
        <v>0</v>
      </c>
      <c r="P1180" s="12">
        <f t="shared" si="77"/>
        <v>5</v>
      </c>
      <c r="Q1180" s="14" t="s">
        <v>8333</v>
      </c>
      <c r="R1180" t="s">
        <v>8334</v>
      </c>
      <c r="S1180" s="17">
        <f t="shared" si="78"/>
        <v>41837.905694444446</v>
      </c>
      <c r="T1180" s="17">
        <f t="shared" si="79"/>
        <v>41867.905694444446</v>
      </c>
      <c r="U1180">
        <f>MONTH(Table1[[#This Row],[Launched]])</f>
        <v>7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 s="8">
        <v>1446052627</v>
      </c>
      <c r="J1181">
        <v>1443460627</v>
      </c>
      <c r="K1181" t="b">
        <v>0</v>
      </c>
      <c r="L1181" s="10">
        <v>5</v>
      </c>
      <c r="M1181" t="b">
        <v>0</v>
      </c>
      <c r="N1181" t="s">
        <v>8282</v>
      </c>
      <c r="O1181" s="11">
        <f t="shared" si="76"/>
        <v>5</v>
      </c>
      <c r="P1181" s="12">
        <f t="shared" si="77"/>
        <v>640</v>
      </c>
      <c r="Q1181" s="14" t="s">
        <v>8333</v>
      </c>
      <c r="R1181" t="s">
        <v>8334</v>
      </c>
      <c r="S1181" s="17">
        <f t="shared" si="78"/>
        <v>42275.720219907409</v>
      </c>
      <c r="T1181" s="17">
        <f t="shared" si="79"/>
        <v>42305.720219907409</v>
      </c>
      <c r="U1181">
        <f>MONTH(Table1[[#This Row],[Launched]])</f>
        <v>9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 s="8">
        <v>1403983314</v>
      </c>
      <c r="J1182">
        <v>1400786514</v>
      </c>
      <c r="K1182" t="b">
        <v>0</v>
      </c>
      <c r="L1182" s="10">
        <v>85</v>
      </c>
      <c r="M1182" t="b">
        <v>0</v>
      </c>
      <c r="N1182" t="s">
        <v>8282</v>
      </c>
      <c r="O1182" s="11">
        <f t="shared" si="76"/>
        <v>12</v>
      </c>
      <c r="P1182" s="12">
        <f t="shared" si="77"/>
        <v>69</v>
      </c>
      <c r="Q1182" s="14" t="s">
        <v>8333</v>
      </c>
      <c r="R1182" t="s">
        <v>8334</v>
      </c>
      <c r="S1182" s="17">
        <f t="shared" si="78"/>
        <v>41781.806875000002</v>
      </c>
      <c r="T1182" s="17">
        <f t="shared" si="79"/>
        <v>41818.806875000002</v>
      </c>
      <c r="U1182">
        <f>MONTH(Table1[[#This Row],[Launched]])</f>
        <v>5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8220</v>
      </c>
      <c r="G1183" t="s">
        <v>8223</v>
      </c>
      <c r="H1183" t="s">
        <v>8245</v>
      </c>
      <c r="I1183" s="8">
        <v>1425197321</v>
      </c>
      <c r="J1183">
        <v>1422605321</v>
      </c>
      <c r="K1183" t="b">
        <v>0</v>
      </c>
      <c r="L1183" s="10">
        <v>3</v>
      </c>
      <c r="M1183" t="b">
        <v>0</v>
      </c>
      <c r="N1183" t="s">
        <v>8282</v>
      </c>
      <c r="O1183" s="11">
        <f t="shared" si="76"/>
        <v>0</v>
      </c>
      <c r="P1183" s="12">
        <f t="shared" si="77"/>
        <v>1</v>
      </c>
      <c r="Q1183" s="14" t="s">
        <v>8333</v>
      </c>
      <c r="R1183" t="s">
        <v>8334</v>
      </c>
      <c r="S1183" s="17">
        <f t="shared" si="78"/>
        <v>42034.339363425926</v>
      </c>
      <c r="T1183" s="17">
        <f t="shared" si="79"/>
        <v>42064.339363425926</v>
      </c>
      <c r="U1183">
        <f>MONTH(Table1[[#This Row],[Launched]])</f>
        <v>1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8220</v>
      </c>
      <c r="G1184" t="s">
        <v>8223</v>
      </c>
      <c r="H1184" t="s">
        <v>8245</v>
      </c>
      <c r="I1184" s="8">
        <v>1484239320</v>
      </c>
      <c r="J1184">
        <v>1482609088</v>
      </c>
      <c r="K1184" t="b">
        <v>0</v>
      </c>
      <c r="L1184" s="10">
        <v>4</v>
      </c>
      <c r="M1184" t="b">
        <v>0</v>
      </c>
      <c r="N1184" t="s">
        <v>8282</v>
      </c>
      <c r="O1184" s="11">
        <f t="shared" si="76"/>
        <v>4</v>
      </c>
      <c r="P1184" s="12">
        <f t="shared" si="77"/>
        <v>11</v>
      </c>
      <c r="Q1184" s="14" t="s">
        <v>8333</v>
      </c>
      <c r="R1184" t="s">
        <v>8334</v>
      </c>
      <c r="S1184" s="17">
        <f t="shared" si="78"/>
        <v>42728.827407407407</v>
      </c>
      <c r="T1184" s="17">
        <f t="shared" si="79"/>
        <v>42747.695833333331</v>
      </c>
      <c r="U1184">
        <f>MONTH(Table1[[#This Row],[Launched]])</f>
        <v>12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8220</v>
      </c>
      <c r="G1185" t="s">
        <v>8223</v>
      </c>
      <c r="H1185" t="s">
        <v>8245</v>
      </c>
      <c r="I1185" s="8">
        <v>1478059140</v>
      </c>
      <c r="J1185">
        <v>1476391223</v>
      </c>
      <c r="K1185" t="b">
        <v>0</v>
      </c>
      <c r="L1185" s="10">
        <v>3</v>
      </c>
      <c r="M1185" t="b">
        <v>0</v>
      </c>
      <c r="N1185" t="s">
        <v>8282</v>
      </c>
      <c r="O1185" s="11">
        <f t="shared" si="76"/>
        <v>4</v>
      </c>
      <c r="P1185" s="12">
        <f t="shared" si="77"/>
        <v>33</v>
      </c>
      <c r="Q1185" s="14" t="s">
        <v>8333</v>
      </c>
      <c r="R1185" t="s">
        <v>8334</v>
      </c>
      <c r="S1185" s="17">
        <f t="shared" si="78"/>
        <v>42656.86137731481</v>
      </c>
      <c r="T1185" s="17">
        <f t="shared" si="79"/>
        <v>42676.165972222225</v>
      </c>
      <c r="U1185">
        <f>MONTH(Table1[[#This Row],[Launched]])</f>
        <v>10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 s="8">
        <v>1486391011</v>
      </c>
      <c r="J1186">
        <v>1483712611</v>
      </c>
      <c r="K1186" t="b">
        <v>0</v>
      </c>
      <c r="L1186" s="10">
        <v>375</v>
      </c>
      <c r="M1186" t="b">
        <v>1</v>
      </c>
      <c r="N1186" t="s">
        <v>8283</v>
      </c>
      <c r="O1186" s="11">
        <f t="shared" si="76"/>
        <v>105</v>
      </c>
      <c r="P1186" s="12">
        <f t="shared" si="77"/>
        <v>62</v>
      </c>
      <c r="Q1186" s="14" t="s">
        <v>8335</v>
      </c>
      <c r="R1186" t="s">
        <v>8336</v>
      </c>
      <c r="S1186" s="17">
        <f t="shared" si="78"/>
        <v>42741.599664351852</v>
      </c>
      <c r="T1186" s="17">
        <f t="shared" si="79"/>
        <v>42772.599664351852</v>
      </c>
      <c r="U1186">
        <f>MONTH(Table1[[#This Row],[Launched]])</f>
        <v>1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 s="8">
        <v>1433736000</v>
      </c>
      <c r="J1187">
        <v>1430945149</v>
      </c>
      <c r="K1187" t="b">
        <v>0</v>
      </c>
      <c r="L1187" s="10">
        <v>111</v>
      </c>
      <c r="M1187" t="b">
        <v>1</v>
      </c>
      <c r="N1187" t="s">
        <v>8283</v>
      </c>
      <c r="O1187" s="11">
        <f t="shared" si="76"/>
        <v>105</v>
      </c>
      <c r="P1187" s="12">
        <f t="shared" si="77"/>
        <v>119</v>
      </c>
      <c r="Q1187" s="14" t="s">
        <v>8335</v>
      </c>
      <c r="R1187" t="s">
        <v>8336</v>
      </c>
      <c r="S1187" s="17">
        <f t="shared" si="78"/>
        <v>42130.865150462967</v>
      </c>
      <c r="T1187" s="17">
        <f t="shared" si="79"/>
        <v>42163.166666666672</v>
      </c>
      <c r="U1187">
        <f>MONTH(Table1[[#This Row],[Launched]])</f>
        <v>5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 s="8">
        <v>1433198520</v>
      </c>
      <c r="J1188">
        <v>1430340195</v>
      </c>
      <c r="K1188" t="b">
        <v>0</v>
      </c>
      <c r="L1188" s="10">
        <v>123</v>
      </c>
      <c r="M1188" t="b">
        <v>1</v>
      </c>
      <c r="N1188" t="s">
        <v>8283</v>
      </c>
      <c r="O1188" s="11">
        <f t="shared" si="76"/>
        <v>107</v>
      </c>
      <c r="P1188" s="12">
        <f t="shared" si="77"/>
        <v>65</v>
      </c>
      <c r="Q1188" s="14" t="s">
        <v>8335</v>
      </c>
      <c r="R1188" t="s">
        <v>8336</v>
      </c>
      <c r="S1188" s="17">
        <f t="shared" si="78"/>
        <v>42123.86336805555</v>
      </c>
      <c r="T1188" s="17">
        <f t="shared" si="79"/>
        <v>42156.945833333331</v>
      </c>
      <c r="U1188">
        <f>MONTH(Table1[[#This Row],[Launched]])</f>
        <v>4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 s="8">
        <v>1431885600</v>
      </c>
      <c r="J1189">
        <v>1429133323</v>
      </c>
      <c r="K1189" t="b">
        <v>0</v>
      </c>
      <c r="L1189" s="10">
        <v>70</v>
      </c>
      <c r="M1189" t="b">
        <v>1</v>
      </c>
      <c r="N1189" t="s">
        <v>8283</v>
      </c>
      <c r="O1189" s="11">
        <f t="shared" si="76"/>
        <v>104</v>
      </c>
      <c r="P1189" s="12">
        <f t="shared" si="77"/>
        <v>130</v>
      </c>
      <c r="Q1189" s="14" t="s">
        <v>8335</v>
      </c>
      <c r="R1189" t="s">
        <v>8336</v>
      </c>
      <c r="S1189" s="17">
        <f t="shared" si="78"/>
        <v>42109.894942129627</v>
      </c>
      <c r="T1189" s="17">
        <f t="shared" si="79"/>
        <v>42141.75</v>
      </c>
      <c r="U1189">
        <f>MONTH(Table1[[#This Row],[Launched]])</f>
        <v>4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 s="8">
        <v>1482943740</v>
      </c>
      <c r="J1190">
        <v>1481129340</v>
      </c>
      <c r="K1190" t="b">
        <v>0</v>
      </c>
      <c r="L1190" s="10">
        <v>85</v>
      </c>
      <c r="M1190" t="b">
        <v>1</v>
      </c>
      <c r="N1190" t="s">
        <v>8283</v>
      </c>
      <c r="O1190" s="11">
        <f t="shared" si="76"/>
        <v>161</v>
      </c>
      <c r="P1190" s="12">
        <f t="shared" si="77"/>
        <v>38</v>
      </c>
      <c r="Q1190" s="14" t="s">
        <v>8335</v>
      </c>
      <c r="R1190" t="s">
        <v>8336</v>
      </c>
      <c r="S1190" s="17">
        <f t="shared" si="78"/>
        <v>42711.700694444444</v>
      </c>
      <c r="T1190" s="17">
        <f t="shared" si="79"/>
        <v>42732.700694444444</v>
      </c>
      <c r="U1190">
        <f>MONTH(Table1[[#This Row],[Launched]])</f>
        <v>12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 s="8">
        <v>1467242995</v>
      </c>
      <c r="J1191">
        <v>1465428595</v>
      </c>
      <c r="K1191" t="b">
        <v>0</v>
      </c>
      <c r="L1191" s="10">
        <v>86</v>
      </c>
      <c r="M1191" t="b">
        <v>1</v>
      </c>
      <c r="N1191" t="s">
        <v>8283</v>
      </c>
      <c r="O1191" s="11">
        <f t="shared" si="76"/>
        <v>108</v>
      </c>
      <c r="P1191" s="12">
        <f t="shared" si="77"/>
        <v>113</v>
      </c>
      <c r="Q1191" s="14" t="s">
        <v>8335</v>
      </c>
      <c r="R1191" t="s">
        <v>8336</v>
      </c>
      <c r="S1191" s="17">
        <f t="shared" si="78"/>
        <v>42529.979108796295</v>
      </c>
      <c r="T1191" s="17">
        <f t="shared" si="79"/>
        <v>42550.979108796295</v>
      </c>
      <c r="U1191">
        <f>MONTH(Table1[[#This Row],[Launched]])</f>
        <v>6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8218</v>
      </c>
      <c r="G1192" t="s">
        <v>8223</v>
      </c>
      <c r="H1192" t="s">
        <v>8245</v>
      </c>
      <c r="I1192" s="8">
        <v>1409500725</v>
      </c>
      <c r="J1192">
        <v>1406908725</v>
      </c>
      <c r="K1192" t="b">
        <v>0</v>
      </c>
      <c r="L1192" s="10">
        <v>13</v>
      </c>
      <c r="M1192" t="b">
        <v>1</v>
      </c>
      <c r="N1192" t="s">
        <v>8283</v>
      </c>
      <c r="O1192" s="11">
        <f t="shared" si="76"/>
        <v>135</v>
      </c>
      <c r="P1192" s="12">
        <f t="shared" si="77"/>
        <v>52</v>
      </c>
      <c r="Q1192" s="14" t="s">
        <v>8335</v>
      </c>
      <c r="R1192" t="s">
        <v>8336</v>
      </c>
      <c r="S1192" s="17">
        <f t="shared" si="78"/>
        <v>41852.665798611109</v>
      </c>
      <c r="T1192" s="17">
        <f t="shared" si="79"/>
        <v>41882.665798611109</v>
      </c>
      <c r="U1192">
        <f>MONTH(Table1[[#This Row],[Launched]])</f>
        <v>8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 s="8">
        <v>1458480560</v>
      </c>
      <c r="J1193">
        <v>1455892160</v>
      </c>
      <c r="K1193" t="b">
        <v>0</v>
      </c>
      <c r="L1193" s="10">
        <v>33</v>
      </c>
      <c r="M1193" t="b">
        <v>1</v>
      </c>
      <c r="N1193" t="s">
        <v>8283</v>
      </c>
      <c r="O1193" s="11">
        <f t="shared" si="76"/>
        <v>109</v>
      </c>
      <c r="P1193" s="12">
        <f t="shared" si="77"/>
        <v>89</v>
      </c>
      <c r="Q1193" s="14" t="s">
        <v>8335</v>
      </c>
      <c r="R1193" t="s">
        <v>8336</v>
      </c>
      <c r="S1193" s="17">
        <f t="shared" si="78"/>
        <v>42419.603703703702</v>
      </c>
      <c r="T1193" s="17">
        <f t="shared" si="79"/>
        <v>42449.562037037031</v>
      </c>
      <c r="U1193">
        <f>MONTH(Table1[[#This Row],[Launched]])</f>
        <v>2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8218</v>
      </c>
      <c r="G1194" t="s">
        <v>8224</v>
      </c>
      <c r="H1194" t="s">
        <v>8246</v>
      </c>
      <c r="I1194" s="8">
        <v>1486814978</v>
      </c>
      <c r="J1194">
        <v>1484222978</v>
      </c>
      <c r="K1194" t="b">
        <v>0</v>
      </c>
      <c r="L1194" s="10">
        <v>15</v>
      </c>
      <c r="M1194" t="b">
        <v>1</v>
      </c>
      <c r="N1194" t="s">
        <v>8283</v>
      </c>
      <c r="O1194" s="11">
        <f t="shared" si="76"/>
        <v>290</v>
      </c>
      <c r="P1194" s="12">
        <f t="shared" si="77"/>
        <v>19</v>
      </c>
      <c r="Q1194" s="14" t="s">
        <v>8335</v>
      </c>
      <c r="R1194" t="s">
        <v>8336</v>
      </c>
      <c r="S1194" s="17">
        <f t="shared" si="78"/>
        <v>42747.506689814814</v>
      </c>
      <c r="T1194" s="17">
        <f t="shared" si="79"/>
        <v>42777.506689814814</v>
      </c>
      <c r="U1194">
        <f>MONTH(Table1[[#This Row],[Launched]])</f>
        <v>1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 s="8">
        <v>1460223453</v>
      </c>
      <c r="J1195">
        <v>1455043053</v>
      </c>
      <c r="K1195" t="b">
        <v>0</v>
      </c>
      <c r="L1195" s="10">
        <v>273</v>
      </c>
      <c r="M1195" t="b">
        <v>1</v>
      </c>
      <c r="N1195" t="s">
        <v>8283</v>
      </c>
      <c r="O1195" s="11">
        <f t="shared" si="76"/>
        <v>104</v>
      </c>
      <c r="P1195" s="12">
        <f t="shared" si="77"/>
        <v>80</v>
      </c>
      <c r="Q1195" s="14" t="s">
        <v>8335</v>
      </c>
      <c r="R1195" t="s">
        <v>8336</v>
      </c>
      <c r="S1195" s="17">
        <f t="shared" si="78"/>
        <v>42409.776076388895</v>
      </c>
      <c r="T1195" s="17">
        <f t="shared" si="79"/>
        <v>42469.734409722223</v>
      </c>
      <c r="U1195">
        <f>MONTH(Table1[[#This Row],[Launched]])</f>
        <v>2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 s="8">
        <v>1428493379</v>
      </c>
      <c r="J1196">
        <v>1425901379</v>
      </c>
      <c r="K1196" t="b">
        <v>0</v>
      </c>
      <c r="L1196" s="10">
        <v>714</v>
      </c>
      <c r="M1196" t="b">
        <v>1</v>
      </c>
      <c r="N1196" t="s">
        <v>8283</v>
      </c>
      <c r="O1196" s="11">
        <f t="shared" si="76"/>
        <v>322</v>
      </c>
      <c r="P1196" s="12">
        <f t="shared" si="77"/>
        <v>56</v>
      </c>
      <c r="Q1196" s="14" t="s">
        <v>8335</v>
      </c>
      <c r="R1196" t="s">
        <v>8336</v>
      </c>
      <c r="S1196" s="17">
        <f t="shared" si="78"/>
        <v>42072.488182870366</v>
      </c>
      <c r="T1196" s="17">
        <f t="shared" si="79"/>
        <v>42102.488182870366</v>
      </c>
      <c r="U1196">
        <f>MONTH(Table1[[#This Row],[Launched]])</f>
        <v>3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 s="8">
        <v>1450602000</v>
      </c>
      <c r="J1197">
        <v>1445415653</v>
      </c>
      <c r="K1197" t="b">
        <v>0</v>
      </c>
      <c r="L1197" s="10">
        <v>170</v>
      </c>
      <c r="M1197" t="b">
        <v>1</v>
      </c>
      <c r="N1197" t="s">
        <v>8283</v>
      </c>
      <c r="O1197" s="11">
        <f t="shared" si="76"/>
        <v>135</v>
      </c>
      <c r="P1197" s="12">
        <f t="shared" si="77"/>
        <v>79</v>
      </c>
      <c r="Q1197" s="14" t="s">
        <v>8335</v>
      </c>
      <c r="R1197" t="s">
        <v>8336</v>
      </c>
      <c r="S1197" s="17">
        <f t="shared" si="78"/>
        <v>42298.34783564815</v>
      </c>
      <c r="T1197" s="17">
        <f t="shared" si="79"/>
        <v>42358.375</v>
      </c>
      <c r="U1197">
        <f>MONTH(Table1[[#This Row],[Launched]])</f>
        <v>10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 s="8">
        <v>1450467539</v>
      </c>
      <c r="J1198">
        <v>1447875539</v>
      </c>
      <c r="K1198" t="b">
        <v>0</v>
      </c>
      <c r="L1198" s="10">
        <v>512</v>
      </c>
      <c r="M1198" t="b">
        <v>1</v>
      </c>
      <c r="N1198" t="s">
        <v>8283</v>
      </c>
      <c r="O1198" s="11">
        <f t="shared" si="76"/>
        <v>270</v>
      </c>
      <c r="P1198" s="12">
        <f t="shared" si="77"/>
        <v>76</v>
      </c>
      <c r="Q1198" s="14" t="s">
        <v>8335</v>
      </c>
      <c r="R1198" t="s">
        <v>8336</v>
      </c>
      <c r="S1198" s="17">
        <f t="shared" si="78"/>
        <v>42326.818738425922</v>
      </c>
      <c r="T1198" s="17">
        <f t="shared" si="79"/>
        <v>42356.818738425922</v>
      </c>
      <c r="U1198">
        <f>MONTH(Table1[[#This Row],[Launched]])</f>
        <v>11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 s="8">
        <v>1465797540</v>
      </c>
      <c r="J1199">
        <v>1463155034</v>
      </c>
      <c r="K1199" t="b">
        <v>0</v>
      </c>
      <c r="L1199" s="10">
        <v>314</v>
      </c>
      <c r="M1199" t="b">
        <v>1</v>
      </c>
      <c r="N1199" t="s">
        <v>8283</v>
      </c>
      <c r="O1199" s="11">
        <f t="shared" si="76"/>
        <v>253</v>
      </c>
      <c r="P1199" s="12">
        <f t="shared" si="77"/>
        <v>121</v>
      </c>
      <c r="Q1199" s="14" t="s">
        <v>8335</v>
      </c>
      <c r="R1199" t="s">
        <v>8336</v>
      </c>
      <c r="S1199" s="17">
        <f t="shared" si="78"/>
        <v>42503.66474537037</v>
      </c>
      <c r="T1199" s="17">
        <f t="shared" si="79"/>
        <v>42534.249305555553</v>
      </c>
      <c r="U1199">
        <f>MONTH(Table1[[#This Row],[Launched]])</f>
        <v>5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 s="8">
        <v>1451530800</v>
      </c>
      <c r="J1200">
        <v>1448463086</v>
      </c>
      <c r="K1200" t="b">
        <v>0</v>
      </c>
      <c r="L1200" s="10">
        <v>167</v>
      </c>
      <c r="M1200" t="b">
        <v>1</v>
      </c>
      <c r="N1200" t="s">
        <v>8283</v>
      </c>
      <c r="O1200" s="11">
        <f t="shared" si="76"/>
        <v>261</v>
      </c>
      <c r="P1200" s="12">
        <f t="shared" si="77"/>
        <v>55</v>
      </c>
      <c r="Q1200" s="14" t="s">
        <v>8335</v>
      </c>
      <c r="R1200" t="s">
        <v>8336</v>
      </c>
      <c r="S1200" s="17">
        <f t="shared" si="78"/>
        <v>42333.619050925925</v>
      </c>
      <c r="T1200" s="17">
        <f t="shared" si="79"/>
        <v>42369.125</v>
      </c>
      <c r="U1200">
        <f>MONTH(Table1[[#This Row],[Launched]])</f>
        <v>11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 s="8">
        <v>1436380200</v>
      </c>
      <c r="J1201">
        <v>1433615400</v>
      </c>
      <c r="K1201" t="b">
        <v>0</v>
      </c>
      <c r="L1201" s="10">
        <v>9</v>
      </c>
      <c r="M1201" t="b">
        <v>1</v>
      </c>
      <c r="N1201" t="s">
        <v>8283</v>
      </c>
      <c r="O1201" s="11">
        <f t="shared" si="76"/>
        <v>101</v>
      </c>
      <c r="P1201" s="12">
        <f t="shared" si="77"/>
        <v>299</v>
      </c>
      <c r="Q1201" s="14" t="s">
        <v>8335</v>
      </c>
      <c r="R1201" t="s">
        <v>8336</v>
      </c>
      <c r="S1201" s="17">
        <f t="shared" si="78"/>
        <v>42161.770833333328</v>
      </c>
      <c r="T1201" s="17">
        <f t="shared" si="79"/>
        <v>42193.770833333328</v>
      </c>
      <c r="U1201">
        <f>MONTH(Table1[[#This Row],[Launched]])</f>
        <v>6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 s="8">
        <v>1429183656</v>
      </c>
      <c r="J1202">
        <v>1427369256</v>
      </c>
      <c r="K1202" t="b">
        <v>0</v>
      </c>
      <c r="L1202" s="10">
        <v>103</v>
      </c>
      <c r="M1202" t="b">
        <v>1</v>
      </c>
      <c r="N1202" t="s">
        <v>8283</v>
      </c>
      <c r="O1202" s="11">
        <f t="shared" si="76"/>
        <v>126</v>
      </c>
      <c r="P1202" s="12">
        <f t="shared" si="77"/>
        <v>59</v>
      </c>
      <c r="Q1202" s="14" t="s">
        <v>8335</v>
      </c>
      <c r="R1202" t="s">
        <v>8336</v>
      </c>
      <c r="S1202" s="17">
        <f t="shared" si="78"/>
        <v>42089.477500000001</v>
      </c>
      <c r="T1202" s="17">
        <f t="shared" si="79"/>
        <v>42110.477500000001</v>
      </c>
      <c r="U1202">
        <f>MONTH(Table1[[#This Row],[Launched]])</f>
        <v>3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 s="8">
        <v>1468593246</v>
      </c>
      <c r="J1203">
        <v>1466001246</v>
      </c>
      <c r="K1203" t="b">
        <v>0</v>
      </c>
      <c r="L1203" s="10">
        <v>111</v>
      </c>
      <c r="M1203" t="b">
        <v>1</v>
      </c>
      <c r="N1203" t="s">
        <v>8283</v>
      </c>
      <c r="O1203" s="11">
        <f t="shared" si="76"/>
        <v>102</v>
      </c>
      <c r="P1203" s="12">
        <f t="shared" si="77"/>
        <v>55</v>
      </c>
      <c r="Q1203" s="14" t="s">
        <v>8335</v>
      </c>
      <c r="R1203" t="s">
        <v>8336</v>
      </c>
      <c r="S1203" s="17">
        <f t="shared" si="78"/>
        <v>42536.60701388889</v>
      </c>
      <c r="T1203" s="17">
        <f t="shared" si="79"/>
        <v>42566.60701388889</v>
      </c>
      <c r="U1203">
        <f>MONTH(Table1[[#This Row],[Launched]])</f>
        <v>6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 s="8">
        <v>1435388154</v>
      </c>
      <c r="J1204">
        <v>1432796154</v>
      </c>
      <c r="K1204" t="b">
        <v>0</v>
      </c>
      <c r="L1204" s="10">
        <v>271</v>
      </c>
      <c r="M1204" t="b">
        <v>1</v>
      </c>
      <c r="N1204" t="s">
        <v>8283</v>
      </c>
      <c r="O1204" s="11">
        <f t="shared" si="76"/>
        <v>199</v>
      </c>
      <c r="P1204" s="12">
        <f t="shared" si="77"/>
        <v>184</v>
      </c>
      <c r="Q1204" s="14" t="s">
        <v>8335</v>
      </c>
      <c r="R1204" t="s">
        <v>8336</v>
      </c>
      <c r="S1204" s="17">
        <f t="shared" si="78"/>
        <v>42152.288819444439</v>
      </c>
      <c r="T1204" s="17">
        <f t="shared" si="79"/>
        <v>42182.288819444439</v>
      </c>
      <c r="U1204">
        <f>MONTH(Table1[[#This Row],[Launched]])</f>
        <v>5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 s="8">
        <v>1433083527</v>
      </c>
      <c r="J1205">
        <v>1430491527</v>
      </c>
      <c r="K1205" t="b">
        <v>0</v>
      </c>
      <c r="L1205" s="10">
        <v>101</v>
      </c>
      <c r="M1205" t="b">
        <v>1</v>
      </c>
      <c r="N1205" t="s">
        <v>8283</v>
      </c>
      <c r="O1205" s="11">
        <f t="shared" si="76"/>
        <v>102</v>
      </c>
      <c r="P1205" s="12">
        <f t="shared" si="77"/>
        <v>165</v>
      </c>
      <c r="Q1205" s="14" t="s">
        <v>8335</v>
      </c>
      <c r="R1205" t="s">
        <v>8336</v>
      </c>
      <c r="S1205" s="17">
        <f t="shared" si="78"/>
        <v>42125.614895833336</v>
      </c>
      <c r="T1205" s="17">
        <f t="shared" si="79"/>
        <v>42155.614895833336</v>
      </c>
      <c r="U1205">
        <f>MONTH(Table1[[#This Row],[Launched]])</f>
        <v>5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 s="8">
        <v>1449205200</v>
      </c>
      <c r="J1206">
        <v>1445363833</v>
      </c>
      <c r="K1206" t="b">
        <v>0</v>
      </c>
      <c r="L1206" s="10">
        <v>57</v>
      </c>
      <c r="M1206" t="b">
        <v>1</v>
      </c>
      <c r="N1206" t="s">
        <v>8283</v>
      </c>
      <c r="O1206" s="11">
        <f t="shared" si="76"/>
        <v>103</v>
      </c>
      <c r="P1206" s="12">
        <f t="shared" si="77"/>
        <v>235</v>
      </c>
      <c r="Q1206" s="14" t="s">
        <v>8335</v>
      </c>
      <c r="R1206" t="s">
        <v>8336</v>
      </c>
      <c r="S1206" s="17">
        <f t="shared" si="78"/>
        <v>42297.748067129629</v>
      </c>
      <c r="T1206" s="17">
        <f t="shared" si="79"/>
        <v>42342.208333333328</v>
      </c>
      <c r="U1206">
        <f>MONTH(Table1[[#This Row],[Launched]])</f>
        <v>10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 s="8">
        <v>1434197351</v>
      </c>
      <c r="J1207">
        <v>1431605351</v>
      </c>
      <c r="K1207" t="b">
        <v>0</v>
      </c>
      <c r="L1207" s="10">
        <v>62</v>
      </c>
      <c r="M1207" t="b">
        <v>1</v>
      </c>
      <c r="N1207" t="s">
        <v>8283</v>
      </c>
      <c r="O1207" s="11">
        <f t="shared" si="76"/>
        <v>101</v>
      </c>
      <c r="P1207" s="12">
        <f t="shared" si="77"/>
        <v>211</v>
      </c>
      <c r="Q1207" s="14" t="s">
        <v>8335</v>
      </c>
      <c r="R1207" t="s">
        <v>8336</v>
      </c>
      <c r="S1207" s="17">
        <f t="shared" si="78"/>
        <v>42138.506377314814</v>
      </c>
      <c r="T1207" s="17">
        <f t="shared" si="79"/>
        <v>42168.506377314814</v>
      </c>
      <c r="U1207">
        <f>MONTH(Table1[[#This Row],[Launched]])</f>
        <v>5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8218</v>
      </c>
      <c r="G1208" t="s">
        <v>8238</v>
      </c>
      <c r="H1208" t="s">
        <v>8248</v>
      </c>
      <c r="I1208" s="8">
        <v>1489238940</v>
      </c>
      <c r="J1208">
        <v>1486406253</v>
      </c>
      <c r="K1208" t="b">
        <v>0</v>
      </c>
      <c r="L1208" s="10">
        <v>32</v>
      </c>
      <c r="M1208" t="b">
        <v>1</v>
      </c>
      <c r="N1208" t="s">
        <v>8283</v>
      </c>
      <c r="O1208" s="11">
        <f t="shared" si="76"/>
        <v>115</v>
      </c>
      <c r="P1208" s="12">
        <f t="shared" si="77"/>
        <v>32</v>
      </c>
      <c r="Q1208" s="14" t="s">
        <v>8335</v>
      </c>
      <c r="R1208" t="s">
        <v>8336</v>
      </c>
      <c r="S1208" s="17">
        <f t="shared" si="78"/>
        <v>42772.776076388895</v>
      </c>
      <c r="T1208" s="17">
        <f t="shared" si="79"/>
        <v>42805.561805555553</v>
      </c>
      <c r="U1208">
        <f>MONTH(Table1[[#This Row],[Launched]])</f>
        <v>2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 s="8">
        <v>1459418400</v>
      </c>
      <c r="J1209">
        <v>1456827573</v>
      </c>
      <c r="K1209" t="b">
        <v>0</v>
      </c>
      <c r="L1209" s="10">
        <v>141</v>
      </c>
      <c r="M1209" t="b">
        <v>1</v>
      </c>
      <c r="N1209" t="s">
        <v>8283</v>
      </c>
      <c r="O1209" s="11">
        <f t="shared" si="76"/>
        <v>104</v>
      </c>
      <c r="P1209" s="12">
        <f t="shared" si="77"/>
        <v>123</v>
      </c>
      <c r="Q1209" s="14" t="s">
        <v>8335</v>
      </c>
      <c r="R1209" t="s">
        <v>8336</v>
      </c>
      <c r="S1209" s="17">
        <f t="shared" si="78"/>
        <v>42430.430243055554</v>
      </c>
      <c r="T1209" s="17">
        <f t="shared" si="79"/>
        <v>42460.416666666672</v>
      </c>
      <c r="U1209">
        <f>MONTH(Table1[[#This Row],[Launched]])</f>
        <v>3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 s="8">
        <v>1458835264</v>
      </c>
      <c r="J1210">
        <v>1456246864</v>
      </c>
      <c r="K1210" t="b">
        <v>0</v>
      </c>
      <c r="L1210" s="10">
        <v>75</v>
      </c>
      <c r="M1210" t="b">
        <v>1</v>
      </c>
      <c r="N1210" t="s">
        <v>8283</v>
      </c>
      <c r="O1210" s="11">
        <f t="shared" si="76"/>
        <v>155</v>
      </c>
      <c r="P1210" s="12">
        <f t="shared" si="77"/>
        <v>207</v>
      </c>
      <c r="Q1210" s="14" t="s">
        <v>8335</v>
      </c>
      <c r="R1210" t="s">
        <v>8336</v>
      </c>
      <c r="S1210" s="17">
        <f t="shared" si="78"/>
        <v>42423.709074074075</v>
      </c>
      <c r="T1210" s="17">
        <f t="shared" si="79"/>
        <v>42453.667407407411</v>
      </c>
      <c r="U1210">
        <f>MONTH(Table1[[#This Row],[Launched]])</f>
        <v>2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 s="8">
        <v>1488053905</v>
      </c>
      <c r="J1211">
        <v>1485461905</v>
      </c>
      <c r="K1211" t="b">
        <v>0</v>
      </c>
      <c r="L1211" s="10">
        <v>46</v>
      </c>
      <c r="M1211" t="b">
        <v>1</v>
      </c>
      <c r="N1211" t="s">
        <v>8283</v>
      </c>
      <c r="O1211" s="11">
        <f t="shared" si="76"/>
        <v>106</v>
      </c>
      <c r="P1211" s="12">
        <f t="shared" si="77"/>
        <v>138</v>
      </c>
      <c r="Q1211" s="14" t="s">
        <v>8335</v>
      </c>
      <c r="R1211" t="s">
        <v>8336</v>
      </c>
      <c r="S1211" s="17">
        <f t="shared" si="78"/>
        <v>42761.846122685187</v>
      </c>
      <c r="T1211" s="17">
        <f t="shared" si="79"/>
        <v>42791.846122685187</v>
      </c>
      <c r="U1211">
        <f>MONTH(Table1[[#This Row],[Launched]])</f>
        <v>1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 s="8">
        <v>1433106000</v>
      </c>
      <c r="J1212">
        <v>1431124572</v>
      </c>
      <c r="K1212" t="b">
        <v>0</v>
      </c>
      <c r="L1212" s="10">
        <v>103</v>
      </c>
      <c r="M1212" t="b">
        <v>1</v>
      </c>
      <c r="N1212" t="s">
        <v>8283</v>
      </c>
      <c r="O1212" s="11">
        <f t="shared" si="76"/>
        <v>254</v>
      </c>
      <c r="P1212" s="12">
        <f t="shared" si="77"/>
        <v>494</v>
      </c>
      <c r="Q1212" s="14" t="s">
        <v>8335</v>
      </c>
      <c r="R1212" t="s">
        <v>8336</v>
      </c>
      <c r="S1212" s="17">
        <f t="shared" si="78"/>
        <v>42132.941805555558</v>
      </c>
      <c r="T1212" s="17">
        <f t="shared" si="79"/>
        <v>42155.875</v>
      </c>
      <c r="U1212">
        <f>MONTH(Table1[[#This Row],[Launched]])</f>
        <v>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 s="8">
        <v>1465505261</v>
      </c>
      <c r="J1213">
        <v>1464209261</v>
      </c>
      <c r="K1213" t="b">
        <v>0</v>
      </c>
      <c r="L1213" s="10">
        <v>6</v>
      </c>
      <c r="M1213" t="b">
        <v>1</v>
      </c>
      <c r="N1213" t="s">
        <v>8283</v>
      </c>
      <c r="O1213" s="11">
        <f t="shared" si="76"/>
        <v>101</v>
      </c>
      <c r="P1213" s="12">
        <f t="shared" si="77"/>
        <v>169</v>
      </c>
      <c r="Q1213" s="14" t="s">
        <v>8335</v>
      </c>
      <c r="R1213" t="s">
        <v>8336</v>
      </c>
      <c r="S1213" s="17">
        <f t="shared" si="78"/>
        <v>42515.866446759261</v>
      </c>
      <c r="T1213" s="17">
        <f t="shared" si="79"/>
        <v>42530.866446759261</v>
      </c>
      <c r="U1213">
        <f>MONTH(Table1[[#This Row],[Launched]])</f>
        <v>5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 s="8">
        <v>1448586000</v>
      </c>
      <c r="J1214">
        <v>1447195695</v>
      </c>
      <c r="K1214" t="b">
        <v>0</v>
      </c>
      <c r="L1214" s="10">
        <v>83</v>
      </c>
      <c r="M1214" t="b">
        <v>1</v>
      </c>
      <c r="N1214" t="s">
        <v>8283</v>
      </c>
      <c r="O1214" s="11">
        <f t="shared" si="76"/>
        <v>129</v>
      </c>
      <c r="P1214" s="12">
        <f t="shared" si="77"/>
        <v>39</v>
      </c>
      <c r="Q1214" s="14" t="s">
        <v>8335</v>
      </c>
      <c r="R1214" t="s">
        <v>8336</v>
      </c>
      <c r="S1214" s="17">
        <f t="shared" si="78"/>
        <v>42318.950173611112</v>
      </c>
      <c r="T1214" s="17">
        <f t="shared" si="79"/>
        <v>42335.041666666672</v>
      </c>
      <c r="U1214">
        <f>MONTH(Table1[[#This Row],[Launched]])</f>
        <v>11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 s="8">
        <v>1485886100</v>
      </c>
      <c r="J1215">
        <v>1482862100</v>
      </c>
      <c r="K1215" t="b">
        <v>0</v>
      </c>
      <c r="L1215" s="10">
        <v>108</v>
      </c>
      <c r="M1215" t="b">
        <v>1</v>
      </c>
      <c r="N1215" t="s">
        <v>8283</v>
      </c>
      <c r="O1215" s="11">
        <f t="shared" si="76"/>
        <v>102</v>
      </c>
      <c r="P1215" s="12">
        <f t="shared" si="77"/>
        <v>62</v>
      </c>
      <c r="Q1215" s="14" t="s">
        <v>8335</v>
      </c>
      <c r="R1215" t="s">
        <v>8336</v>
      </c>
      <c r="S1215" s="17">
        <f t="shared" si="78"/>
        <v>42731.755787037036</v>
      </c>
      <c r="T1215" s="17">
        <f t="shared" si="79"/>
        <v>42766.755787037036</v>
      </c>
      <c r="U1215">
        <f>MONTH(Table1[[#This Row],[Launched]])</f>
        <v>12</v>
      </c>
    </row>
    <row r="1216" spans="1:21" ht="57.6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 s="8">
        <v>1433880605</v>
      </c>
      <c r="J1216">
        <v>1428696605</v>
      </c>
      <c r="K1216" t="b">
        <v>0</v>
      </c>
      <c r="L1216" s="10">
        <v>25</v>
      </c>
      <c r="M1216" t="b">
        <v>1</v>
      </c>
      <c r="N1216" t="s">
        <v>8283</v>
      </c>
      <c r="O1216" s="11">
        <f t="shared" si="76"/>
        <v>132</v>
      </c>
      <c r="P1216" s="12">
        <f t="shared" si="77"/>
        <v>105</v>
      </c>
      <c r="Q1216" s="14" t="s">
        <v>8335</v>
      </c>
      <c r="R1216" t="s">
        <v>8336</v>
      </c>
      <c r="S1216" s="17">
        <f t="shared" si="78"/>
        <v>42104.840335648143</v>
      </c>
      <c r="T1216" s="17">
        <f t="shared" si="79"/>
        <v>42164.840335648143</v>
      </c>
      <c r="U1216">
        <f>MONTH(Table1[[#This Row],[Launched]])</f>
        <v>4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 s="8">
        <v>1401487756</v>
      </c>
      <c r="J1217">
        <v>1398895756</v>
      </c>
      <c r="K1217" t="b">
        <v>0</v>
      </c>
      <c r="L1217" s="10">
        <v>549</v>
      </c>
      <c r="M1217" t="b">
        <v>1</v>
      </c>
      <c r="N1217" t="s">
        <v>8283</v>
      </c>
      <c r="O1217" s="11">
        <f t="shared" si="76"/>
        <v>786</v>
      </c>
      <c r="P1217" s="12">
        <f t="shared" si="77"/>
        <v>72</v>
      </c>
      <c r="Q1217" s="14" t="s">
        <v>8335</v>
      </c>
      <c r="R1217" t="s">
        <v>8336</v>
      </c>
      <c r="S1217" s="17">
        <f t="shared" si="78"/>
        <v>41759.923101851848</v>
      </c>
      <c r="T1217" s="17">
        <f t="shared" si="79"/>
        <v>41789.923101851848</v>
      </c>
      <c r="U1217">
        <f>MONTH(Table1[[#This Row],[Launched]])</f>
        <v>4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 s="8">
        <v>1443826980</v>
      </c>
      <c r="J1218">
        <v>1441032457</v>
      </c>
      <c r="K1218" t="b">
        <v>0</v>
      </c>
      <c r="L1218" s="10">
        <v>222</v>
      </c>
      <c r="M1218" t="b">
        <v>1</v>
      </c>
      <c r="N1218" t="s">
        <v>8283</v>
      </c>
      <c r="O1218" s="11">
        <f t="shared" ref="O1218:O1281" si="80">ROUND(E1218/D1218*100,0)</f>
        <v>146</v>
      </c>
      <c r="P1218" s="12">
        <f t="shared" si="77"/>
        <v>92</v>
      </c>
      <c r="Q1218" s="14" t="s">
        <v>8335</v>
      </c>
      <c r="R1218" t="s">
        <v>8336</v>
      </c>
      <c r="S1218" s="17">
        <f t="shared" si="78"/>
        <v>42247.616400462968</v>
      </c>
      <c r="T1218" s="17">
        <f t="shared" si="79"/>
        <v>42279.960416666669</v>
      </c>
      <c r="U1218">
        <f>MONTH(Table1[[#This Row],[Launched]])</f>
        <v>8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 s="8">
        <v>1468524340</v>
      </c>
      <c r="J1219">
        <v>1465932340</v>
      </c>
      <c r="K1219" t="b">
        <v>0</v>
      </c>
      <c r="L1219" s="10">
        <v>183</v>
      </c>
      <c r="M1219" t="b">
        <v>1</v>
      </c>
      <c r="N1219" t="s">
        <v>8283</v>
      </c>
      <c r="O1219" s="11">
        <f t="shared" si="80"/>
        <v>103</v>
      </c>
      <c r="P1219" s="12">
        <f t="shared" ref="P1219:P1282" si="81">IFERROR(ROUND(E1219/L1219,),"No Backers")</f>
        <v>149</v>
      </c>
      <c r="Q1219" s="14" t="s">
        <v>8335</v>
      </c>
      <c r="R1219" t="s">
        <v>8336</v>
      </c>
      <c r="S1219" s="17">
        <f t="shared" ref="S1219:S1282" si="82">(((J1219/60)/60)/24)+DATE(1970,1,1)</f>
        <v>42535.809490740736</v>
      </c>
      <c r="T1219" s="17">
        <f t="shared" ref="T1219:T1282" si="83">(((I1219/60)/60)/24)+DATE(1970,1,1)</f>
        <v>42565.809490740736</v>
      </c>
      <c r="U1219">
        <f>MONTH(Table1[[#This Row],[Launched]])</f>
        <v>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 s="8">
        <v>1446346800</v>
      </c>
      <c r="J1220">
        <v>1443714800</v>
      </c>
      <c r="K1220" t="b">
        <v>0</v>
      </c>
      <c r="L1220" s="10">
        <v>89</v>
      </c>
      <c r="M1220" t="b">
        <v>1</v>
      </c>
      <c r="N1220" t="s">
        <v>8283</v>
      </c>
      <c r="O1220" s="11">
        <f t="shared" si="80"/>
        <v>172</v>
      </c>
      <c r="P1220" s="12">
        <f t="shared" si="81"/>
        <v>174</v>
      </c>
      <c r="Q1220" s="14" t="s">
        <v>8335</v>
      </c>
      <c r="R1220" t="s">
        <v>8336</v>
      </c>
      <c r="S1220" s="17">
        <f t="shared" si="82"/>
        <v>42278.662037037036</v>
      </c>
      <c r="T1220" s="17">
        <f t="shared" si="83"/>
        <v>42309.125</v>
      </c>
      <c r="U1220">
        <f>MONTH(Table1[[#This Row],[Launched]])</f>
        <v>10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 s="8">
        <v>1476961513</v>
      </c>
      <c r="J1221">
        <v>1474369513</v>
      </c>
      <c r="K1221" t="b">
        <v>0</v>
      </c>
      <c r="L1221" s="10">
        <v>253</v>
      </c>
      <c r="M1221" t="b">
        <v>1</v>
      </c>
      <c r="N1221" t="s">
        <v>8283</v>
      </c>
      <c r="O1221" s="11">
        <f t="shared" si="80"/>
        <v>159</v>
      </c>
      <c r="P1221" s="12">
        <f t="shared" si="81"/>
        <v>103</v>
      </c>
      <c r="Q1221" s="14" t="s">
        <v>8335</v>
      </c>
      <c r="R1221" t="s">
        <v>8336</v>
      </c>
      <c r="S1221" s="17">
        <f t="shared" si="82"/>
        <v>42633.461956018517</v>
      </c>
      <c r="T1221" s="17">
        <f t="shared" si="83"/>
        <v>42663.461956018517</v>
      </c>
      <c r="U1221">
        <f>MONTH(Table1[[#This Row],[Launched]])</f>
        <v>9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 s="8">
        <v>1440515112</v>
      </c>
      <c r="J1222">
        <v>1437923112</v>
      </c>
      <c r="K1222" t="b">
        <v>0</v>
      </c>
      <c r="L1222" s="10">
        <v>140</v>
      </c>
      <c r="M1222" t="b">
        <v>1</v>
      </c>
      <c r="N1222" t="s">
        <v>8283</v>
      </c>
      <c r="O1222" s="11">
        <f t="shared" si="80"/>
        <v>104</v>
      </c>
      <c r="P1222" s="12">
        <f t="shared" si="81"/>
        <v>111</v>
      </c>
      <c r="Q1222" s="14" t="s">
        <v>8335</v>
      </c>
      <c r="R1222" t="s">
        <v>8336</v>
      </c>
      <c r="S1222" s="17">
        <f t="shared" si="82"/>
        <v>42211.628611111111</v>
      </c>
      <c r="T1222" s="17">
        <f t="shared" si="83"/>
        <v>42241.628611111111</v>
      </c>
      <c r="U1222">
        <f>MONTH(Table1[[#This Row],[Launched]])</f>
        <v>7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 s="8">
        <v>1480809600</v>
      </c>
      <c r="J1223">
        <v>1478431488</v>
      </c>
      <c r="K1223" t="b">
        <v>0</v>
      </c>
      <c r="L1223" s="10">
        <v>103</v>
      </c>
      <c r="M1223" t="b">
        <v>1</v>
      </c>
      <c r="N1223" t="s">
        <v>8283</v>
      </c>
      <c r="O1223" s="11">
        <f t="shared" si="80"/>
        <v>111</v>
      </c>
      <c r="P1223" s="12">
        <f t="shared" si="81"/>
        <v>24</v>
      </c>
      <c r="Q1223" s="14" t="s">
        <v>8335</v>
      </c>
      <c r="R1223" t="s">
        <v>8336</v>
      </c>
      <c r="S1223" s="17">
        <f t="shared" si="82"/>
        <v>42680.47555555556</v>
      </c>
      <c r="T1223" s="17">
        <f t="shared" si="83"/>
        <v>42708</v>
      </c>
      <c r="U1223">
        <f>MONTH(Table1[[#This Row],[Launched]])</f>
        <v>11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 s="8">
        <v>1459483200</v>
      </c>
      <c r="J1224">
        <v>1456852647</v>
      </c>
      <c r="K1224" t="b">
        <v>0</v>
      </c>
      <c r="L1224" s="10">
        <v>138</v>
      </c>
      <c r="M1224" t="b">
        <v>1</v>
      </c>
      <c r="N1224" t="s">
        <v>8283</v>
      </c>
      <c r="O1224" s="11">
        <f t="shared" si="80"/>
        <v>280</v>
      </c>
      <c r="P1224" s="12">
        <f t="shared" si="81"/>
        <v>81</v>
      </c>
      <c r="Q1224" s="14" t="s">
        <v>8335</v>
      </c>
      <c r="R1224" t="s">
        <v>8336</v>
      </c>
      <c r="S1224" s="17">
        <f t="shared" si="82"/>
        <v>42430.720451388886</v>
      </c>
      <c r="T1224" s="17">
        <f t="shared" si="83"/>
        <v>42461.166666666672</v>
      </c>
      <c r="U1224">
        <f>MONTH(Table1[[#This Row],[Launched]])</f>
        <v>3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 s="8">
        <v>1478754909</v>
      </c>
      <c r="J1225">
        <v>1476159309</v>
      </c>
      <c r="K1225" t="b">
        <v>0</v>
      </c>
      <c r="L1225" s="10">
        <v>191</v>
      </c>
      <c r="M1225" t="b">
        <v>1</v>
      </c>
      <c r="N1225" t="s">
        <v>8283</v>
      </c>
      <c r="O1225" s="11">
        <f t="shared" si="80"/>
        <v>112</v>
      </c>
      <c r="P1225" s="12">
        <f t="shared" si="81"/>
        <v>116</v>
      </c>
      <c r="Q1225" s="14" t="s">
        <v>8335</v>
      </c>
      <c r="R1225" t="s">
        <v>8336</v>
      </c>
      <c r="S1225" s="17">
        <f t="shared" si="82"/>
        <v>42654.177187499998</v>
      </c>
      <c r="T1225" s="17">
        <f t="shared" si="83"/>
        <v>42684.218854166669</v>
      </c>
      <c r="U1225">
        <f>MONTH(Table1[[#This Row],[Launched]])</f>
        <v>10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 s="8">
        <v>1402060302</v>
      </c>
      <c r="J1226">
        <v>1396876302</v>
      </c>
      <c r="K1226" t="b">
        <v>0</v>
      </c>
      <c r="L1226" s="10">
        <v>18</v>
      </c>
      <c r="M1226" t="b">
        <v>0</v>
      </c>
      <c r="N1226" t="s">
        <v>8284</v>
      </c>
      <c r="O1226" s="11">
        <f t="shared" si="80"/>
        <v>7</v>
      </c>
      <c r="P1226" s="12">
        <f t="shared" si="81"/>
        <v>59</v>
      </c>
      <c r="Q1226" s="14" t="s">
        <v>8322</v>
      </c>
      <c r="R1226" t="s">
        <v>8337</v>
      </c>
      <c r="S1226" s="17">
        <f t="shared" si="82"/>
        <v>41736.549791666665</v>
      </c>
      <c r="T1226" s="17">
        <f t="shared" si="83"/>
        <v>41796.549791666665</v>
      </c>
      <c r="U1226">
        <f>MONTH(Table1[[#This Row],[Launched]])</f>
        <v>4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8219</v>
      </c>
      <c r="G1227" t="s">
        <v>8223</v>
      </c>
      <c r="H1227" t="s">
        <v>8245</v>
      </c>
      <c r="I1227" s="8">
        <v>1382478278</v>
      </c>
      <c r="J1227">
        <v>1377294278</v>
      </c>
      <c r="K1227" t="b">
        <v>0</v>
      </c>
      <c r="L1227" s="10">
        <v>3</v>
      </c>
      <c r="M1227" t="b">
        <v>0</v>
      </c>
      <c r="N1227" t="s">
        <v>8284</v>
      </c>
      <c r="O1227" s="11">
        <f t="shared" si="80"/>
        <v>4</v>
      </c>
      <c r="P1227" s="12">
        <f t="shared" si="81"/>
        <v>44</v>
      </c>
      <c r="Q1227" s="14" t="s">
        <v>8322</v>
      </c>
      <c r="R1227" t="s">
        <v>8337</v>
      </c>
      <c r="S1227" s="17">
        <f t="shared" si="82"/>
        <v>41509.905995370369</v>
      </c>
      <c r="T1227" s="17">
        <f t="shared" si="83"/>
        <v>41569.905995370369</v>
      </c>
      <c r="U1227">
        <f>MONTH(Table1[[#This Row],[Launched]])</f>
        <v>8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 s="8">
        <v>1398042000</v>
      </c>
      <c r="J1228">
        <v>1395089981</v>
      </c>
      <c r="K1228" t="b">
        <v>0</v>
      </c>
      <c r="L1228" s="10">
        <v>40</v>
      </c>
      <c r="M1228" t="b">
        <v>0</v>
      </c>
      <c r="N1228" t="s">
        <v>8284</v>
      </c>
      <c r="O1228" s="11">
        <f t="shared" si="80"/>
        <v>4</v>
      </c>
      <c r="P1228" s="12">
        <f t="shared" si="81"/>
        <v>48</v>
      </c>
      <c r="Q1228" s="14" t="s">
        <v>8322</v>
      </c>
      <c r="R1228" t="s">
        <v>8337</v>
      </c>
      <c r="S1228" s="17">
        <f t="shared" si="82"/>
        <v>41715.874780092592</v>
      </c>
      <c r="T1228" s="17">
        <f t="shared" si="83"/>
        <v>41750.041666666664</v>
      </c>
      <c r="U1228">
        <f>MONTH(Table1[[#This Row],[Launched]])</f>
        <v>3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8219</v>
      </c>
      <c r="G1229" t="s">
        <v>8223</v>
      </c>
      <c r="H1229" t="s">
        <v>8245</v>
      </c>
      <c r="I1229" s="8">
        <v>1407394800</v>
      </c>
      <c r="J1229">
        <v>1404770616</v>
      </c>
      <c r="K1229" t="b">
        <v>0</v>
      </c>
      <c r="L1229" s="10">
        <v>0</v>
      </c>
      <c r="M1229" t="b">
        <v>0</v>
      </c>
      <c r="N1229" t="s">
        <v>8284</v>
      </c>
      <c r="O1229" s="11">
        <f t="shared" si="80"/>
        <v>0</v>
      </c>
      <c r="P1229" s="12" t="str">
        <f t="shared" si="81"/>
        <v>No Backers</v>
      </c>
      <c r="Q1229" s="14" t="s">
        <v>8322</v>
      </c>
      <c r="R1229" t="s">
        <v>8337</v>
      </c>
      <c r="S1229" s="17">
        <f t="shared" si="82"/>
        <v>41827.919166666667</v>
      </c>
      <c r="T1229" s="17">
        <f t="shared" si="83"/>
        <v>41858.291666666664</v>
      </c>
      <c r="U1229">
        <f>MONTH(Table1[[#This Row],[Launched]])</f>
        <v>7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 s="8">
        <v>1317231008</v>
      </c>
      <c r="J1230">
        <v>1312047008</v>
      </c>
      <c r="K1230" t="b">
        <v>0</v>
      </c>
      <c r="L1230" s="10">
        <v>24</v>
      </c>
      <c r="M1230" t="b">
        <v>0</v>
      </c>
      <c r="N1230" t="s">
        <v>8284</v>
      </c>
      <c r="O1230" s="11">
        <f t="shared" si="80"/>
        <v>29</v>
      </c>
      <c r="P1230" s="12">
        <f t="shared" si="81"/>
        <v>61</v>
      </c>
      <c r="Q1230" s="14" t="s">
        <v>8322</v>
      </c>
      <c r="R1230" t="s">
        <v>8337</v>
      </c>
      <c r="S1230" s="17">
        <f t="shared" si="82"/>
        <v>40754.729259259257</v>
      </c>
      <c r="T1230" s="17">
        <f t="shared" si="83"/>
        <v>40814.729259259257</v>
      </c>
      <c r="U1230">
        <f>MONTH(Table1[[#This Row],[Launched]])</f>
        <v>7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8219</v>
      </c>
      <c r="G1231" t="s">
        <v>8223</v>
      </c>
      <c r="H1231" t="s">
        <v>8245</v>
      </c>
      <c r="I1231" s="8">
        <v>1334592000</v>
      </c>
      <c r="J1231">
        <v>1331982127</v>
      </c>
      <c r="K1231" t="b">
        <v>0</v>
      </c>
      <c r="L1231" s="10">
        <v>1</v>
      </c>
      <c r="M1231" t="b">
        <v>0</v>
      </c>
      <c r="N1231" t="s">
        <v>8284</v>
      </c>
      <c r="O1231" s="11">
        <f t="shared" si="80"/>
        <v>1</v>
      </c>
      <c r="P1231" s="12">
        <f t="shared" si="81"/>
        <v>25</v>
      </c>
      <c r="Q1231" s="14" t="s">
        <v>8322</v>
      </c>
      <c r="R1231" t="s">
        <v>8337</v>
      </c>
      <c r="S1231" s="17">
        <f t="shared" si="82"/>
        <v>40985.459803240738</v>
      </c>
      <c r="T1231" s="17">
        <f t="shared" si="83"/>
        <v>41015.666666666664</v>
      </c>
      <c r="U1231">
        <f>MONTH(Table1[[#This Row],[Launched]])</f>
        <v>3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8219</v>
      </c>
      <c r="G1232" t="s">
        <v>8223</v>
      </c>
      <c r="H1232" t="s">
        <v>8245</v>
      </c>
      <c r="I1232" s="8">
        <v>1298589630</v>
      </c>
      <c r="J1232">
        <v>1295997630</v>
      </c>
      <c r="K1232" t="b">
        <v>0</v>
      </c>
      <c r="L1232" s="10">
        <v>0</v>
      </c>
      <c r="M1232" t="b">
        <v>0</v>
      </c>
      <c r="N1232" t="s">
        <v>8284</v>
      </c>
      <c r="O1232" s="11">
        <f t="shared" si="80"/>
        <v>0</v>
      </c>
      <c r="P1232" s="12" t="str">
        <f t="shared" si="81"/>
        <v>No Backers</v>
      </c>
      <c r="Q1232" s="14" t="s">
        <v>8322</v>
      </c>
      <c r="R1232" t="s">
        <v>8337</v>
      </c>
      <c r="S1232" s="17">
        <f t="shared" si="82"/>
        <v>40568.972569444442</v>
      </c>
      <c r="T1232" s="17">
        <f t="shared" si="83"/>
        <v>40598.972569444442</v>
      </c>
      <c r="U1232">
        <f>MONTH(Table1[[#This Row],[Launched]])</f>
        <v>1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8219</v>
      </c>
      <c r="G1233" t="s">
        <v>8223</v>
      </c>
      <c r="H1233" t="s">
        <v>8245</v>
      </c>
      <c r="I1233" s="8">
        <v>1440723600</v>
      </c>
      <c r="J1233">
        <v>1436394968</v>
      </c>
      <c r="K1233" t="b">
        <v>0</v>
      </c>
      <c r="L1233" s="10">
        <v>0</v>
      </c>
      <c r="M1233" t="b">
        <v>0</v>
      </c>
      <c r="N1233" t="s">
        <v>8284</v>
      </c>
      <c r="O1233" s="11">
        <f t="shared" si="80"/>
        <v>0</v>
      </c>
      <c r="P1233" s="12" t="str">
        <f t="shared" si="81"/>
        <v>No Backers</v>
      </c>
      <c r="Q1233" s="14" t="s">
        <v>8322</v>
      </c>
      <c r="R1233" t="s">
        <v>8337</v>
      </c>
      <c r="S1233" s="17">
        <f t="shared" si="82"/>
        <v>42193.941759259258</v>
      </c>
      <c r="T1233" s="17">
        <f t="shared" si="83"/>
        <v>42244.041666666672</v>
      </c>
      <c r="U1233">
        <f>MONTH(Table1[[#This Row],[Launched]])</f>
        <v>7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8219</v>
      </c>
      <c r="G1234" t="s">
        <v>8223</v>
      </c>
      <c r="H1234" t="s">
        <v>8245</v>
      </c>
      <c r="I1234" s="8">
        <v>1381090870</v>
      </c>
      <c r="J1234">
        <v>1377030070</v>
      </c>
      <c r="K1234" t="b">
        <v>0</v>
      </c>
      <c r="L1234" s="10">
        <v>1</v>
      </c>
      <c r="M1234" t="b">
        <v>0</v>
      </c>
      <c r="N1234" t="s">
        <v>8284</v>
      </c>
      <c r="O1234" s="11">
        <f t="shared" si="80"/>
        <v>1</v>
      </c>
      <c r="P1234" s="12">
        <f t="shared" si="81"/>
        <v>40</v>
      </c>
      <c r="Q1234" s="14" t="s">
        <v>8322</v>
      </c>
      <c r="R1234" t="s">
        <v>8337</v>
      </c>
      <c r="S1234" s="17">
        <f t="shared" si="82"/>
        <v>41506.848032407412</v>
      </c>
      <c r="T1234" s="17">
        <f t="shared" si="83"/>
        <v>41553.848032407412</v>
      </c>
      <c r="U1234">
        <f>MONTH(Table1[[#This Row],[Launched]])</f>
        <v>8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8219</v>
      </c>
      <c r="G1235" t="s">
        <v>8223</v>
      </c>
      <c r="H1235" t="s">
        <v>8245</v>
      </c>
      <c r="I1235" s="8">
        <v>1329864374</v>
      </c>
      <c r="J1235">
        <v>1328049974</v>
      </c>
      <c r="K1235" t="b">
        <v>0</v>
      </c>
      <c r="L1235" s="10">
        <v>6</v>
      </c>
      <c r="M1235" t="b">
        <v>0</v>
      </c>
      <c r="N1235" t="s">
        <v>8284</v>
      </c>
      <c r="O1235" s="11">
        <f t="shared" si="80"/>
        <v>12</v>
      </c>
      <c r="P1235" s="12">
        <f t="shared" si="81"/>
        <v>19</v>
      </c>
      <c r="Q1235" s="14" t="s">
        <v>8322</v>
      </c>
      <c r="R1235" t="s">
        <v>8337</v>
      </c>
      <c r="S1235" s="17">
        <f t="shared" si="82"/>
        <v>40939.948773148149</v>
      </c>
      <c r="T1235" s="17">
        <f t="shared" si="83"/>
        <v>40960.948773148149</v>
      </c>
      <c r="U1235">
        <f>MONTH(Table1[[#This Row],[Launched]])</f>
        <v>1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8219</v>
      </c>
      <c r="G1236" t="s">
        <v>8224</v>
      </c>
      <c r="H1236" t="s">
        <v>8246</v>
      </c>
      <c r="I1236" s="8">
        <v>1422903342</v>
      </c>
      <c r="J1236">
        <v>1420311342</v>
      </c>
      <c r="K1236" t="b">
        <v>0</v>
      </c>
      <c r="L1236" s="10">
        <v>0</v>
      </c>
      <c r="M1236" t="b">
        <v>0</v>
      </c>
      <c r="N1236" t="s">
        <v>8284</v>
      </c>
      <c r="O1236" s="11">
        <f t="shared" si="80"/>
        <v>0</v>
      </c>
      <c r="P1236" s="12" t="str">
        <f t="shared" si="81"/>
        <v>No Backers</v>
      </c>
      <c r="Q1236" s="14" t="s">
        <v>8322</v>
      </c>
      <c r="R1236" t="s">
        <v>8337</v>
      </c>
      <c r="S1236" s="17">
        <f t="shared" si="82"/>
        <v>42007.788680555561</v>
      </c>
      <c r="T1236" s="17">
        <f t="shared" si="83"/>
        <v>42037.788680555561</v>
      </c>
      <c r="U1236">
        <f>MONTH(Table1[[#This Row],[Launched]])</f>
        <v>1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8219</v>
      </c>
      <c r="G1237" t="s">
        <v>8223</v>
      </c>
      <c r="H1237" t="s">
        <v>8245</v>
      </c>
      <c r="I1237" s="8">
        <v>1387077299</v>
      </c>
      <c r="J1237">
        <v>1383621299</v>
      </c>
      <c r="K1237" t="b">
        <v>0</v>
      </c>
      <c r="L1237" s="10">
        <v>6</v>
      </c>
      <c r="M1237" t="b">
        <v>0</v>
      </c>
      <c r="N1237" t="s">
        <v>8284</v>
      </c>
      <c r="O1237" s="11">
        <f t="shared" si="80"/>
        <v>3</v>
      </c>
      <c r="P1237" s="12">
        <f t="shared" si="81"/>
        <v>35</v>
      </c>
      <c r="Q1237" s="14" t="s">
        <v>8322</v>
      </c>
      <c r="R1237" t="s">
        <v>8337</v>
      </c>
      <c r="S1237" s="17">
        <f t="shared" si="82"/>
        <v>41583.135405092595</v>
      </c>
      <c r="T1237" s="17">
        <f t="shared" si="83"/>
        <v>41623.135405092595</v>
      </c>
      <c r="U1237">
        <f>MONTH(Table1[[#This Row],[Launched]])</f>
        <v>11</v>
      </c>
    </row>
    <row r="1238" spans="1:21" ht="15.6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8219</v>
      </c>
      <c r="G1238" t="s">
        <v>8223</v>
      </c>
      <c r="H1238" t="s">
        <v>8245</v>
      </c>
      <c r="I1238" s="8">
        <v>1343491200</v>
      </c>
      <c r="J1238">
        <v>1342801164</v>
      </c>
      <c r="K1238" t="b">
        <v>0</v>
      </c>
      <c r="L1238" s="10">
        <v>0</v>
      </c>
      <c r="M1238" t="b">
        <v>0</v>
      </c>
      <c r="N1238" t="s">
        <v>8284</v>
      </c>
      <c r="O1238" s="11">
        <f t="shared" si="80"/>
        <v>0</v>
      </c>
      <c r="P1238" s="12" t="str">
        <f t="shared" si="81"/>
        <v>No Backers</v>
      </c>
      <c r="Q1238" s="14" t="s">
        <v>8322</v>
      </c>
      <c r="R1238" t="s">
        <v>8337</v>
      </c>
      <c r="S1238" s="17">
        <f t="shared" si="82"/>
        <v>41110.680138888885</v>
      </c>
      <c r="T1238" s="17">
        <f t="shared" si="83"/>
        <v>41118.666666666664</v>
      </c>
      <c r="U1238">
        <f>MONTH(Table1[[#This Row],[Launched]])</f>
        <v>7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8219</v>
      </c>
      <c r="G1239" t="s">
        <v>8223</v>
      </c>
      <c r="H1239" t="s">
        <v>8245</v>
      </c>
      <c r="I1239" s="8">
        <v>1345790865</v>
      </c>
      <c r="J1239">
        <v>1344062865</v>
      </c>
      <c r="K1239" t="b">
        <v>0</v>
      </c>
      <c r="L1239" s="10">
        <v>0</v>
      </c>
      <c r="M1239" t="b">
        <v>0</v>
      </c>
      <c r="N1239" t="s">
        <v>8284</v>
      </c>
      <c r="O1239" s="11">
        <f t="shared" si="80"/>
        <v>0</v>
      </c>
      <c r="P1239" s="12" t="str">
        <f t="shared" si="81"/>
        <v>No Backers</v>
      </c>
      <c r="Q1239" s="14" t="s">
        <v>8322</v>
      </c>
      <c r="R1239" t="s">
        <v>8337</v>
      </c>
      <c r="S1239" s="17">
        <f t="shared" si="82"/>
        <v>41125.283159722225</v>
      </c>
      <c r="T1239" s="17">
        <f t="shared" si="83"/>
        <v>41145.283159722225</v>
      </c>
      <c r="U1239">
        <f>MONTH(Table1[[#This Row],[Launched]])</f>
        <v>8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8219</v>
      </c>
      <c r="G1240" t="s">
        <v>8223</v>
      </c>
      <c r="H1240" t="s">
        <v>8245</v>
      </c>
      <c r="I1240" s="8">
        <v>1312641536</v>
      </c>
      <c r="J1240">
        <v>1310049536</v>
      </c>
      <c r="K1240" t="b">
        <v>0</v>
      </c>
      <c r="L1240" s="10">
        <v>3</v>
      </c>
      <c r="M1240" t="b">
        <v>0</v>
      </c>
      <c r="N1240" t="s">
        <v>8284</v>
      </c>
      <c r="O1240" s="11">
        <f t="shared" si="80"/>
        <v>18</v>
      </c>
      <c r="P1240" s="12">
        <f t="shared" si="81"/>
        <v>59</v>
      </c>
      <c r="Q1240" s="14" t="s">
        <v>8322</v>
      </c>
      <c r="R1240" t="s">
        <v>8337</v>
      </c>
      <c r="S1240" s="17">
        <f t="shared" si="82"/>
        <v>40731.61037037037</v>
      </c>
      <c r="T1240" s="17">
        <f t="shared" si="83"/>
        <v>40761.61037037037</v>
      </c>
      <c r="U1240">
        <f>MONTH(Table1[[#This Row],[Launched]])</f>
        <v>7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8219</v>
      </c>
      <c r="G1241" t="s">
        <v>8223</v>
      </c>
      <c r="H1241" t="s">
        <v>8245</v>
      </c>
      <c r="I1241" s="8">
        <v>1325804767</v>
      </c>
      <c r="J1241">
        <v>1323212767</v>
      </c>
      <c r="K1241" t="b">
        <v>0</v>
      </c>
      <c r="L1241" s="10">
        <v>0</v>
      </c>
      <c r="M1241" t="b">
        <v>0</v>
      </c>
      <c r="N1241" t="s">
        <v>8284</v>
      </c>
      <c r="O1241" s="11">
        <f t="shared" si="80"/>
        <v>0</v>
      </c>
      <c r="P1241" s="12" t="str">
        <f t="shared" si="81"/>
        <v>No Backers</v>
      </c>
      <c r="Q1241" s="14" t="s">
        <v>8322</v>
      </c>
      <c r="R1241" t="s">
        <v>8337</v>
      </c>
      <c r="S1241" s="17">
        <f t="shared" si="82"/>
        <v>40883.962581018517</v>
      </c>
      <c r="T1241" s="17">
        <f t="shared" si="83"/>
        <v>40913.962581018517</v>
      </c>
      <c r="U1241">
        <f>MONTH(Table1[[#This Row],[Launched]])</f>
        <v>12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8219</v>
      </c>
      <c r="G1242" t="s">
        <v>8223</v>
      </c>
      <c r="H1242" t="s">
        <v>8245</v>
      </c>
      <c r="I1242" s="8">
        <v>1373665860</v>
      </c>
      <c r="J1242">
        <v>1368579457</v>
      </c>
      <c r="K1242" t="b">
        <v>0</v>
      </c>
      <c r="L1242" s="10">
        <v>8</v>
      </c>
      <c r="M1242" t="b">
        <v>0</v>
      </c>
      <c r="N1242" t="s">
        <v>8284</v>
      </c>
      <c r="O1242" s="11">
        <f t="shared" si="80"/>
        <v>3</v>
      </c>
      <c r="P1242" s="12">
        <f t="shared" si="81"/>
        <v>30</v>
      </c>
      <c r="Q1242" s="14" t="s">
        <v>8322</v>
      </c>
      <c r="R1242" t="s">
        <v>8337</v>
      </c>
      <c r="S1242" s="17">
        <f t="shared" si="82"/>
        <v>41409.040011574078</v>
      </c>
      <c r="T1242" s="17">
        <f t="shared" si="83"/>
        <v>41467.910416666666</v>
      </c>
      <c r="U1242">
        <f>MONTH(Table1[[#This Row],[Launched]])</f>
        <v>5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 s="8">
        <v>1414994340</v>
      </c>
      <c r="J1243">
        <v>1413057980</v>
      </c>
      <c r="K1243" t="b">
        <v>0</v>
      </c>
      <c r="L1243" s="10">
        <v>34</v>
      </c>
      <c r="M1243" t="b">
        <v>0</v>
      </c>
      <c r="N1243" t="s">
        <v>8284</v>
      </c>
      <c r="O1243" s="11">
        <f t="shared" si="80"/>
        <v>51</v>
      </c>
      <c r="P1243" s="12">
        <f t="shared" si="81"/>
        <v>75</v>
      </c>
      <c r="Q1243" s="14" t="s">
        <v>8322</v>
      </c>
      <c r="R1243" t="s">
        <v>8337</v>
      </c>
      <c r="S1243" s="17">
        <f t="shared" si="82"/>
        <v>41923.837731481479</v>
      </c>
      <c r="T1243" s="17">
        <f t="shared" si="83"/>
        <v>41946.249305555553</v>
      </c>
      <c r="U1243">
        <f>MONTH(Table1[[#This Row],[Launched]])</f>
        <v>10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8219</v>
      </c>
      <c r="G1244" t="s">
        <v>8223</v>
      </c>
      <c r="H1244" t="s">
        <v>8245</v>
      </c>
      <c r="I1244" s="8">
        <v>1315747080</v>
      </c>
      <c r="J1244">
        <v>1314417502</v>
      </c>
      <c r="K1244" t="b">
        <v>0</v>
      </c>
      <c r="L1244" s="10">
        <v>1</v>
      </c>
      <c r="M1244" t="b">
        <v>0</v>
      </c>
      <c r="N1244" t="s">
        <v>8284</v>
      </c>
      <c r="O1244" s="11">
        <f t="shared" si="80"/>
        <v>1</v>
      </c>
      <c r="P1244" s="12">
        <f t="shared" si="81"/>
        <v>5</v>
      </c>
      <c r="Q1244" s="14" t="s">
        <v>8322</v>
      </c>
      <c r="R1244" t="s">
        <v>8337</v>
      </c>
      <c r="S1244" s="17">
        <f t="shared" si="82"/>
        <v>40782.165532407409</v>
      </c>
      <c r="T1244" s="17">
        <f t="shared" si="83"/>
        <v>40797.554166666669</v>
      </c>
      <c r="U1244">
        <f>MONTH(Table1[[#This Row],[Launched]])</f>
        <v>8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 s="8">
        <v>1310158800</v>
      </c>
      <c r="J1245">
        <v>1304888771</v>
      </c>
      <c r="K1245" t="b">
        <v>0</v>
      </c>
      <c r="L1245" s="10">
        <v>38</v>
      </c>
      <c r="M1245" t="b">
        <v>0</v>
      </c>
      <c r="N1245" t="s">
        <v>8284</v>
      </c>
      <c r="O1245" s="11">
        <f t="shared" si="80"/>
        <v>14</v>
      </c>
      <c r="P1245" s="12">
        <f t="shared" si="81"/>
        <v>45</v>
      </c>
      <c r="Q1245" s="14" t="s">
        <v>8322</v>
      </c>
      <c r="R1245" t="s">
        <v>8337</v>
      </c>
      <c r="S1245" s="17">
        <f t="shared" si="82"/>
        <v>40671.879293981481</v>
      </c>
      <c r="T1245" s="17">
        <f t="shared" si="83"/>
        <v>40732.875</v>
      </c>
      <c r="U1245">
        <f>MONTH(Table1[[#This Row],[Launched]])</f>
        <v>5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 s="8">
        <v>1366664400</v>
      </c>
      <c r="J1246">
        <v>1363981723</v>
      </c>
      <c r="K1246" t="b">
        <v>1</v>
      </c>
      <c r="L1246" s="10">
        <v>45</v>
      </c>
      <c r="M1246" t="b">
        <v>1</v>
      </c>
      <c r="N1246" t="s">
        <v>8274</v>
      </c>
      <c r="O1246" s="11">
        <f t="shared" si="80"/>
        <v>104</v>
      </c>
      <c r="P1246" s="12">
        <f t="shared" si="81"/>
        <v>46</v>
      </c>
      <c r="Q1246" s="14" t="s">
        <v>8322</v>
      </c>
      <c r="R1246" t="s">
        <v>8323</v>
      </c>
      <c r="S1246" s="17">
        <f t="shared" si="82"/>
        <v>41355.825497685182</v>
      </c>
      <c r="T1246" s="17">
        <f t="shared" si="83"/>
        <v>41386.875</v>
      </c>
      <c r="U1246">
        <f>MONTH(Table1[[#This Row],[Launched]])</f>
        <v>3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 s="8">
        <v>1402755834</v>
      </c>
      <c r="J1247">
        <v>1400163834</v>
      </c>
      <c r="K1247" t="b">
        <v>1</v>
      </c>
      <c r="L1247" s="10">
        <v>17</v>
      </c>
      <c r="M1247" t="b">
        <v>1</v>
      </c>
      <c r="N1247" t="s">
        <v>8274</v>
      </c>
      <c r="O1247" s="11">
        <f t="shared" si="80"/>
        <v>120</v>
      </c>
      <c r="P1247" s="12">
        <f t="shared" si="81"/>
        <v>141</v>
      </c>
      <c r="Q1247" s="14" t="s">
        <v>8322</v>
      </c>
      <c r="R1247" t="s">
        <v>8323</v>
      </c>
      <c r="S1247" s="17">
        <f t="shared" si="82"/>
        <v>41774.599930555552</v>
      </c>
      <c r="T1247" s="17">
        <f t="shared" si="83"/>
        <v>41804.599930555552</v>
      </c>
      <c r="U1247">
        <f>MONTH(Table1[[#This Row],[Launched]])</f>
        <v>5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 s="8">
        <v>1323136949</v>
      </c>
      <c r="J1248">
        <v>1319245349</v>
      </c>
      <c r="K1248" t="b">
        <v>1</v>
      </c>
      <c r="L1248" s="10">
        <v>31</v>
      </c>
      <c r="M1248" t="b">
        <v>1</v>
      </c>
      <c r="N1248" t="s">
        <v>8274</v>
      </c>
      <c r="O1248" s="11">
        <f t="shared" si="80"/>
        <v>117</v>
      </c>
      <c r="P1248" s="12">
        <f t="shared" si="81"/>
        <v>75</v>
      </c>
      <c r="Q1248" s="14" t="s">
        <v>8322</v>
      </c>
      <c r="R1248" t="s">
        <v>8323</v>
      </c>
      <c r="S1248" s="17">
        <f t="shared" si="82"/>
        <v>40838.043391203704</v>
      </c>
      <c r="T1248" s="17">
        <f t="shared" si="83"/>
        <v>40883.085057870368</v>
      </c>
      <c r="U1248">
        <f>MONTH(Table1[[#This Row],[Launched]])</f>
        <v>10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 s="8">
        <v>1367823655</v>
      </c>
      <c r="J1249">
        <v>1365231655</v>
      </c>
      <c r="K1249" t="b">
        <v>1</v>
      </c>
      <c r="L1249" s="10">
        <v>50</v>
      </c>
      <c r="M1249" t="b">
        <v>1</v>
      </c>
      <c r="N1249" t="s">
        <v>8274</v>
      </c>
      <c r="O1249" s="11">
        <f t="shared" si="80"/>
        <v>122</v>
      </c>
      <c r="P1249" s="12">
        <f t="shared" si="81"/>
        <v>86</v>
      </c>
      <c r="Q1249" s="14" t="s">
        <v>8322</v>
      </c>
      <c r="R1249" t="s">
        <v>8323</v>
      </c>
      <c r="S1249" s="17">
        <f t="shared" si="82"/>
        <v>41370.292303240742</v>
      </c>
      <c r="T1249" s="17">
        <f t="shared" si="83"/>
        <v>41400.292303240742</v>
      </c>
      <c r="U1249">
        <f>MONTH(Table1[[#This Row],[Launched]])</f>
        <v>4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 s="8">
        <v>1402642740</v>
      </c>
      <c r="J1250">
        <v>1399563953</v>
      </c>
      <c r="K1250" t="b">
        <v>1</v>
      </c>
      <c r="L1250" s="10">
        <v>59</v>
      </c>
      <c r="M1250" t="b">
        <v>1</v>
      </c>
      <c r="N1250" t="s">
        <v>8274</v>
      </c>
      <c r="O1250" s="11">
        <f t="shared" si="80"/>
        <v>152</v>
      </c>
      <c r="P1250" s="12">
        <f t="shared" si="81"/>
        <v>64</v>
      </c>
      <c r="Q1250" s="14" t="s">
        <v>8322</v>
      </c>
      <c r="R1250" t="s">
        <v>8323</v>
      </c>
      <c r="S1250" s="17">
        <f t="shared" si="82"/>
        <v>41767.656863425924</v>
      </c>
      <c r="T1250" s="17">
        <f t="shared" si="83"/>
        <v>41803.290972222225</v>
      </c>
      <c r="U1250">
        <f>MONTH(Table1[[#This Row],[Launched]])</f>
        <v>5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 s="8">
        <v>1341683211</v>
      </c>
      <c r="J1251">
        <v>1339091211</v>
      </c>
      <c r="K1251" t="b">
        <v>1</v>
      </c>
      <c r="L1251" s="10">
        <v>81</v>
      </c>
      <c r="M1251" t="b">
        <v>1</v>
      </c>
      <c r="N1251" t="s">
        <v>8274</v>
      </c>
      <c r="O1251" s="11">
        <f t="shared" si="80"/>
        <v>104</v>
      </c>
      <c r="P1251" s="12">
        <f t="shared" si="81"/>
        <v>64</v>
      </c>
      <c r="Q1251" s="14" t="s">
        <v>8322</v>
      </c>
      <c r="R1251" t="s">
        <v>8323</v>
      </c>
      <c r="S1251" s="17">
        <f t="shared" si="82"/>
        <v>41067.74086805556</v>
      </c>
      <c r="T1251" s="17">
        <f t="shared" si="83"/>
        <v>41097.74086805556</v>
      </c>
      <c r="U1251">
        <f>MONTH(Table1[[#This Row],[Launched]])</f>
        <v>6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 s="8">
        <v>1410017131</v>
      </c>
      <c r="J1252">
        <v>1406129131</v>
      </c>
      <c r="K1252" t="b">
        <v>1</v>
      </c>
      <c r="L1252" s="10">
        <v>508</v>
      </c>
      <c r="M1252" t="b">
        <v>1</v>
      </c>
      <c r="N1252" t="s">
        <v>8274</v>
      </c>
      <c r="O1252" s="11">
        <f t="shared" si="80"/>
        <v>200</v>
      </c>
      <c r="P1252" s="12">
        <f t="shared" si="81"/>
        <v>118</v>
      </c>
      <c r="Q1252" s="14" t="s">
        <v>8322</v>
      </c>
      <c r="R1252" t="s">
        <v>8323</v>
      </c>
      <c r="S1252" s="17">
        <f t="shared" si="82"/>
        <v>41843.64271990741</v>
      </c>
      <c r="T1252" s="17">
        <f t="shared" si="83"/>
        <v>41888.64271990741</v>
      </c>
      <c r="U1252">
        <f>MONTH(Table1[[#This Row],[Launched]])</f>
        <v>7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 s="8">
        <v>1316979167</v>
      </c>
      <c r="J1253">
        <v>1311795167</v>
      </c>
      <c r="K1253" t="b">
        <v>1</v>
      </c>
      <c r="L1253" s="10">
        <v>74</v>
      </c>
      <c r="M1253" t="b">
        <v>1</v>
      </c>
      <c r="N1253" t="s">
        <v>8274</v>
      </c>
      <c r="O1253" s="11">
        <f t="shared" si="80"/>
        <v>102</v>
      </c>
      <c r="P1253" s="12">
        <f t="shared" si="81"/>
        <v>83</v>
      </c>
      <c r="Q1253" s="14" t="s">
        <v>8322</v>
      </c>
      <c r="R1253" t="s">
        <v>8323</v>
      </c>
      <c r="S1253" s="17">
        <f t="shared" si="82"/>
        <v>40751.814432870371</v>
      </c>
      <c r="T1253" s="17">
        <f t="shared" si="83"/>
        <v>40811.814432870371</v>
      </c>
      <c r="U1253">
        <f>MONTH(Table1[[#This Row],[Launched]])</f>
        <v>7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 s="8">
        <v>1382658169</v>
      </c>
      <c r="J1254">
        <v>1380238969</v>
      </c>
      <c r="K1254" t="b">
        <v>1</v>
      </c>
      <c r="L1254" s="10">
        <v>141</v>
      </c>
      <c r="M1254" t="b">
        <v>1</v>
      </c>
      <c r="N1254" t="s">
        <v>8274</v>
      </c>
      <c r="O1254" s="11">
        <f t="shared" si="80"/>
        <v>138</v>
      </c>
      <c r="P1254" s="12">
        <f t="shared" si="81"/>
        <v>34</v>
      </c>
      <c r="Q1254" s="14" t="s">
        <v>8322</v>
      </c>
      <c r="R1254" t="s">
        <v>8323</v>
      </c>
      <c r="S1254" s="17">
        <f t="shared" si="82"/>
        <v>41543.988067129627</v>
      </c>
      <c r="T1254" s="17">
        <f t="shared" si="83"/>
        <v>41571.988067129627</v>
      </c>
      <c r="U1254">
        <f>MONTH(Table1[[#This Row],[Launched]])</f>
        <v>9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 s="8">
        <v>1409770107</v>
      </c>
      <c r="J1255">
        <v>1407178107</v>
      </c>
      <c r="K1255" t="b">
        <v>1</v>
      </c>
      <c r="L1255" s="10">
        <v>711</v>
      </c>
      <c r="M1255" t="b">
        <v>1</v>
      </c>
      <c r="N1255" t="s">
        <v>8274</v>
      </c>
      <c r="O1255" s="11">
        <f t="shared" si="80"/>
        <v>303833</v>
      </c>
      <c r="P1255" s="12">
        <f t="shared" si="81"/>
        <v>43</v>
      </c>
      <c r="Q1255" s="14" t="s">
        <v>8322</v>
      </c>
      <c r="R1255" t="s">
        <v>8323</v>
      </c>
      <c r="S1255" s="17">
        <f t="shared" si="82"/>
        <v>41855.783645833333</v>
      </c>
      <c r="T1255" s="17">
        <f t="shared" si="83"/>
        <v>41885.783645833333</v>
      </c>
      <c r="U1255">
        <f>MONTH(Table1[[#This Row],[Launched]])</f>
        <v>8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 s="8">
        <v>1293857940</v>
      </c>
      <c r="J1256">
        <v>1288968886</v>
      </c>
      <c r="K1256" t="b">
        <v>1</v>
      </c>
      <c r="L1256" s="10">
        <v>141</v>
      </c>
      <c r="M1256" t="b">
        <v>1</v>
      </c>
      <c r="N1256" t="s">
        <v>8274</v>
      </c>
      <c r="O1256" s="11">
        <f t="shared" si="80"/>
        <v>199</v>
      </c>
      <c r="P1256" s="12">
        <f t="shared" si="81"/>
        <v>94</v>
      </c>
      <c r="Q1256" s="14" t="s">
        <v>8322</v>
      </c>
      <c r="R1256" t="s">
        <v>8323</v>
      </c>
      <c r="S1256" s="17">
        <f t="shared" si="82"/>
        <v>40487.621365740742</v>
      </c>
      <c r="T1256" s="17">
        <f t="shared" si="83"/>
        <v>40544.207638888889</v>
      </c>
      <c r="U1256">
        <f>MONTH(Table1[[#This Row],[Launched]])</f>
        <v>11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 s="8">
        <v>1385932652</v>
      </c>
      <c r="J1257">
        <v>1383337052</v>
      </c>
      <c r="K1257" t="b">
        <v>1</v>
      </c>
      <c r="L1257" s="10">
        <v>109</v>
      </c>
      <c r="M1257" t="b">
        <v>1</v>
      </c>
      <c r="N1257" t="s">
        <v>8274</v>
      </c>
      <c r="O1257" s="11">
        <f t="shared" si="80"/>
        <v>202</v>
      </c>
      <c r="P1257" s="12">
        <f t="shared" si="81"/>
        <v>56</v>
      </c>
      <c r="Q1257" s="14" t="s">
        <v>8322</v>
      </c>
      <c r="R1257" t="s">
        <v>8323</v>
      </c>
      <c r="S1257" s="17">
        <f t="shared" si="82"/>
        <v>41579.845509259263</v>
      </c>
      <c r="T1257" s="17">
        <f t="shared" si="83"/>
        <v>41609.887175925927</v>
      </c>
      <c r="U1257">
        <f>MONTH(Table1[[#This Row],[Launched]])</f>
        <v>11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 s="8">
        <v>1329084231</v>
      </c>
      <c r="J1258">
        <v>1326492231</v>
      </c>
      <c r="K1258" t="b">
        <v>1</v>
      </c>
      <c r="L1258" s="10">
        <v>361</v>
      </c>
      <c r="M1258" t="b">
        <v>1</v>
      </c>
      <c r="N1258" t="s">
        <v>8274</v>
      </c>
      <c r="O1258" s="11">
        <f t="shared" si="80"/>
        <v>118</v>
      </c>
      <c r="P1258" s="12">
        <f t="shared" si="81"/>
        <v>98</v>
      </c>
      <c r="Q1258" s="14" t="s">
        <v>8322</v>
      </c>
      <c r="R1258" t="s">
        <v>8323</v>
      </c>
      <c r="S1258" s="17">
        <f t="shared" si="82"/>
        <v>40921.919340277782</v>
      </c>
      <c r="T1258" s="17">
        <f t="shared" si="83"/>
        <v>40951.919340277782</v>
      </c>
      <c r="U1258">
        <f>MONTH(Table1[[#This Row],[Launched]])</f>
        <v>1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 s="8">
        <v>1301792590</v>
      </c>
      <c r="J1259">
        <v>1297562590</v>
      </c>
      <c r="K1259" t="b">
        <v>1</v>
      </c>
      <c r="L1259" s="10">
        <v>176</v>
      </c>
      <c r="M1259" t="b">
        <v>1</v>
      </c>
      <c r="N1259" t="s">
        <v>8274</v>
      </c>
      <c r="O1259" s="11">
        <f t="shared" si="80"/>
        <v>295</v>
      </c>
      <c r="P1259" s="12">
        <f t="shared" si="81"/>
        <v>92</v>
      </c>
      <c r="Q1259" s="14" t="s">
        <v>8322</v>
      </c>
      <c r="R1259" t="s">
        <v>8323</v>
      </c>
      <c r="S1259" s="17">
        <f t="shared" si="82"/>
        <v>40587.085532407407</v>
      </c>
      <c r="T1259" s="17">
        <f t="shared" si="83"/>
        <v>40636.043865740743</v>
      </c>
      <c r="U1259">
        <f>MONTH(Table1[[#This Row],[Launched]])</f>
        <v>2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 s="8">
        <v>1377960012</v>
      </c>
      <c r="J1260">
        <v>1375368012</v>
      </c>
      <c r="K1260" t="b">
        <v>1</v>
      </c>
      <c r="L1260" s="10">
        <v>670</v>
      </c>
      <c r="M1260" t="b">
        <v>1</v>
      </c>
      <c r="N1260" t="s">
        <v>8274</v>
      </c>
      <c r="O1260" s="11">
        <f t="shared" si="80"/>
        <v>213</v>
      </c>
      <c r="P1260" s="12">
        <f t="shared" si="81"/>
        <v>38</v>
      </c>
      <c r="Q1260" s="14" t="s">
        <v>8322</v>
      </c>
      <c r="R1260" t="s">
        <v>8323</v>
      </c>
      <c r="S1260" s="17">
        <f t="shared" si="82"/>
        <v>41487.611250000002</v>
      </c>
      <c r="T1260" s="17">
        <f t="shared" si="83"/>
        <v>41517.611250000002</v>
      </c>
      <c r="U1260">
        <f>MONTH(Table1[[#This Row],[Launched]])</f>
        <v>8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 s="8">
        <v>1402286340</v>
      </c>
      <c r="J1261">
        <v>1399504664</v>
      </c>
      <c r="K1261" t="b">
        <v>1</v>
      </c>
      <c r="L1261" s="10">
        <v>96</v>
      </c>
      <c r="M1261" t="b">
        <v>1</v>
      </c>
      <c r="N1261" t="s">
        <v>8274</v>
      </c>
      <c r="O1261" s="11">
        <f t="shared" si="80"/>
        <v>104</v>
      </c>
      <c r="P1261" s="12">
        <f t="shared" si="81"/>
        <v>27</v>
      </c>
      <c r="Q1261" s="14" t="s">
        <v>8322</v>
      </c>
      <c r="R1261" t="s">
        <v>8323</v>
      </c>
      <c r="S1261" s="17">
        <f t="shared" si="82"/>
        <v>41766.970648148148</v>
      </c>
      <c r="T1261" s="17">
        <f t="shared" si="83"/>
        <v>41799.165972222225</v>
      </c>
      <c r="U1261">
        <f>MONTH(Table1[[#This Row],[Launched]])</f>
        <v>5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 s="8">
        <v>1393445620</v>
      </c>
      <c r="J1262">
        <v>1390853620</v>
      </c>
      <c r="K1262" t="b">
        <v>1</v>
      </c>
      <c r="L1262" s="10">
        <v>74</v>
      </c>
      <c r="M1262" t="b">
        <v>1</v>
      </c>
      <c r="N1262" t="s">
        <v>8274</v>
      </c>
      <c r="O1262" s="11">
        <f t="shared" si="80"/>
        <v>114</v>
      </c>
      <c r="P1262" s="12">
        <f t="shared" si="81"/>
        <v>51</v>
      </c>
      <c r="Q1262" s="14" t="s">
        <v>8322</v>
      </c>
      <c r="R1262" t="s">
        <v>8323</v>
      </c>
      <c r="S1262" s="17">
        <f t="shared" si="82"/>
        <v>41666.842824074076</v>
      </c>
      <c r="T1262" s="17">
        <f t="shared" si="83"/>
        <v>41696.842824074076</v>
      </c>
      <c r="U1262">
        <f>MONTH(Table1[[#This Row],[Launched]])</f>
        <v>1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 s="8">
        <v>1390983227</v>
      </c>
      <c r="J1263">
        <v>1388391227</v>
      </c>
      <c r="K1263" t="b">
        <v>1</v>
      </c>
      <c r="L1263" s="10">
        <v>52</v>
      </c>
      <c r="M1263" t="b">
        <v>1</v>
      </c>
      <c r="N1263" t="s">
        <v>8274</v>
      </c>
      <c r="O1263" s="11">
        <f t="shared" si="80"/>
        <v>101</v>
      </c>
      <c r="P1263" s="12">
        <f t="shared" si="81"/>
        <v>39</v>
      </c>
      <c r="Q1263" s="14" t="s">
        <v>8322</v>
      </c>
      <c r="R1263" t="s">
        <v>8323</v>
      </c>
      <c r="S1263" s="17">
        <f t="shared" si="82"/>
        <v>41638.342905092592</v>
      </c>
      <c r="T1263" s="17">
        <f t="shared" si="83"/>
        <v>41668.342905092592</v>
      </c>
      <c r="U1263">
        <f>MONTH(Table1[[#This Row],[Launched]])</f>
        <v>12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 s="8">
        <v>1392574692</v>
      </c>
      <c r="J1264">
        <v>1389982692</v>
      </c>
      <c r="K1264" t="b">
        <v>1</v>
      </c>
      <c r="L1264" s="10">
        <v>105</v>
      </c>
      <c r="M1264" t="b">
        <v>1</v>
      </c>
      <c r="N1264" t="s">
        <v>8274</v>
      </c>
      <c r="O1264" s="11">
        <f t="shared" si="80"/>
        <v>125</v>
      </c>
      <c r="P1264" s="12">
        <f t="shared" si="81"/>
        <v>78</v>
      </c>
      <c r="Q1264" s="14" t="s">
        <v>8322</v>
      </c>
      <c r="R1264" t="s">
        <v>8323</v>
      </c>
      <c r="S1264" s="17">
        <f t="shared" si="82"/>
        <v>41656.762638888889</v>
      </c>
      <c r="T1264" s="17">
        <f t="shared" si="83"/>
        <v>41686.762638888889</v>
      </c>
      <c r="U1264">
        <f>MONTH(Table1[[#This Row],[Launched]])</f>
        <v>1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 s="8">
        <v>1396054800</v>
      </c>
      <c r="J1265">
        <v>1393034470</v>
      </c>
      <c r="K1265" t="b">
        <v>1</v>
      </c>
      <c r="L1265" s="10">
        <v>41</v>
      </c>
      <c r="M1265" t="b">
        <v>1</v>
      </c>
      <c r="N1265" t="s">
        <v>8274</v>
      </c>
      <c r="O1265" s="11">
        <f t="shared" si="80"/>
        <v>119</v>
      </c>
      <c r="P1265" s="12">
        <f t="shared" si="81"/>
        <v>44</v>
      </c>
      <c r="Q1265" s="14" t="s">
        <v>8322</v>
      </c>
      <c r="R1265" t="s">
        <v>8323</v>
      </c>
      <c r="S1265" s="17">
        <f t="shared" si="82"/>
        <v>41692.084143518521</v>
      </c>
      <c r="T1265" s="17">
        <f t="shared" si="83"/>
        <v>41727.041666666664</v>
      </c>
      <c r="U1265">
        <f>MONTH(Table1[[#This Row],[Launched]])</f>
        <v>2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8218</v>
      </c>
      <c r="G1266" t="s">
        <v>8223</v>
      </c>
      <c r="H1266" t="s">
        <v>8245</v>
      </c>
      <c r="I1266" s="8">
        <v>1383062083</v>
      </c>
      <c r="J1266">
        <v>1380556483</v>
      </c>
      <c r="K1266" t="b">
        <v>1</v>
      </c>
      <c r="L1266" s="10">
        <v>34</v>
      </c>
      <c r="M1266" t="b">
        <v>1</v>
      </c>
      <c r="N1266" t="s">
        <v>8274</v>
      </c>
      <c r="O1266" s="11">
        <f t="shared" si="80"/>
        <v>166</v>
      </c>
      <c r="P1266" s="12">
        <f t="shared" si="81"/>
        <v>32</v>
      </c>
      <c r="Q1266" s="14" t="s">
        <v>8322</v>
      </c>
      <c r="R1266" t="s">
        <v>8323</v>
      </c>
      <c r="S1266" s="17">
        <f t="shared" si="82"/>
        <v>41547.662997685184</v>
      </c>
      <c r="T1266" s="17">
        <f t="shared" si="83"/>
        <v>41576.662997685184</v>
      </c>
      <c r="U1266">
        <f>MONTH(Table1[[#This Row],[Launched]])</f>
        <v>9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 s="8">
        <v>1291131815</v>
      </c>
      <c r="J1267">
        <v>1287071015</v>
      </c>
      <c r="K1267" t="b">
        <v>1</v>
      </c>
      <c r="L1267" s="10">
        <v>66</v>
      </c>
      <c r="M1267" t="b">
        <v>1</v>
      </c>
      <c r="N1267" t="s">
        <v>8274</v>
      </c>
      <c r="O1267" s="11">
        <f t="shared" si="80"/>
        <v>119</v>
      </c>
      <c r="P1267" s="12">
        <f t="shared" si="81"/>
        <v>63</v>
      </c>
      <c r="Q1267" s="14" t="s">
        <v>8322</v>
      </c>
      <c r="R1267" t="s">
        <v>8323</v>
      </c>
      <c r="S1267" s="17">
        <f t="shared" si="82"/>
        <v>40465.655266203699</v>
      </c>
      <c r="T1267" s="17">
        <f t="shared" si="83"/>
        <v>40512.655266203699</v>
      </c>
      <c r="U1267">
        <f>MONTH(Table1[[#This Row],[Launched]])</f>
        <v>10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 s="8">
        <v>1389474145</v>
      </c>
      <c r="J1268">
        <v>1386882145</v>
      </c>
      <c r="K1268" t="b">
        <v>1</v>
      </c>
      <c r="L1268" s="10">
        <v>50</v>
      </c>
      <c r="M1268" t="b">
        <v>1</v>
      </c>
      <c r="N1268" t="s">
        <v>8274</v>
      </c>
      <c r="O1268" s="11">
        <f t="shared" si="80"/>
        <v>100</v>
      </c>
      <c r="P1268" s="12">
        <f t="shared" si="81"/>
        <v>191</v>
      </c>
      <c r="Q1268" s="14" t="s">
        <v>8322</v>
      </c>
      <c r="R1268" t="s">
        <v>8323</v>
      </c>
      <c r="S1268" s="17">
        <f t="shared" si="82"/>
        <v>41620.87667824074</v>
      </c>
      <c r="T1268" s="17">
        <f t="shared" si="83"/>
        <v>41650.87667824074</v>
      </c>
      <c r="U1268">
        <f>MONTH(Table1[[#This Row],[Launched]])</f>
        <v>12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 s="8">
        <v>1374674558</v>
      </c>
      <c r="J1269">
        <v>1372082558</v>
      </c>
      <c r="K1269" t="b">
        <v>1</v>
      </c>
      <c r="L1269" s="10">
        <v>159</v>
      </c>
      <c r="M1269" t="b">
        <v>1</v>
      </c>
      <c r="N1269" t="s">
        <v>8274</v>
      </c>
      <c r="O1269" s="11">
        <f t="shared" si="80"/>
        <v>102</v>
      </c>
      <c r="P1269" s="12">
        <f t="shared" si="81"/>
        <v>141</v>
      </c>
      <c r="Q1269" s="14" t="s">
        <v>8322</v>
      </c>
      <c r="R1269" t="s">
        <v>8323</v>
      </c>
      <c r="S1269" s="17">
        <f t="shared" si="82"/>
        <v>41449.585162037038</v>
      </c>
      <c r="T1269" s="17">
        <f t="shared" si="83"/>
        <v>41479.585162037038</v>
      </c>
      <c r="U1269">
        <f>MONTH(Table1[[#This Row],[Launched]])</f>
        <v>6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 s="8">
        <v>1379708247</v>
      </c>
      <c r="J1270">
        <v>1377116247</v>
      </c>
      <c r="K1270" t="b">
        <v>1</v>
      </c>
      <c r="L1270" s="10">
        <v>182</v>
      </c>
      <c r="M1270" t="b">
        <v>1</v>
      </c>
      <c r="N1270" t="s">
        <v>8274</v>
      </c>
      <c r="O1270" s="11">
        <f t="shared" si="80"/>
        <v>117</v>
      </c>
      <c r="P1270" s="12">
        <f t="shared" si="81"/>
        <v>77</v>
      </c>
      <c r="Q1270" s="14" t="s">
        <v>8322</v>
      </c>
      <c r="R1270" t="s">
        <v>8323</v>
      </c>
      <c r="S1270" s="17">
        <f t="shared" si="82"/>
        <v>41507.845451388886</v>
      </c>
      <c r="T1270" s="17">
        <f t="shared" si="83"/>
        <v>41537.845451388886</v>
      </c>
      <c r="U1270">
        <f>MONTH(Table1[[#This Row],[Launched]])</f>
        <v>8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 s="8">
        <v>1460764800</v>
      </c>
      <c r="J1271">
        <v>1458157512</v>
      </c>
      <c r="K1271" t="b">
        <v>1</v>
      </c>
      <c r="L1271" s="10">
        <v>206</v>
      </c>
      <c r="M1271" t="b">
        <v>1</v>
      </c>
      <c r="N1271" t="s">
        <v>8274</v>
      </c>
      <c r="O1271" s="11">
        <f t="shared" si="80"/>
        <v>109</v>
      </c>
      <c r="P1271" s="12">
        <f t="shared" si="81"/>
        <v>99</v>
      </c>
      <c r="Q1271" s="14" t="s">
        <v>8322</v>
      </c>
      <c r="R1271" t="s">
        <v>8323</v>
      </c>
      <c r="S1271" s="17">
        <f t="shared" si="82"/>
        <v>42445.823055555549</v>
      </c>
      <c r="T1271" s="17">
        <f t="shared" si="83"/>
        <v>42476</v>
      </c>
      <c r="U1271">
        <f>MONTH(Table1[[#This Row],[Launched]])</f>
        <v>3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 s="8">
        <v>1332704042</v>
      </c>
      <c r="J1272">
        <v>1327523642</v>
      </c>
      <c r="K1272" t="b">
        <v>1</v>
      </c>
      <c r="L1272" s="10">
        <v>169</v>
      </c>
      <c r="M1272" t="b">
        <v>1</v>
      </c>
      <c r="N1272" t="s">
        <v>8274</v>
      </c>
      <c r="O1272" s="11">
        <f t="shared" si="80"/>
        <v>115</v>
      </c>
      <c r="P1272" s="12">
        <f t="shared" si="81"/>
        <v>68</v>
      </c>
      <c r="Q1272" s="14" t="s">
        <v>8322</v>
      </c>
      <c r="R1272" t="s">
        <v>8323</v>
      </c>
      <c r="S1272" s="17">
        <f t="shared" si="82"/>
        <v>40933.856967592597</v>
      </c>
      <c r="T1272" s="17">
        <f t="shared" si="83"/>
        <v>40993.815300925926</v>
      </c>
      <c r="U1272">
        <f>MONTH(Table1[[#This Row],[Launched]])</f>
        <v>1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 s="8">
        <v>1384363459</v>
      </c>
      <c r="J1273">
        <v>1381767859</v>
      </c>
      <c r="K1273" t="b">
        <v>1</v>
      </c>
      <c r="L1273" s="10">
        <v>31</v>
      </c>
      <c r="M1273" t="b">
        <v>1</v>
      </c>
      <c r="N1273" t="s">
        <v>8274</v>
      </c>
      <c r="O1273" s="11">
        <f t="shared" si="80"/>
        <v>102</v>
      </c>
      <c r="P1273" s="12">
        <f t="shared" si="81"/>
        <v>246</v>
      </c>
      <c r="Q1273" s="14" t="s">
        <v>8322</v>
      </c>
      <c r="R1273" t="s">
        <v>8323</v>
      </c>
      <c r="S1273" s="17">
        <f t="shared" si="82"/>
        <v>41561.683553240742</v>
      </c>
      <c r="T1273" s="17">
        <f t="shared" si="83"/>
        <v>41591.725219907406</v>
      </c>
      <c r="U1273">
        <f>MONTH(Table1[[#This Row],[Launched]])</f>
        <v>10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 s="8">
        <v>1276574400</v>
      </c>
      <c r="J1274">
        <v>1270576379</v>
      </c>
      <c r="K1274" t="b">
        <v>1</v>
      </c>
      <c r="L1274" s="10">
        <v>28</v>
      </c>
      <c r="M1274" t="b">
        <v>1</v>
      </c>
      <c r="N1274" t="s">
        <v>8274</v>
      </c>
      <c r="O1274" s="11">
        <f t="shared" si="80"/>
        <v>106</v>
      </c>
      <c r="P1274" s="12">
        <f t="shared" si="81"/>
        <v>189</v>
      </c>
      <c r="Q1274" s="14" t="s">
        <v>8322</v>
      </c>
      <c r="R1274" t="s">
        <v>8323</v>
      </c>
      <c r="S1274" s="17">
        <f t="shared" si="82"/>
        <v>40274.745127314818</v>
      </c>
      <c r="T1274" s="17">
        <f t="shared" si="83"/>
        <v>40344.166666666664</v>
      </c>
      <c r="U1274">
        <f>MONTH(Table1[[#This Row],[Launched]])</f>
        <v>4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 s="8">
        <v>1409506291</v>
      </c>
      <c r="J1275">
        <v>1406914291</v>
      </c>
      <c r="K1275" t="b">
        <v>1</v>
      </c>
      <c r="L1275" s="10">
        <v>54</v>
      </c>
      <c r="M1275" t="b">
        <v>1</v>
      </c>
      <c r="N1275" t="s">
        <v>8274</v>
      </c>
      <c r="O1275" s="11">
        <f t="shared" si="80"/>
        <v>104</v>
      </c>
      <c r="P1275" s="12">
        <f t="shared" si="81"/>
        <v>77</v>
      </c>
      <c r="Q1275" s="14" t="s">
        <v>8322</v>
      </c>
      <c r="R1275" t="s">
        <v>8323</v>
      </c>
      <c r="S1275" s="17">
        <f t="shared" si="82"/>
        <v>41852.730219907404</v>
      </c>
      <c r="T1275" s="17">
        <f t="shared" si="83"/>
        <v>41882.730219907404</v>
      </c>
      <c r="U1275">
        <f>MONTH(Table1[[#This Row],[Launched]])</f>
        <v>8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 s="8">
        <v>1346344425</v>
      </c>
      <c r="J1276">
        <v>1343320425</v>
      </c>
      <c r="K1276" t="b">
        <v>1</v>
      </c>
      <c r="L1276" s="10">
        <v>467</v>
      </c>
      <c r="M1276" t="b">
        <v>1</v>
      </c>
      <c r="N1276" t="s">
        <v>8274</v>
      </c>
      <c r="O1276" s="11">
        <f t="shared" si="80"/>
        <v>155</v>
      </c>
      <c r="P1276" s="12">
        <f t="shared" si="81"/>
        <v>83</v>
      </c>
      <c r="Q1276" s="14" t="s">
        <v>8322</v>
      </c>
      <c r="R1276" t="s">
        <v>8323</v>
      </c>
      <c r="S1276" s="17">
        <f t="shared" si="82"/>
        <v>41116.690104166664</v>
      </c>
      <c r="T1276" s="17">
        <f t="shared" si="83"/>
        <v>41151.690104166664</v>
      </c>
      <c r="U1276">
        <f>MONTH(Table1[[#This Row],[Launched]])</f>
        <v>7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 s="8">
        <v>1375908587</v>
      </c>
      <c r="J1277">
        <v>1372884587</v>
      </c>
      <c r="K1277" t="b">
        <v>1</v>
      </c>
      <c r="L1277" s="10">
        <v>389</v>
      </c>
      <c r="M1277" t="b">
        <v>1</v>
      </c>
      <c r="N1277" t="s">
        <v>8274</v>
      </c>
      <c r="O1277" s="11">
        <f t="shared" si="80"/>
        <v>162</v>
      </c>
      <c r="P1277" s="12">
        <f t="shared" si="81"/>
        <v>63</v>
      </c>
      <c r="Q1277" s="14" t="s">
        <v>8322</v>
      </c>
      <c r="R1277" t="s">
        <v>8323</v>
      </c>
      <c r="S1277" s="17">
        <f t="shared" si="82"/>
        <v>41458.867905092593</v>
      </c>
      <c r="T1277" s="17">
        <f t="shared" si="83"/>
        <v>41493.867905092593</v>
      </c>
      <c r="U1277">
        <f>MONTH(Table1[[#This Row],[Launched]])</f>
        <v>7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 s="8">
        <v>1251777600</v>
      </c>
      <c r="J1278">
        <v>1247504047</v>
      </c>
      <c r="K1278" t="b">
        <v>1</v>
      </c>
      <c r="L1278" s="10">
        <v>68</v>
      </c>
      <c r="M1278" t="b">
        <v>1</v>
      </c>
      <c r="N1278" t="s">
        <v>8274</v>
      </c>
      <c r="O1278" s="11">
        <f t="shared" si="80"/>
        <v>104</v>
      </c>
      <c r="P1278" s="12">
        <f t="shared" si="81"/>
        <v>46</v>
      </c>
      <c r="Q1278" s="14" t="s">
        <v>8322</v>
      </c>
      <c r="R1278" t="s">
        <v>8323</v>
      </c>
      <c r="S1278" s="17">
        <f t="shared" si="82"/>
        <v>40007.704247685186</v>
      </c>
      <c r="T1278" s="17">
        <f t="shared" si="83"/>
        <v>40057.166666666664</v>
      </c>
      <c r="U1278">
        <f>MONTH(Table1[[#This Row],[Launched]])</f>
        <v>7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 s="8">
        <v>1346765347</v>
      </c>
      <c r="J1279">
        <v>1343741347</v>
      </c>
      <c r="K1279" t="b">
        <v>1</v>
      </c>
      <c r="L1279" s="10">
        <v>413</v>
      </c>
      <c r="M1279" t="b">
        <v>1</v>
      </c>
      <c r="N1279" t="s">
        <v>8274</v>
      </c>
      <c r="O1279" s="11">
        <f t="shared" si="80"/>
        <v>106</v>
      </c>
      <c r="P1279" s="12">
        <f t="shared" si="81"/>
        <v>39</v>
      </c>
      <c r="Q1279" s="14" t="s">
        <v>8322</v>
      </c>
      <c r="R1279" t="s">
        <v>8323</v>
      </c>
      <c r="S1279" s="17">
        <f t="shared" si="82"/>
        <v>41121.561886574076</v>
      </c>
      <c r="T1279" s="17">
        <f t="shared" si="83"/>
        <v>41156.561886574076</v>
      </c>
      <c r="U1279">
        <f>MONTH(Table1[[#This Row],[Launched]])</f>
        <v>7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 s="8">
        <v>1403661600</v>
      </c>
      <c r="J1280">
        <v>1401196766</v>
      </c>
      <c r="K1280" t="b">
        <v>1</v>
      </c>
      <c r="L1280" s="10">
        <v>190</v>
      </c>
      <c r="M1280" t="b">
        <v>1</v>
      </c>
      <c r="N1280" t="s">
        <v>8274</v>
      </c>
      <c r="O1280" s="11">
        <f t="shared" si="80"/>
        <v>155</v>
      </c>
      <c r="P1280" s="12">
        <f t="shared" si="81"/>
        <v>53</v>
      </c>
      <c r="Q1280" s="14" t="s">
        <v>8322</v>
      </c>
      <c r="R1280" t="s">
        <v>8323</v>
      </c>
      <c r="S1280" s="17">
        <f t="shared" si="82"/>
        <v>41786.555162037039</v>
      </c>
      <c r="T1280" s="17">
        <f t="shared" si="83"/>
        <v>41815.083333333336</v>
      </c>
      <c r="U1280">
        <f>MONTH(Table1[[#This Row],[Launched]])</f>
        <v>5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 s="8">
        <v>1395624170</v>
      </c>
      <c r="J1281">
        <v>1392171770</v>
      </c>
      <c r="K1281" t="b">
        <v>1</v>
      </c>
      <c r="L1281" s="10">
        <v>189</v>
      </c>
      <c r="M1281" t="b">
        <v>1</v>
      </c>
      <c r="N1281" t="s">
        <v>8274</v>
      </c>
      <c r="O1281" s="11">
        <f t="shared" si="80"/>
        <v>111</v>
      </c>
      <c r="P1281" s="12">
        <f t="shared" si="81"/>
        <v>73</v>
      </c>
      <c r="Q1281" s="14" t="s">
        <v>8322</v>
      </c>
      <c r="R1281" t="s">
        <v>8323</v>
      </c>
      <c r="S1281" s="17">
        <f t="shared" si="82"/>
        <v>41682.099189814813</v>
      </c>
      <c r="T1281" s="17">
        <f t="shared" si="83"/>
        <v>41722.057523148149</v>
      </c>
      <c r="U1281">
        <f>MONTH(Table1[[#This Row],[Launched]])</f>
        <v>2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 s="8">
        <v>1299003054</v>
      </c>
      <c r="J1282">
        <v>1291227054</v>
      </c>
      <c r="K1282" t="b">
        <v>1</v>
      </c>
      <c r="L1282" s="10">
        <v>130</v>
      </c>
      <c r="M1282" t="b">
        <v>1</v>
      </c>
      <c r="N1282" t="s">
        <v>8274</v>
      </c>
      <c r="O1282" s="11">
        <f t="shared" ref="O1282:O1345" si="84">ROUND(E1282/D1282*100,0)</f>
        <v>111</v>
      </c>
      <c r="P1282" s="12">
        <f t="shared" si="81"/>
        <v>128</v>
      </c>
      <c r="Q1282" s="14" t="s">
        <v>8322</v>
      </c>
      <c r="R1282" t="s">
        <v>8323</v>
      </c>
      <c r="S1282" s="17">
        <f t="shared" si="82"/>
        <v>40513.757569444446</v>
      </c>
      <c r="T1282" s="17">
        <f t="shared" si="83"/>
        <v>40603.757569444446</v>
      </c>
      <c r="U1282">
        <f>MONTH(Table1[[#This Row],[Launched]])</f>
        <v>12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 s="8">
        <v>1375033836</v>
      </c>
      <c r="J1283">
        <v>1373305836</v>
      </c>
      <c r="K1283" t="b">
        <v>1</v>
      </c>
      <c r="L1283" s="10">
        <v>74</v>
      </c>
      <c r="M1283" t="b">
        <v>1</v>
      </c>
      <c r="N1283" t="s">
        <v>8274</v>
      </c>
      <c r="O1283" s="11">
        <f t="shared" si="84"/>
        <v>111</v>
      </c>
      <c r="P1283" s="12">
        <f t="shared" ref="P1283:P1346" si="85">IFERROR(ROUND(E1283/L1283,),"No Backers")</f>
        <v>105</v>
      </c>
      <c r="Q1283" s="14" t="s">
        <v>8322</v>
      </c>
      <c r="R1283" t="s">
        <v>8323</v>
      </c>
      <c r="S1283" s="17">
        <f t="shared" ref="S1283:S1346" si="86">(((J1283/60)/60)/24)+DATE(1970,1,1)</f>
        <v>41463.743472222224</v>
      </c>
      <c r="T1283" s="17">
        <f t="shared" ref="T1283:T1346" si="87">(((I1283/60)/60)/24)+DATE(1970,1,1)</f>
        <v>41483.743472222224</v>
      </c>
      <c r="U1283">
        <f>MONTH(Table1[[#This Row],[Launched]])</f>
        <v>7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 s="8">
        <v>1386565140</v>
      </c>
      <c r="J1284">
        <v>1383909855</v>
      </c>
      <c r="K1284" t="b">
        <v>1</v>
      </c>
      <c r="L1284" s="10">
        <v>274</v>
      </c>
      <c r="M1284" t="b">
        <v>1</v>
      </c>
      <c r="N1284" t="s">
        <v>8274</v>
      </c>
      <c r="O1284" s="11">
        <f t="shared" si="84"/>
        <v>124</v>
      </c>
      <c r="P1284" s="12">
        <f t="shared" si="85"/>
        <v>68</v>
      </c>
      <c r="Q1284" s="14" t="s">
        <v>8322</v>
      </c>
      <c r="R1284" t="s">
        <v>8323</v>
      </c>
      <c r="S1284" s="17">
        <f t="shared" si="86"/>
        <v>41586.475173611114</v>
      </c>
      <c r="T1284" s="17">
        <f t="shared" si="87"/>
        <v>41617.207638888889</v>
      </c>
      <c r="U1284">
        <f>MONTH(Table1[[#This Row],[Launched]])</f>
        <v>11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 s="8">
        <v>1362974400</v>
      </c>
      <c r="J1285">
        <v>1360948389</v>
      </c>
      <c r="K1285" t="b">
        <v>1</v>
      </c>
      <c r="L1285" s="10">
        <v>22</v>
      </c>
      <c r="M1285" t="b">
        <v>1</v>
      </c>
      <c r="N1285" t="s">
        <v>8274</v>
      </c>
      <c r="O1285" s="11">
        <f t="shared" si="84"/>
        <v>211</v>
      </c>
      <c r="P1285" s="12">
        <f t="shared" si="85"/>
        <v>96</v>
      </c>
      <c r="Q1285" s="14" t="s">
        <v>8322</v>
      </c>
      <c r="R1285" t="s">
        <v>8323</v>
      </c>
      <c r="S1285" s="17">
        <f t="shared" si="86"/>
        <v>41320.717465277776</v>
      </c>
      <c r="T1285" s="17">
        <f t="shared" si="87"/>
        <v>41344.166666666664</v>
      </c>
      <c r="U1285">
        <f>MONTH(Table1[[#This Row],[Launched]])</f>
        <v>2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 s="8">
        <v>1483203540</v>
      </c>
      <c r="J1286">
        <v>1481175482</v>
      </c>
      <c r="K1286" t="b">
        <v>0</v>
      </c>
      <c r="L1286" s="10">
        <v>31</v>
      </c>
      <c r="M1286" t="b">
        <v>1</v>
      </c>
      <c r="N1286" t="s">
        <v>8269</v>
      </c>
      <c r="O1286" s="11">
        <f t="shared" si="84"/>
        <v>101</v>
      </c>
      <c r="P1286" s="12">
        <f t="shared" si="85"/>
        <v>65</v>
      </c>
      <c r="Q1286" s="14" t="s">
        <v>8314</v>
      </c>
      <c r="R1286" t="s">
        <v>8315</v>
      </c>
      <c r="S1286" s="17">
        <f t="shared" si="86"/>
        <v>42712.23474537037</v>
      </c>
      <c r="T1286" s="17">
        <f t="shared" si="87"/>
        <v>42735.707638888889</v>
      </c>
      <c r="U1286">
        <f>MONTH(Table1[[#This Row],[Launched]])</f>
        <v>12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 s="8">
        <v>1434808775</v>
      </c>
      <c r="J1287">
        <v>1433512775</v>
      </c>
      <c r="K1287" t="b">
        <v>0</v>
      </c>
      <c r="L1287" s="10">
        <v>63</v>
      </c>
      <c r="M1287" t="b">
        <v>1</v>
      </c>
      <c r="N1287" t="s">
        <v>8269</v>
      </c>
      <c r="O1287" s="11">
        <f t="shared" si="84"/>
        <v>102</v>
      </c>
      <c r="P1287" s="12">
        <f t="shared" si="85"/>
        <v>32</v>
      </c>
      <c r="Q1287" s="14" t="s">
        <v>8314</v>
      </c>
      <c r="R1287" t="s">
        <v>8315</v>
      </c>
      <c r="S1287" s="17">
        <f t="shared" si="86"/>
        <v>42160.583043981482</v>
      </c>
      <c r="T1287" s="17">
        <f t="shared" si="87"/>
        <v>42175.583043981482</v>
      </c>
      <c r="U1287">
        <f>MONTH(Table1[[#This Row],[Launched]])</f>
        <v>6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 s="8">
        <v>1424181600</v>
      </c>
      <c r="J1288">
        <v>1423041227</v>
      </c>
      <c r="K1288" t="b">
        <v>0</v>
      </c>
      <c r="L1288" s="10">
        <v>20</v>
      </c>
      <c r="M1288" t="b">
        <v>1</v>
      </c>
      <c r="N1288" t="s">
        <v>8269</v>
      </c>
      <c r="O1288" s="11">
        <f t="shared" si="84"/>
        <v>108</v>
      </c>
      <c r="P1288" s="12">
        <f t="shared" si="85"/>
        <v>81</v>
      </c>
      <c r="Q1288" s="14" t="s">
        <v>8314</v>
      </c>
      <c r="R1288" t="s">
        <v>8315</v>
      </c>
      <c r="S1288" s="17">
        <f t="shared" si="86"/>
        <v>42039.384571759263</v>
      </c>
      <c r="T1288" s="17">
        <f t="shared" si="87"/>
        <v>42052.583333333328</v>
      </c>
      <c r="U1288">
        <f>MONTH(Table1[[#This Row],[Launched]])</f>
        <v>2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8218</v>
      </c>
      <c r="G1289" t="s">
        <v>8224</v>
      </c>
      <c r="H1289" t="s">
        <v>8246</v>
      </c>
      <c r="I1289" s="8">
        <v>1434120856</v>
      </c>
      <c r="J1289">
        <v>1428936856</v>
      </c>
      <c r="K1289" t="b">
        <v>0</v>
      </c>
      <c r="L1289" s="10">
        <v>25</v>
      </c>
      <c r="M1289" t="b">
        <v>1</v>
      </c>
      <c r="N1289" t="s">
        <v>8269</v>
      </c>
      <c r="O1289" s="11">
        <f t="shared" si="84"/>
        <v>242</v>
      </c>
      <c r="P1289" s="12">
        <f t="shared" si="85"/>
        <v>24</v>
      </c>
      <c r="Q1289" s="14" t="s">
        <v>8314</v>
      </c>
      <c r="R1289" t="s">
        <v>8315</v>
      </c>
      <c r="S1289" s="17">
        <f t="shared" si="86"/>
        <v>42107.621018518519</v>
      </c>
      <c r="T1289" s="17">
        <f t="shared" si="87"/>
        <v>42167.621018518519</v>
      </c>
      <c r="U1289">
        <f>MONTH(Table1[[#This Row],[Launched]])</f>
        <v>4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 s="8">
        <v>1470801600</v>
      </c>
      <c r="J1290">
        <v>1468122163</v>
      </c>
      <c r="K1290" t="b">
        <v>0</v>
      </c>
      <c r="L1290" s="10">
        <v>61</v>
      </c>
      <c r="M1290" t="b">
        <v>1</v>
      </c>
      <c r="N1290" t="s">
        <v>8269</v>
      </c>
      <c r="O1290" s="11">
        <f t="shared" si="84"/>
        <v>100</v>
      </c>
      <c r="P1290" s="12">
        <f t="shared" si="85"/>
        <v>66</v>
      </c>
      <c r="Q1290" s="14" t="s">
        <v>8314</v>
      </c>
      <c r="R1290" t="s">
        <v>8315</v>
      </c>
      <c r="S1290" s="17">
        <f t="shared" si="86"/>
        <v>42561.154664351852</v>
      </c>
      <c r="T1290" s="17">
        <f t="shared" si="87"/>
        <v>42592.166666666672</v>
      </c>
      <c r="U1290">
        <f>MONTH(Table1[[#This Row],[Launched]])</f>
        <v>7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 s="8">
        <v>1483499645</v>
      </c>
      <c r="J1291">
        <v>1480907645</v>
      </c>
      <c r="K1291" t="b">
        <v>0</v>
      </c>
      <c r="L1291" s="10">
        <v>52</v>
      </c>
      <c r="M1291" t="b">
        <v>1</v>
      </c>
      <c r="N1291" t="s">
        <v>8269</v>
      </c>
      <c r="O1291" s="11">
        <f t="shared" si="84"/>
        <v>125</v>
      </c>
      <c r="P1291" s="12">
        <f t="shared" si="85"/>
        <v>36</v>
      </c>
      <c r="Q1291" s="14" t="s">
        <v>8314</v>
      </c>
      <c r="R1291" t="s">
        <v>8315</v>
      </c>
      <c r="S1291" s="17">
        <f t="shared" si="86"/>
        <v>42709.134780092587</v>
      </c>
      <c r="T1291" s="17">
        <f t="shared" si="87"/>
        <v>42739.134780092587</v>
      </c>
      <c r="U1291">
        <f>MONTH(Table1[[#This Row],[Launched]])</f>
        <v>12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 s="8">
        <v>1429772340</v>
      </c>
      <c r="J1292">
        <v>1427121931</v>
      </c>
      <c r="K1292" t="b">
        <v>0</v>
      </c>
      <c r="L1292" s="10">
        <v>86</v>
      </c>
      <c r="M1292" t="b">
        <v>1</v>
      </c>
      <c r="N1292" t="s">
        <v>8269</v>
      </c>
      <c r="O1292" s="11">
        <f t="shared" si="84"/>
        <v>109</v>
      </c>
      <c r="P1292" s="12">
        <f t="shared" si="85"/>
        <v>44</v>
      </c>
      <c r="Q1292" s="14" t="s">
        <v>8314</v>
      </c>
      <c r="R1292" t="s">
        <v>8315</v>
      </c>
      <c r="S1292" s="17">
        <f t="shared" si="86"/>
        <v>42086.614942129629</v>
      </c>
      <c r="T1292" s="17">
        <f t="shared" si="87"/>
        <v>42117.290972222225</v>
      </c>
      <c r="U1292">
        <f>MONTH(Table1[[#This Row],[Launched]])</f>
        <v>3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 s="8">
        <v>1428390000</v>
      </c>
      <c r="J1293">
        <v>1425224391</v>
      </c>
      <c r="K1293" t="b">
        <v>0</v>
      </c>
      <c r="L1293" s="10">
        <v>42</v>
      </c>
      <c r="M1293" t="b">
        <v>1</v>
      </c>
      <c r="N1293" t="s">
        <v>8269</v>
      </c>
      <c r="O1293" s="11">
        <f t="shared" si="84"/>
        <v>146</v>
      </c>
      <c r="P1293" s="12">
        <f t="shared" si="85"/>
        <v>104</v>
      </c>
      <c r="Q1293" s="14" t="s">
        <v>8314</v>
      </c>
      <c r="R1293" t="s">
        <v>8315</v>
      </c>
      <c r="S1293" s="17">
        <f t="shared" si="86"/>
        <v>42064.652673611112</v>
      </c>
      <c r="T1293" s="17">
        <f t="shared" si="87"/>
        <v>42101.291666666672</v>
      </c>
      <c r="U1293">
        <f>MONTH(Table1[[#This Row],[Launched]])</f>
        <v>3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 s="8">
        <v>1444172340</v>
      </c>
      <c r="J1294">
        <v>1441822828</v>
      </c>
      <c r="K1294" t="b">
        <v>0</v>
      </c>
      <c r="L1294" s="10">
        <v>52</v>
      </c>
      <c r="M1294" t="b">
        <v>1</v>
      </c>
      <c r="N1294" t="s">
        <v>8269</v>
      </c>
      <c r="O1294" s="11">
        <f t="shared" si="84"/>
        <v>110</v>
      </c>
      <c r="P1294" s="12">
        <f t="shared" si="85"/>
        <v>36</v>
      </c>
      <c r="Q1294" s="14" t="s">
        <v>8314</v>
      </c>
      <c r="R1294" t="s">
        <v>8315</v>
      </c>
      <c r="S1294" s="17">
        <f t="shared" si="86"/>
        <v>42256.764212962968</v>
      </c>
      <c r="T1294" s="17">
        <f t="shared" si="87"/>
        <v>42283.957638888889</v>
      </c>
      <c r="U1294">
        <f>MONTH(Table1[[#This Row],[Launched]])</f>
        <v>9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 s="8">
        <v>1447523371</v>
      </c>
      <c r="J1295">
        <v>1444927771</v>
      </c>
      <c r="K1295" t="b">
        <v>0</v>
      </c>
      <c r="L1295" s="10">
        <v>120</v>
      </c>
      <c r="M1295" t="b">
        <v>1</v>
      </c>
      <c r="N1295" t="s">
        <v>8269</v>
      </c>
      <c r="O1295" s="11">
        <f t="shared" si="84"/>
        <v>102</v>
      </c>
      <c r="P1295" s="12">
        <f t="shared" si="85"/>
        <v>128</v>
      </c>
      <c r="Q1295" s="14" t="s">
        <v>8314</v>
      </c>
      <c r="R1295" t="s">
        <v>8315</v>
      </c>
      <c r="S1295" s="17">
        <f t="shared" si="86"/>
        <v>42292.701053240744</v>
      </c>
      <c r="T1295" s="17">
        <f t="shared" si="87"/>
        <v>42322.742719907401</v>
      </c>
      <c r="U1295">
        <f>MONTH(Table1[[#This Row],[Launched]])</f>
        <v>10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8218</v>
      </c>
      <c r="G1296" t="s">
        <v>8224</v>
      </c>
      <c r="H1296" t="s">
        <v>8246</v>
      </c>
      <c r="I1296" s="8">
        <v>1445252400</v>
      </c>
      <c r="J1296">
        <v>1443696797</v>
      </c>
      <c r="K1296" t="b">
        <v>0</v>
      </c>
      <c r="L1296" s="10">
        <v>22</v>
      </c>
      <c r="M1296" t="b">
        <v>1</v>
      </c>
      <c r="N1296" t="s">
        <v>8269</v>
      </c>
      <c r="O1296" s="11">
        <f t="shared" si="84"/>
        <v>122</v>
      </c>
      <c r="P1296" s="12">
        <f t="shared" si="85"/>
        <v>28</v>
      </c>
      <c r="Q1296" s="14" t="s">
        <v>8314</v>
      </c>
      <c r="R1296" t="s">
        <v>8315</v>
      </c>
      <c r="S1296" s="17">
        <f t="shared" si="86"/>
        <v>42278.453668981485</v>
      </c>
      <c r="T1296" s="17">
        <f t="shared" si="87"/>
        <v>42296.458333333328</v>
      </c>
      <c r="U1296">
        <f>MONTH(Table1[[#This Row],[Launched]])</f>
        <v>10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 s="8">
        <v>1438189200</v>
      </c>
      <c r="J1297">
        <v>1435585497</v>
      </c>
      <c r="K1297" t="b">
        <v>0</v>
      </c>
      <c r="L1297" s="10">
        <v>64</v>
      </c>
      <c r="M1297" t="b">
        <v>1</v>
      </c>
      <c r="N1297" t="s">
        <v>8269</v>
      </c>
      <c r="O1297" s="11">
        <f t="shared" si="84"/>
        <v>102</v>
      </c>
      <c r="P1297" s="12">
        <f t="shared" si="85"/>
        <v>40</v>
      </c>
      <c r="Q1297" s="14" t="s">
        <v>8314</v>
      </c>
      <c r="R1297" t="s">
        <v>8315</v>
      </c>
      <c r="S1297" s="17">
        <f t="shared" si="86"/>
        <v>42184.572881944448</v>
      </c>
      <c r="T1297" s="17">
        <f t="shared" si="87"/>
        <v>42214.708333333328</v>
      </c>
      <c r="U1297">
        <f>MONTH(Table1[[#This Row],[Launched]])</f>
        <v>6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8218</v>
      </c>
      <c r="G1298" t="s">
        <v>8224</v>
      </c>
      <c r="H1298" t="s">
        <v>8246</v>
      </c>
      <c r="I1298" s="8">
        <v>1457914373</v>
      </c>
      <c r="J1298">
        <v>1456189973</v>
      </c>
      <c r="K1298" t="b">
        <v>0</v>
      </c>
      <c r="L1298" s="10">
        <v>23</v>
      </c>
      <c r="M1298" t="b">
        <v>1</v>
      </c>
      <c r="N1298" t="s">
        <v>8269</v>
      </c>
      <c r="O1298" s="11">
        <f t="shared" si="84"/>
        <v>141</v>
      </c>
      <c r="P1298" s="12">
        <f t="shared" si="85"/>
        <v>52</v>
      </c>
      <c r="Q1298" s="14" t="s">
        <v>8314</v>
      </c>
      <c r="R1298" t="s">
        <v>8315</v>
      </c>
      <c r="S1298" s="17">
        <f t="shared" si="86"/>
        <v>42423.050613425927</v>
      </c>
      <c r="T1298" s="17">
        <f t="shared" si="87"/>
        <v>42443.008946759262</v>
      </c>
      <c r="U1298">
        <f>MONTH(Table1[[#This Row],[Launched]])</f>
        <v>2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 s="8">
        <v>1462125358</v>
      </c>
      <c r="J1299">
        <v>1459533358</v>
      </c>
      <c r="K1299" t="b">
        <v>0</v>
      </c>
      <c r="L1299" s="10">
        <v>238</v>
      </c>
      <c r="M1299" t="b">
        <v>1</v>
      </c>
      <c r="N1299" t="s">
        <v>8269</v>
      </c>
      <c r="O1299" s="11">
        <f t="shared" si="84"/>
        <v>110</v>
      </c>
      <c r="P1299" s="12">
        <f t="shared" si="85"/>
        <v>92</v>
      </c>
      <c r="Q1299" s="14" t="s">
        <v>8314</v>
      </c>
      <c r="R1299" t="s">
        <v>8315</v>
      </c>
      <c r="S1299" s="17">
        <f t="shared" si="86"/>
        <v>42461.747199074074</v>
      </c>
      <c r="T1299" s="17">
        <f t="shared" si="87"/>
        <v>42491.747199074074</v>
      </c>
      <c r="U1299">
        <f>MONTH(Table1[[#This Row],[Launched]])</f>
        <v>4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 s="8">
        <v>1461860432</v>
      </c>
      <c r="J1300">
        <v>1459268432</v>
      </c>
      <c r="K1300" t="b">
        <v>0</v>
      </c>
      <c r="L1300" s="10">
        <v>33</v>
      </c>
      <c r="M1300" t="b">
        <v>1</v>
      </c>
      <c r="N1300" t="s">
        <v>8269</v>
      </c>
      <c r="O1300" s="11">
        <f t="shared" si="84"/>
        <v>105</v>
      </c>
      <c r="P1300" s="12">
        <f t="shared" si="85"/>
        <v>63</v>
      </c>
      <c r="Q1300" s="14" t="s">
        <v>8314</v>
      </c>
      <c r="R1300" t="s">
        <v>8315</v>
      </c>
      <c r="S1300" s="17">
        <f t="shared" si="86"/>
        <v>42458.680925925932</v>
      </c>
      <c r="T1300" s="17">
        <f t="shared" si="87"/>
        <v>42488.680925925932</v>
      </c>
      <c r="U1300">
        <f>MONTH(Table1[[#This Row],[Launched]])</f>
        <v>3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 s="8">
        <v>1436902359</v>
      </c>
      <c r="J1301">
        <v>1434310359</v>
      </c>
      <c r="K1301" t="b">
        <v>0</v>
      </c>
      <c r="L1301" s="10">
        <v>32</v>
      </c>
      <c r="M1301" t="b">
        <v>1</v>
      </c>
      <c r="N1301" t="s">
        <v>8269</v>
      </c>
      <c r="O1301" s="11">
        <f t="shared" si="84"/>
        <v>124</v>
      </c>
      <c r="P1301" s="12">
        <f t="shared" si="85"/>
        <v>136</v>
      </c>
      <c r="Q1301" s="14" t="s">
        <v>8314</v>
      </c>
      <c r="R1301" t="s">
        <v>8315</v>
      </c>
      <c r="S1301" s="17">
        <f t="shared" si="86"/>
        <v>42169.814340277779</v>
      </c>
      <c r="T1301" s="17">
        <f t="shared" si="87"/>
        <v>42199.814340277779</v>
      </c>
      <c r="U1301">
        <f>MONTH(Table1[[#This Row],[Launched]])</f>
        <v>6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 s="8">
        <v>1464807420</v>
      </c>
      <c r="J1302">
        <v>1461427938</v>
      </c>
      <c r="K1302" t="b">
        <v>0</v>
      </c>
      <c r="L1302" s="10">
        <v>24</v>
      </c>
      <c r="M1302" t="b">
        <v>1</v>
      </c>
      <c r="N1302" t="s">
        <v>8269</v>
      </c>
      <c r="O1302" s="11">
        <f t="shared" si="84"/>
        <v>135</v>
      </c>
      <c r="P1302" s="12">
        <f t="shared" si="85"/>
        <v>169</v>
      </c>
      <c r="Q1302" s="14" t="s">
        <v>8314</v>
      </c>
      <c r="R1302" t="s">
        <v>8315</v>
      </c>
      <c r="S1302" s="17">
        <f t="shared" si="86"/>
        <v>42483.675208333334</v>
      </c>
      <c r="T1302" s="17">
        <f t="shared" si="87"/>
        <v>42522.789583333331</v>
      </c>
      <c r="U1302">
        <f>MONTH(Table1[[#This Row],[Launched]])</f>
        <v>4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 s="8">
        <v>1437447600</v>
      </c>
      <c r="J1303">
        <v>1436551178</v>
      </c>
      <c r="K1303" t="b">
        <v>0</v>
      </c>
      <c r="L1303" s="10">
        <v>29</v>
      </c>
      <c r="M1303" t="b">
        <v>1</v>
      </c>
      <c r="N1303" t="s">
        <v>8269</v>
      </c>
      <c r="O1303" s="11">
        <f t="shared" si="84"/>
        <v>103</v>
      </c>
      <c r="P1303" s="12">
        <f t="shared" si="85"/>
        <v>71</v>
      </c>
      <c r="Q1303" s="14" t="s">
        <v>8314</v>
      </c>
      <c r="R1303" t="s">
        <v>8315</v>
      </c>
      <c r="S1303" s="17">
        <f t="shared" si="86"/>
        <v>42195.749745370369</v>
      </c>
      <c r="T1303" s="17">
        <f t="shared" si="87"/>
        <v>42206.125</v>
      </c>
      <c r="U1303">
        <f>MONTH(Table1[[#This Row],[Launched]])</f>
        <v>7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 s="8">
        <v>1480559011</v>
      </c>
      <c r="J1304">
        <v>1477963411</v>
      </c>
      <c r="K1304" t="b">
        <v>0</v>
      </c>
      <c r="L1304" s="10">
        <v>50</v>
      </c>
      <c r="M1304" t="b">
        <v>1</v>
      </c>
      <c r="N1304" t="s">
        <v>8269</v>
      </c>
      <c r="O1304" s="11">
        <f t="shared" si="84"/>
        <v>100</v>
      </c>
      <c r="P1304" s="12">
        <f t="shared" si="85"/>
        <v>50</v>
      </c>
      <c r="Q1304" s="14" t="s">
        <v>8314</v>
      </c>
      <c r="R1304" t="s">
        <v>8315</v>
      </c>
      <c r="S1304" s="17">
        <f t="shared" si="86"/>
        <v>42675.057997685188</v>
      </c>
      <c r="T1304" s="17">
        <f t="shared" si="87"/>
        <v>42705.099664351852</v>
      </c>
      <c r="U1304">
        <f>MONTH(Table1[[#This Row],[Launched]])</f>
        <v>11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 s="8">
        <v>1469962800</v>
      </c>
      <c r="J1305">
        <v>1468578920</v>
      </c>
      <c r="K1305" t="b">
        <v>0</v>
      </c>
      <c r="L1305" s="10">
        <v>108</v>
      </c>
      <c r="M1305" t="b">
        <v>1</v>
      </c>
      <c r="N1305" t="s">
        <v>8269</v>
      </c>
      <c r="O1305" s="11">
        <f t="shared" si="84"/>
        <v>130</v>
      </c>
      <c r="P1305" s="12">
        <f t="shared" si="85"/>
        <v>42</v>
      </c>
      <c r="Q1305" s="14" t="s">
        <v>8314</v>
      </c>
      <c r="R1305" t="s">
        <v>8315</v>
      </c>
      <c r="S1305" s="17">
        <f t="shared" si="86"/>
        <v>42566.441203703704</v>
      </c>
      <c r="T1305" s="17">
        <f t="shared" si="87"/>
        <v>42582.458333333328</v>
      </c>
      <c r="U1305">
        <f>MONTH(Table1[[#This Row],[Launched]])</f>
        <v>7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 s="8">
        <v>1489376405</v>
      </c>
      <c r="J1306">
        <v>1484196005</v>
      </c>
      <c r="K1306" t="b">
        <v>0</v>
      </c>
      <c r="L1306" s="10">
        <v>104</v>
      </c>
      <c r="M1306" t="b">
        <v>0</v>
      </c>
      <c r="N1306" t="s">
        <v>8271</v>
      </c>
      <c r="O1306" s="11">
        <f t="shared" si="84"/>
        <v>40</v>
      </c>
      <c r="P1306" s="12">
        <f t="shared" si="85"/>
        <v>152</v>
      </c>
      <c r="Q1306" s="14" t="s">
        <v>8316</v>
      </c>
      <c r="R1306" t="s">
        <v>8318</v>
      </c>
      <c r="S1306" s="17">
        <f t="shared" si="86"/>
        <v>42747.194502314815</v>
      </c>
      <c r="T1306" s="17">
        <f t="shared" si="87"/>
        <v>42807.152835648143</v>
      </c>
      <c r="U1306">
        <f>MONTH(Table1[[#This Row],[Launched]])</f>
        <v>1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 s="8">
        <v>1469122200</v>
      </c>
      <c r="J1307">
        <v>1466611108</v>
      </c>
      <c r="K1307" t="b">
        <v>0</v>
      </c>
      <c r="L1307" s="10">
        <v>86</v>
      </c>
      <c r="M1307" t="b">
        <v>0</v>
      </c>
      <c r="N1307" t="s">
        <v>8271</v>
      </c>
      <c r="O1307" s="11">
        <f t="shared" si="84"/>
        <v>26</v>
      </c>
      <c r="P1307" s="12">
        <f t="shared" si="85"/>
        <v>91</v>
      </c>
      <c r="Q1307" s="14" t="s">
        <v>8316</v>
      </c>
      <c r="R1307" t="s">
        <v>8318</v>
      </c>
      <c r="S1307" s="17">
        <f t="shared" si="86"/>
        <v>42543.665601851855</v>
      </c>
      <c r="T1307" s="17">
        <f t="shared" si="87"/>
        <v>42572.729166666672</v>
      </c>
      <c r="U1307">
        <f>MONTH(Table1[[#This Row],[Launched]])</f>
        <v>6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 s="8">
        <v>1417690734</v>
      </c>
      <c r="J1308">
        <v>1415098734</v>
      </c>
      <c r="K1308" t="b">
        <v>0</v>
      </c>
      <c r="L1308" s="10">
        <v>356</v>
      </c>
      <c r="M1308" t="b">
        <v>0</v>
      </c>
      <c r="N1308" t="s">
        <v>8271</v>
      </c>
      <c r="O1308" s="11">
        <f t="shared" si="84"/>
        <v>65</v>
      </c>
      <c r="P1308" s="12">
        <f t="shared" si="85"/>
        <v>202</v>
      </c>
      <c r="Q1308" s="14" t="s">
        <v>8316</v>
      </c>
      <c r="R1308" t="s">
        <v>8318</v>
      </c>
      <c r="S1308" s="17">
        <f t="shared" si="86"/>
        <v>41947.457569444443</v>
      </c>
      <c r="T1308" s="17">
        <f t="shared" si="87"/>
        <v>41977.457569444443</v>
      </c>
      <c r="U1308">
        <f>MONTH(Table1[[#This Row],[Launched]])</f>
        <v>11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 s="8">
        <v>1455710679</v>
      </c>
      <c r="J1309">
        <v>1453118679</v>
      </c>
      <c r="K1309" t="b">
        <v>0</v>
      </c>
      <c r="L1309" s="10">
        <v>45</v>
      </c>
      <c r="M1309" t="b">
        <v>0</v>
      </c>
      <c r="N1309" t="s">
        <v>8271</v>
      </c>
      <c r="O1309" s="11">
        <f t="shared" si="84"/>
        <v>12</v>
      </c>
      <c r="P1309" s="12">
        <f t="shared" si="85"/>
        <v>128</v>
      </c>
      <c r="Q1309" s="14" t="s">
        <v>8316</v>
      </c>
      <c r="R1309" t="s">
        <v>8318</v>
      </c>
      <c r="S1309" s="17">
        <f t="shared" si="86"/>
        <v>42387.503229166665</v>
      </c>
      <c r="T1309" s="17">
        <f t="shared" si="87"/>
        <v>42417.503229166665</v>
      </c>
      <c r="U1309">
        <f>MONTH(Table1[[#This Row],[Launched]])</f>
        <v>1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 s="8">
        <v>1475937812</v>
      </c>
      <c r="J1310">
        <v>1472481812</v>
      </c>
      <c r="K1310" t="b">
        <v>0</v>
      </c>
      <c r="L1310" s="10">
        <v>38</v>
      </c>
      <c r="M1310" t="b">
        <v>0</v>
      </c>
      <c r="N1310" t="s">
        <v>8271</v>
      </c>
      <c r="O1310" s="11">
        <f t="shared" si="84"/>
        <v>11</v>
      </c>
      <c r="P1310" s="12">
        <f t="shared" si="85"/>
        <v>30</v>
      </c>
      <c r="Q1310" s="14" t="s">
        <v>8316</v>
      </c>
      <c r="R1310" t="s">
        <v>8318</v>
      </c>
      <c r="S1310" s="17">
        <f t="shared" si="86"/>
        <v>42611.613564814819</v>
      </c>
      <c r="T1310" s="17">
        <f t="shared" si="87"/>
        <v>42651.613564814819</v>
      </c>
      <c r="U1310">
        <f>MONTH(Table1[[#This Row],[Launched]])</f>
        <v>8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 s="8">
        <v>1444943468</v>
      </c>
      <c r="J1311">
        <v>1441919468</v>
      </c>
      <c r="K1311" t="b">
        <v>0</v>
      </c>
      <c r="L1311" s="10">
        <v>35</v>
      </c>
      <c r="M1311" t="b">
        <v>0</v>
      </c>
      <c r="N1311" t="s">
        <v>8271</v>
      </c>
      <c r="O1311" s="11">
        <f t="shared" si="84"/>
        <v>112</v>
      </c>
      <c r="P1311" s="12">
        <f t="shared" si="85"/>
        <v>368</v>
      </c>
      <c r="Q1311" s="14" t="s">
        <v>8316</v>
      </c>
      <c r="R1311" t="s">
        <v>8318</v>
      </c>
      <c r="S1311" s="17">
        <f t="shared" si="86"/>
        <v>42257.882731481484</v>
      </c>
      <c r="T1311" s="17">
        <f t="shared" si="87"/>
        <v>42292.882731481484</v>
      </c>
      <c r="U1311">
        <f>MONTH(Table1[[#This Row],[Launched]])</f>
        <v>9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 s="8">
        <v>1471622450</v>
      </c>
      <c r="J1312">
        <v>1467734450</v>
      </c>
      <c r="K1312" t="b">
        <v>0</v>
      </c>
      <c r="L1312" s="10">
        <v>24</v>
      </c>
      <c r="M1312" t="b">
        <v>0</v>
      </c>
      <c r="N1312" t="s">
        <v>8271</v>
      </c>
      <c r="O1312" s="11">
        <f t="shared" si="84"/>
        <v>16</v>
      </c>
      <c r="P1312" s="12">
        <f t="shared" si="85"/>
        <v>129</v>
      </c>
      <c r="Q1312" s="14" t="s">
        <v>8316</v>
      </c>
      <c r="R1312" t="s">
        <v>8318</v>
      </c>
      <c r="S1312" s="17">
        <f t="shared" si="86"/>
        <v>42556.667245370365</v>
      </c>
      <c r="T1312" s="17">
        <f t="shared" si="87"/>
        <v>42601.667245370365</v>
      </c>
      <c r="U1312">
        <f>MONTH(Table1[[#This Row],[Launched]])</f>
        <v>7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 s="8">
        <v>1480536919</v>
      </c>
      <c r="J1313">
        <v>1477509319</v>
      </c>
      <c r="K1313" t="b">
        <v>0</v>
      </c>
      <c r="L1313" s="10">
        <v>100</v>
      </c>
      <c r="M1313" t="b">
        <v>0</v>
      </c>
      <c r="N1313" t="s">
        <v>8271</v>
      </c>
      <c r="O1313" s="11">
        <f t="shared" si="84"/>
        <v>32</v>
      </c>
      <c r="P1313" s="12">
        <f t="shared" si="85"/>
        <v>801</v>
      </c>
      <c r="Q1313" s="14" t="s">
        <v>8316</v>
      </c>
      <c r="R1313" t="s">
        <v>8318</v>
      </c>
      <c r="S1313" s="17">
        <f t="shared" si="86"/>
        <v>42669.802303240736</v>
      </c>
      <c r="T1313" s="17">
        <f t="shared" si="87"/>
        <v>42704.843969907408</v>
      </c>
      <c r="U1313">
        <f>MONTH(Table1[[#This Row],[Launched]])</f>
        <v>10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8219</v>
      </c>
      <c r="G1314" t="s">
        <v>8223</v>
      </c>
      <c r="H1314" t="s">
        <v>8245</v>
      </c>
      <c r="I1314" s="8">
        <v>1429375922</v>
      </c>
      <c r="J1314">
        <v>1426783922</v>
      </c>
      <c r="K1314" t="b">
        <v>0</v>
      </c>
      <c r="L1314" s="10">
        <v>1</v>
      </c>
      <c r="M1314" t="b">
        <v>0</v>
      </c>
      <c r="N1314" t="s">
        <v>8271</v>
      </c>
      <c r="O1314" s="11">
        <f t="shared" si="84"/>
        <v>1</v>
      </c>
      <c r="P1314" s="12">
        <f t="shared" si="85"/>
        <v>28</v>
      </c>
      <c r="Q1314" s="14" t="s">
        <v>8316</v>
      </c>
      <c r="R1314" t="s">
        <v>8318</v>
      </c>
      <c r="S1314" s="17">
        <f t="shared" si="86"/>
        <v>42082.702800925923</v>
      </c>
      <c r="T1314" s="17">
        <f t="shared" si="87"/>
        <v>42112.702800925923</v>
      </c>
      <c r="U1314">
        <f>MONTH(Table1[[#This Row],[Launched]])</f>
        <v>3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 s="8">
        <v>1457024514</v>
      </c>
      <c r="J1315">
        <v>1454432514</v>
      </c>
      <c r="K1315" t="b">
        <v>0</v>
      </c>
      <c r="L1315" s="10">
        <v>122</v>
      </c>
      <c r="M1315" t="b">
        <v>0</v>
      </c>
      <c r="N1315" t="s">
        <v>8271</v>
      </c>
      <c r="O1315" s="11">
        <f t="shared" si="84"/>
        <v>31</v>
      </c>
      <c r="P1315" s="12">
        <f t="shared" si="85"/>
        <v>102</v>
      </c>
      <c r="Q1315" s="14" t="s">
        <v>8316</v>
      </c>
      <c r="R1315" t="s">
        <v>8318</v>
      </c>
      <c r="S1315" s="17">
        <f t="shared" si="86"/>
        <v>42402.709652777776</v>
      </c>
      <c r="T1315" s="17">
        <f t="shared" si="87"/>
        <v>42432.709652777776</v>
      </c>
      <c r="U1315">
        <f>MONTH(Table1[[#This Row],[Launched]])</f>
        <v>2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 s="8">
        <v>1477065860</v>
      </c>
      <c r="J1316">
        <v>1471881860</v>
      </c>
      <c r="K1316" t="b">
        <v>0</v>
      </c>
      <c r="L1316" s="10">
        <v>11</v>
      </c>
      <c r="M1316" t="b">
        <v>0</v>
      </c>
      <c r="N1316" t="s">
        <v>8271</v>
      </c>
      <c r="O1316" s="11">
        <f t="shared" si="84"/>
        <v>1</v>
      </c>
      <c r="P1316" s="12">
        <f t="shared" si="85"/>
        <v>184</v>
      </c>
      <c r="Q1316" s="14" t="s">
        <v>8316</v>
      </c>
      <c r="R1316" t="s">
        <v>8318</v>
      </c>
      <c r="S1316" s="17">
        <f t="shared" si="86"/>
        <v>42604.669675925921</v>
      </c>
      <c r="T1316" s="17">
        <f t="shared" si="87"/>
        <v>42664.669675925921</v>
      </c>
      <c r="U1316">
        <f>MONTH(Table1[[#This Row],[Launched]])</f>
        <v>8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 s="8">
        <v>1446771600</v>
      </c>
      <c r="J1317">
        <v>1443700648</v>
      </c>
      <c r="K1317" t="b">
        <v>0</v>
      </c>
      <c r="L1317" s="10">
        <v>248</v>
      </c>
      <c r="M1317" t="b">
        <v>0</v>
      </c>
      <c r="N1317" t="s">
        <v>8271</v>
      </c>
      <c r="O1317" s="11">
        <f t="shared" si="84"/>
        <v>40</v>
      </c>
      <c r="P1317" s="12">
        <f t="shared" si="85"/>
        <v>163</v>
      </c>
      <c r="Q1317" s="14" t="s">
        <v>8316</v>
      </c>
      <c r="R1317" t="s">
        <v>8318</v>
      </c>
      <c r="S1317" s="17">
        <f t="shared" si="86"/>
        <v>42278.498240740737</v>
      </c>
      <c r="T1317" s="17">
        <f t="shared" si="87"/>
        <v>42314.041666666672</v>
      </c>
      <c r="U1317">
        <f>MONTH(Table1[[#This Row],[Launched]])</f>
        <v>10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8219</v>
      </c>
      <c r="G1318" t="s">
        <v>8223</v>
      </c>
      <c r="H1318" t="s">
        <v>8245</v>
      </c>
      <c r="I1318" s="8">
        <v>1456700709</v>
      </c>
      <c r="J1318">
        <v>1453676709</v>
      </c>
      <c r="K1318" t="b">
        <v>0</v>
      </c>
      <c r="L1318" s="10">
        <v>1</v>
      </c>
      <c r="M1318" t="b">
        <v>0</v>
      </c>
      <c r="N1318" t="s">
        <v>8271</v>
      </c>
      <c r="O1318" s="11">
        <f t="shared" si="84"/>
        <v>0</v>
      </c>
      <c r="P1318" s="12">
        <f t="shared" si="85"/>
        <v>1</v>
      </c>
      <c r="Q1318" s="14" t="s">
        <v>8316</v>
      </c>
      <c r="R1318" t="s">
        <v>8318</v>
      </c>
      <c r="S1318" s="17">
        <f t="shared" si="86"/>
        <v>42393.961909722217</v>
      </c>
      <c r="T1318" s="17">
        <f t="shared" si="87"/>
        <v>42428.961909722217</v>
      </c>
      <c r="U1318">
        <f>MONTH(Table1[[#This Row],[Launched]])</f>
        <v>1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 s="8">
        <v>1469109600</v>
      </c>
      <c r="J1319">
        <v>1464586746</v>
      </c>
      <c r="K1319" t="b">
        <v>0</v>
      </c>
      <c r="L1319" s="10">
        <v>19</v>
      </c>
      <c r="M1319" t="b">
        <v>0</v>
      </c>
      <c r="N1319" t="s">
        <v>8271</v>
      </c>
      <c r="O1319" s="11">
        <f t="shared" si="84"/>
        <v>6</v>
      </c>
      <c r="P1319" s="12">
        <f t="shared" si="85"/>
        <v>604</v>
      </c>
      <c r="Q1319" s="14" t="s">
        <v>8316</v>
      </c>
      <c r="R1319" t="s">
        <v>8318</v>
      </c>
      <c r="S1319" s="17">
        <f t="shared" si="86"/>
        <v>42520.235486111109</v>
      </c>
      <c r="T1319" s="17">
        <f t="shared" si="87"/>
        <v>42572.583333333328</v>
      </c>
      <c r="U1319">
        <f>MONTH(Table1[[#This Row],[Launched]])</f>
        <v>5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 s="8">
        <v>1420938172</v>
      </c>
      <c r="J1320">
        <v>1418346172</v>
      </c>
      <c r="K1320" t="b">
        <v>0</v>
      </c>
      <c r="L1320" s="10">
        <v>135</v>
      </c>
      <c r="M1320" t="b">
        <v>0</v>
      </c>
      <c r="N1320" t="s">
        <v>8271</v>
      </c>
      <c r="O1320" s="11">
        <f t="shared" si="84"/>
        <v>15</v>
      </c>
      <c r="P1320" s="12">
        <f t="shared" si="85"/>
        <v>45</v>
      </c>
      <c r="Q1320" s="14" t="s">
        <v>8316</v>
      </c>
      <c r="R1320" t="s">
        <v>8318</v>
      </c>
      <c r="S1320" s="17">
        <f t="shared" si="86"/>
        <v>41985.043657407412</v>
      </c>
      <c r="T1320" s="17">
        <f t="shared" si="87"/>
        <v>42015.043657407412</v>
      </c>
      <c r="U1320">
        <f>MONTH(Table1[[#This Row],[Launched]])</f>
        <v>12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8219</v>
      </c>
      <c r="G1321" t="s">
        <v>8224</v>
      </c>
      <c r="H1321" t="s">
        <v>8246</v>
      </c>
      <c r="I1321" s="8">
        <v>1405094400</v>
      </c>
      <c r="J1321">
        <v>1403810965</v>
      </c>
      <c r="K1321" t="b">
        <v>0</v>
      </c>
      <c r="L1321" s="10">
        <v>9</v>
      </c>
      <c r="M1321" t="b">
        <v>0</v>
      </c>
      <c r="N1321" t="s">
        <v>8271</v>
      </c>
      <c r="O1321" s="11">
        <f t="shared" si="84"/>
        <v>15</v>
      </c>
      <c r="P1321" s="12">
        <f t="shared" si="85"/>
        <v>97</v>
      </c>
      <c r="Q1321" s="14" t="s">
        <v>8316</v>
      </c>
      <c r="R1321" t="s">
        <v>8318</v>
      </c>
      <c r="S1321" s="17">
        <f t="shared" si="86"/>
        <v>41816.812094907407</v>
      </c>
      <c r="T1321" s="17">
        <f t="shared" si="87"/>
        <v>41831.666666666664</v>
      </c>
      <c r="U1321">
        <f>MONTH(Table1[[#This Row],[Launched]])</f>
        <v>6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 s="8">
        <v>1483138800</v>
      </c>
      <c r="J1322">
        <v>1480610046</v>
      </c>
      <c r="K1322" t="b">
        <v>0</v>
      </c>
      <c r="L1322" s="10">
        <v>3</v>
      </c>
      <c r="M1322" t="b">
        <v>0</v>
      </c>
      <c r="N1322" t="s">
        <v>8271</v>
      </c>
      <c r="O1322" s="11">
        <f t="shared" si="84"/>
        <v>1</v>
      </c>
      <c r="P1322" s="12">
        <f t="shared" si="85"/>
        <v>168</v>
      </c>
      <c r="Q1322" s="14" t="s">
        <v>8316</v>
      </c>
      <c r="R1322" t="s">
        <v>8318</v>
      </c>
      <c r="S1322" s="17">
        <f t="shared" si="86"/>
        <v>42705.690347222218</v>
      </c>
      <c r="T1322" s="17">
        <f t="shared" si="87"/>
        <v>42734.958333333328</v>
      </c>
      <c r="U1322">
        <f>MONTH(Table1[[#This Row],[Launched]])</f>
        <v>12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 s="8">
        <v>1482515937</v>
      </c>
      <c r="J1323">
        <v>1479923937</v>
      </c>
      <c r="K1323" t="b">
        <v>0</v>
      </c>
      <c r="L1323" s="10">
        <v>7</v>
      </c>
      <c r="M1323" t="b">
        <v>0</v>
      </c>
      <c r="N1323" t="s">
        <v>8271</v>
      </c>
      <c r="O1323" s="11">
        <f t="shared" si="84"/>
        <v>1</v>
      </c>
      <c r="P1323" s="12">
        <f t="shared" si="85"/>
        <v>860</v>
      </c>
      <c r="Q1323" s="14" t="s">
        <v>8316</v>
      </c>
      <c r="R1323" t="s">
        <v>8318</v>
      </c>
      <c r="S1323" s="17">
        <f t="shared" si="86"/>
        <v>42697.74927083333</v>
      </c>
      <c r="T1323" s="17">
        <f t="shared" si="87"/>
        <v>42727.74927083333</v>
      </c>
      <c r="U1323">
        <f>MONTH(Table1[[#This Row],[Launched]])</f>
        <v>11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 s="8">
        <v>1432223125</v>
      </c>
      <c r="J1324">
        <v>1429631125</v>
      </c>
      <c r="K1324" t="b">
        <v>0</v>
      </c>
      <c r="L1324" s="10">
        <v>4</v>
      </c>
      <c r="M1324" t="b">
        <v>0</v>
      </c>
      <c r="N1324" t="s">
        <v>8271</v>
      </c>
      <c r="O1324" s="11">
        <f t="shared" si="84"/>
        <v>0</v>
      </c>
      <c r="P1324" s="12">
        <f t="shared" si="85"/>
        <v>27</v>
      </c>
      <c r="Q1324" s="14" t="s">
        <v>8316</v>
      </c>
      <c r="R1324" t="s">
        <v>8318</v>
      </c>
      <c r="S1324" s="17">
        <f t="shared" si="86"/>
        <v>42115.656539351854</v>
      </c>
      <c r="T1324" s="17">
        <f t="shared" si="87"/>
        <v>42145.656539351854</v>
      </c>
      <c r="U1324">
        <f>MONTH(Table1[[#This Row],[Launched]])</f>
        <v>4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 s="8">
        <v>1461653700</v>
      </c>
      <c r="J1325">
        <v>1458665146</v>
      </c>
      <c r="K1325" t="b">
        <v>0</v>
      </c>
      <c r="L1325" s="10">
        <v>44</v>
      </c>
      <c r="M1325" t="b">
        <v>0</v>
      </c>
      <c r="N1325" t="s">
        <v>8271</v>
      </c>
      <c r="O1325" s="11">
        <f t="shared" si="84"/>
        <v>9</v>
      </c>
      <c r="P1325" s="12">
        <f t="shared" si="85"/>
        <v>30</v>
      </c>
      <c r="Q1325" s="14" t="s">
        <v>8316</v>
      </c>
      <c r="R1325" t="s">
        <v>8318</v>
      </c>
      <c r="S1325" s="17">
        <f t="shared" si="86"/>
        <v>42451.698449074072</v>
      </c>
      <c r="T1325" s="17">
        <f t="shared" si="87"/>
        <v>42486.288194444445</v>
      </c>
      <c r="U1325">
        <f>MONTH(Table1[[#This Row],[Launched]])</f>
        <v>3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 s="8">
        <v>1476371552</v>
      </c>
      <c r="J1326">
        <v>1473779552</v>
      </c>
      <c r="K1326" t="b">
        <v>0</v>
      </c>
      <c r="L1326" s="10">
        <v>90</v>
      </c>
      <c r="M1326" t="b">
        <v>0</v>
      </c>
      <c r="N1326" t="s">
        <v>8271</v>
      </c>
      <c r="O1326" s="11">
        <f t="shared" si="84"/>
        <v>10</v>
      </c>
      <c r="P1326" s="12">
        <f t="shared" si="85"/>
        <v>55</v>
      </c>
      <c r="Q1326" s="14" t="s">
        <v>8316</v>
      </c>
      <c r="R1326" t="s">
        <v>8318</v>
      </c>
      <c r="S1326" s="17">
        <f t="shared" si="86"/>
        <v>42626.633703703701</v>
      </c>
      <c r="T1326" s="17">
        <f t="shared" si="87"/>
        <v>42656.633703703701</v>
      </c>
      <c r="U1326">
        <f>MONTH(Table1[[#This Row],[Launched]])</f>
        <v>9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 s="8">
        <v>1483063435</v>
      </c>
      <c r="J1327">
        <v>1480471435</v>
      </c>
      <c r="K1327" t="b">
        <v>0</v>
      </c>
      <c r="L1327" s="10">
        <v>8</v>
      </c>
      <c r="M1327" t="b">
        <v>0</v>
      </c>
      <c r="N1327" t="s">
        <v>8271</v>
      </c>
      <c r="O1327" s="11">
        <f t="shared" si="84"/>
        <v>2</v>
      </c>
      <c r="P1327" s="12">
        <f t="shared" si="85"/>
        <v>61</v>
      </c>
      <c r="Q1327" s="14" t="s">
        <v>8316</v>
      </c>
      <c r="R1327" t="s">
        <v>8318</v>
      </c>
      <c r="S1327" s="17">
        <f t="shared" si="86"/>
        <v>42704.086053240739</v>
      </c>
      <c r="T1327" s="17">
        <f t="shared" si="87"/>
        <v>42734.086053240739</v>
      </c>
      <c r="U1327">
        <f>MONTH(Table1[[#This Row],[Launched]])</f>
        <v>11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 s="8">
        <v>1421348428</v>
      </c>
      <c r="J1328">
        <v>1417460428</v>
      </c>
      <c r="K1328" t="b">
        <v>0</v>
      </c>
      <c r="L1328" s="10">
        <v>11</v>
      </c>
      <c r="M1328" t="b">
        <v>0</v>
      </c>
      <c r="N1328" t="s">
        <v>8271</v>
      </c>
      <c r="O1328" s="11">
        <f t="shared" si="84"/>
        <v>1</v>
      </c>
      <c r="P1328" s="12">
        <f t="shared" si="85"/>
        <v>103</v>
      </c>
      <c r="Q1328" s="14" t="s">
        <v>8316</v>
      </c>
      <c r="R1328" t="s">
        <v>8318</v>
      </c>
      <c r="S1328" s="17">
        <f t="shared" si="86"/>
        <v>41974.791990740734</v>
      </c>
      <c r="T1328" s="17">
        <f t="shared" si="87"/>
        <v>42019.791990740734</v>
      </c>
      <c r="U1328">
        <f>MONTH(Table1[[#This Row],[Launched]])</f>
        <v>12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 s="8">
        <v>1432916235</v>
      </c>
      <c r="J1329">
        <v>1430324235</v>
      </c>
      <c r="K1329" t="b">
        <v>0</v>
      </c>
      <c r="L1329" s="10">
        <v>41</v>
      </c>
      <c r="M1329" t="b">
        <v>0</v>
      </c>
      <c r="N1329" t="s">
        <v>8271</v>
      </c>
      <c r="O1329" s="11">
        <f t="shared" si="84"/>
        <v>4</v>
      </c>
      <c r="P1329" s="12">
        <f t="shared" si="85"/>
        <v>42</v>
      </c>
      <c r="Q1329" s="14" t="s">
        <v>8316</v>
      </c>
      <c r="R1329" t="s">
        <v>8318</v>
      </c>
      <c r="S1329" s="17">
        <f t="shared" si="86"/>
        <v>42123.678645833337</v>
      </c>
      <c r="T1329" s="17">
        <f t="shared" si="87"/>
        <v>42153.678645833337</v>
      </c>
      <c r="U1329">
        <f>MONTH(Table1[[#This Row],[Launched]])</f>
        <v>4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 s="8">
        <v>1476458734</v>
      </c>
      <c r="J1330">
        <v>1472570734</v>
      </c>
      <c r="K1330" t="b">
        <v>0</v>
      </c>
      <c r="L1330" s="10">
        <v>15</v>
      </c>
      <c r="M1330" t="b">
        <v>0</v>
      </c>
      <c r="N1330" t="s">
        <v>8271</v>
      </c>
      <c r="O1330" s="11">
        <f t="shared" si="84"/>
        <v>2</v>
      </c>
      <c r="P1330" s="12">
        <f t="shared" si="85"/>
        <v>117</v>
      </c>
      <c r="Q1330" s="14" t="s">
        <v>8316</v>
      </c>
      <c r="R1330" t="s">
        <v>8318</v>
      </c>
      <c r="S1330" s="17">
        <f t="shared" si="86"/>
        <v>42612.642754629633</v>
      </c>
      <c r="T1330" s="17">
        <f t="shared" si="87"/>
        <v>42657.642754629633</v>
      </c>
      <c r="U1330">
        <f>MONTH(Table1[[#This Row],[Launched]])</f>
        <v>8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 s="8">
        <v>1417501145</v>
      </c>
      <c r="J1331">
        <v>1414041545</v>
      </c>
      <c r="K1331" t="b">
        <v>0</v>
      </c>
      <c r="L1331" s="10">
        <v>9</v>
      </c>
      <c r="M1331" t="b">
        <v>0</v>
      </c>
      <c r="N1331" t="s">
        <v>8271</v>
      </c>
      <c r="O1331" s="11">
        <f t="shared" si="84"/>
        <v>1</v>
      </c>
      <c r="P1331" s="12">
        <f t="shared" si="85"/>
        <v>45</v>
      </c>
      <c r="Q1331" s="14" t="s">
        <v>8316</v>
      </c>
      <c r="R1331" t="s">
        <v>8318</v>
      </c>
      <c r="S1331" s="17">
        <f t="shared" si="86"/>
        <v>41935.221585648149</v>
      </c>
      <c r="T1331" s="17">
        <f t="shared" si="87"/>
        <v>41975.263252314813</v>
      </c>
      <c r="U1331">
        <f>MONTH(Table1[[#This Row],[Launched]])</f>
        <v>10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 s="8">
        <v>1467432000</v>
      </c>
      <c r="J1332">
        <v>1464763109</v>
      </c>
      <c r="K1332" t="b">
        <v>0</v>
      </c>
      <c r="L1332" s="10">
        <v>50</v>
      </c>
      <c r="M1332" t="b">
        <v>0</v>
      </c>
      <c r="N1332" t="s">
        <v>8271</v>
      </c>
      <c r="O1332" s="11">
        <f t="shared" si="84"/>
        <v>22</v>
      </c>
      <c r="P1332" s="12">
        <f t="shared" si="85"/>
        <v>157</v>
      </c>
      <c r="Q1332" s="14" t="s">
        <v>8316</v>
      </c>
      <c r="R1332" t="s">
        <v>8318</v>
      </c>
      <c r="S1332" s="17">
        <f t="shared" si="86"/>
        <v>42522.276724537034</v>
      </c>
      <c r="T1332" s="17">
        <f t="shared" si="87"/>
        <v>42553.166666666672</v>
      </c>
      <c r="U1332">
        <f>MONTH(Table1[[#This Row],[Launched]])</f>
        <v>6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 s="8">
        <v>1471435554</v>
      </c>
      <c r="J1333">
        <v>1468843554</v>
      </c>
      <c r="K1333" t="b">
        <v>0</v>
      </c>
      <c r="L1333" s="10">
        <v>34</v>
      </c>
      <c r="M1333" t="b">
        <v>0</v>
      </c>
      <c r="N1333" t="s">
        <v>8271</v>
      </c>
      <c r="O1333" s="11">
        <f t="shared" si="84"/>
        <v>1</v>
      </c>
      <c r="P1333" s="12">
        <f t="shared" si="85"/>
        <v>101</v>
      </c>
      <c r="Q1333" s="14" t="s">
        <v>8316</v>
      </c>
      <c r="R1333" t="s">
        <v>8318</v>
      </c>
      <c r="S1333" s="17">
        <f t="shared" si="86"/>
        <v>42569.50409722222</v>
      </c>
      <c r="T1333" s="17">
        <f t="shared" si="87"/>
        <v>42599.50409722222</v>
      </c>
      <c r="U1333">
        <f>MONTH(Table1[[#This Row],[Launched]])</f>
        <v>7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8219</v>
      </c>
      <c r="G1334" t="s">
        <v>8239</v>
      </c>
      <c r="H1334" t="s">
        <v>8256</v>
      </c>
      <c r="I1334" s="8">
        <v>1485480408</v>
      </c>
      <c r="J1334">
        <v>1482888408</v>
      </c>
      <c r="K1334" t="b">
        <v>0</v>
      </c>
      <c r="L1334" s="10">
        <v>0</v>
      </c>
      <c r="M1334" t="b">
        <v>0</v>
      </c>
      <c r="N1334" t="s">
        <v>8271</v>
      </c>
      <c r="O1334" s="11">
        <f t="shared" si="84"/>
        <v>0</v>
      </c>
      <c r="P1334" s="12" t="str">
        <f t="shared" si="85"/>
        <v>No Backers</v>
      </c>
      <c r="Q1334" s="14" t="s">
        <v>8316</v>
      </c>
      <c r="R1334" t="s">
        <v>8318</v>
      </c>
      <c r="S1334" s="17">
        <f t="shared" si="86"/>
        <v>42732.060277777782</v>
      </c>
      <c r="T1334" s="17">
        <f t="shared" si="87"/>
        <v>42762.060277777782</v>
      </c>
      <c r="U1334">
        <f>MONTH(Table1[[#This Row],[Launched]])</f>
        <v>12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8219</v>
      </c>
      <c r="G1335" t="s">
        <v>8225</v>
      </c>
      <c r="H1335" t="s">
        <v>8247</v>
      </c>
      <c r="I1335" s="8">
        <v>1405478025</v>
      </c>
      <c r="J1335">
        <v>1402886025</v>
      </c>
      <c r="K1335" t="b">
        <v>0</v>
      </c>
      <c r="L1335" s="10">
        <v>0</v>
      </c>
      <c r="M1335" t="b">
        <v>0</v>
      </c>
      <c r="N1335" t="s">
        <v>8271</v>
      </c>
      <c r="O1335" s="11">
        <f t="shared" si="84"/>
        <v>0</v>
      </c>
      <c r="P1335" s="12" t="str">
        <f t="shared" si="85"/>
        <v>No Backers</v>
      </c>
      <c r="Q1335" s="14" t="s">
        <v>8316</v>
      </c>
      <c r="R1335" t="s">
        <v>8318</v>
      </c>
      <c r="S1335" s="17">
        <f t="shared" si="86"/>
        <v>41806.106770833336</v>
      </c>
      <c r="T1335" s="17">
        <f t="shared" si="87"/>
        <v>41836.106770833336</v>
      </c>
      <c r="U1335">
        <f>MONTH(Table1[[#This Row],[Launched]])</f>
        <v>6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 s="8">
        <v>1457721287</v>
      </c>
      <c r="J1336">
        <v>1455129287</v>
      </c>
      <c r="K1336" t="b">
        <v>0</v>
      </c>
      <c r="L1336" s="10">
        <v>276</v>
      </c>
      <c r="M1336" t="b">
        <v>0</v>
      </c>
      <c r="N1336" t="s">
        <v>8271</v>
      </c>
      <c r="O1336" s="11">
        <f t="shared" si="84"/>
        <v>11</v>
      </c>
      <c r="P1336" s="12">
        <f t="shared" si="85"/>
        <v>52</v>
      </c>
      <c r="Q1336" s="14" t="s">
        <v>8316</v>
      </c>
      <c r="R1336" t="s">
        <v>8318</v>
      </c>
      <c r="S1336" s="17">
        <f t="shared" si="86"/>
        <v>42410.774155092593</v>
      </c>
      <c r="T1336" s="17">
        <f t="shared" si="87"/>
        <v>42440.774155092593</v>
      </c>
      <c r="U1336">
        <f>MONTH(Table1[[#This Row],[Launched]])</f>
        <v>2</v>
      </c>
    </row>
    <row r="1337" spans="1:21" ht="57.6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 s="8">
        <v>1449354502</v>
      </c>
      <c r="J1337">
        <v>1446762502</v>
      </c>
      <c r="K1337" t="b">
        <v>0</v>
      </c>
      <c r="L1337" s="10">
        <v>16</v>
      </c>
      <c r="M1337" t="b">
        <v>0</v>
      </c>
      <c r="N1337" t="s">
        <v>8271</v>
      </c>
      <c r="O1337" s="11">
        <f t="shared" si="84"/>
        <v>20</v>
      </c>
      <c r="P1337" s="12">
        <f t="shared" si="85"/>
        <v>309</v>
      </c>
      <c r="Q1337" s="14" t="s">
        <v>8316</v>
      </c>
      <c r="R1337" t="s">
        <v>8318</v>
      </c>
      <c r="S1337" s="17">
        <f t="shared" si="86"/>
        <v>42313.936365740738</v>
      </c>
      <c r="T1337" s="17">
        <f t="shared" si="87"/>
        <v>42343.936365740738</v>
      </c>
      <c r="U1337">
        <f>MONTH(Table1[[#This Row],[Launched]])</f>
        <v>11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 s="8">
        <v>1418849028</v>
      </c>
      <c r="J1338">
        <v>1415825028</v>
      </c>
      <c r="K1338" t="b">
        <v>0</v>
      </c>
      <c r="L1338" s="10">
        <v>224</v>
      </c>
      <c r="M1338" t="b">
        <v>0</v>
      </c>
      <c r="N1338" t="s">
        <v>8271</v>
      </c>
      <c r="O1338" s="11">
        <f t="shared" si="84"/>
        <v>85</v>
      </c>
      <c r="P1338" s="12">
        <f t="shared" si="85"/>
        <v>379</v>
      </c>
      <c r="Q1338" s="14" t="s">
        <v>8316</v>
      </c>
      <c r="R1338" t="s">
        <v>8318</v>
      </c>
      <c r="S1338" s="17">
        <f t="shared" si="86"/>
        <v>41955.863750000004</v>
      </c>
      <c r="T1338" s="17">
        <f t="shared" si="87"/>
        <v>41990.863750000004</v>
      </c>
      <c r="U1338">
        <f>MONTH(Table1[[#This Row],[Launched]])</f>
        <v>11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 s="8">
        <v>1488549079</v>
      </c>
      <c r="J1339">
        <v>1485957079</v>
      </c>
      <c r="K1339" t="b">
        <v>0</v>
      </c>
      <c r="L1339" s="10">
        <v>140</v>
      </c>
      <c r="M1339" t="b">
        <v>0</v>
      </c>
      <c r="N1339" t="s">
        <v>8271</v>
      </c>
      <c r="O1339" s="11">
        <f t="shared" si="84"/>
        <v>49</v>
      </c>
      <c r="P1339" s="12">
        <f t="shared" si="85"/>
        <v>176</v>
      </c>
      <c r="Q1339" s="14" t="s">
        <v>8316</v>
      </c>
      <c r="R1339" t="s">
        <v>8318</v>
      </c>
      <c r="S1339" s="17">
        <f t="shared" si="86"/>
        <v>42767.577303240745</v>
      </c>
      <c r="T1339" s="17">
        <f t="shared" si="87"/>
        <v>42797.577303240745</v>
      </c>
      <c r="U1339">
        <f>MONTH(Table1[[#This Row],[Launched]])</f>
        <v>2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 s="8">
        <v>1438543033</v>
      </c>
      <c r="J1340">
        <v>1435951033</v>
      </c>
      <c r="K1340" t="b">
        <v>0</v>
      </c>
      <c r="L1340" s="10">
        <v>15</v>
      </c>
      <c r="M1340" t="b">
        <v>0</v>
      </c>
      <c r="N1340" t="s">
        <v>8271</v>
      </c>
      <c r="O1340" s="11">
        <f t="shared" si="84"/>
        <v>3</v>
      </c>
      <c r="P1340" s="12">
        <f t="shared" si="85"/>
        <v>66</v>
      </c>
      <c r="Q1340" s="14" t="s">
        <v>8316</v>
      </c>
      <c r="R1340" t="s">
        <v>8318</v>
      </c>
      <c r="S1340" s="17">
        <f t="shared" si="86"/>
        <v>42188.803622685184</v>
      </c>
      <c r="T1340" s="17">
        <f t="shared" si="87"/>
        <v>42218.803622685184</v>
      </c>
      <c r="U1340">
        <f>MONTH(Table1[[#This Row],[Launched]])</f>
        <v>7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 s="8">
        <v>1418056315</v>
      </c>
      <c r="J1341">
        <v>1414164715</v>
      </c>
      <c r="K1341" t="b">
        <v>0</v>
      </c>
      <c r="L1341" s="10">
        <v>37</v>
      </c>
      <c r="M1341" t="b">
        <v>0</v>
      </c>
      <c r="N1341" t="s">
        <v>8271</v>
      </c>
      <c r="O1341" s="11">
        <f t="shared" si="84"/>
        <v>7</v>
      </c>
      <c r="P1341" s="12">
        <f t="shared" si="85"/>
        <v>90</v>
      </c>
      <c r="Q1341" s="14" t="s">
        <v>8316</v>
      </c>
      <c r="R1341" t="s">
        <v>8318</v>
      </c>
      <c r="S1341" s="17">
        <f t="shared" si="86"/>
        <v>41936.647164351853</v>
      </c>
      <c r="T1341" s="17">
        <f t="shared" si="87"/>
        <v>41981.688831018517</v>
      </c>
      <c r="U1341">
        <f>MONTH(Table1[[#This Row],[Launched]])</f>
        <v>10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8219</v>
      </c>
      <c r="G1342" t="s">
        <v>8223</v>
      </c>
      <c r="H1342" t="s">
        <v>8245</v>
      </c>
      <c r="I1342" s="8">
        <v>1408112253</v>
      </c>
      <c r="J1342">
        <v>1405520253</v>
      </c>
      <c r="K1342" t="b">
        <v>0</v>
      </c>
      <c r="L1342" s="10">
        <v>0</v>
      </c>
      <c r="M1342" t="b">
        <v>0</v>
      </c>
      <c r="N1342" t="s">
        <v>8271</v>
      </c>
      <c r="O1342" s="11">
        <f t="shared" si="84"/>
        <v>0</v>
      </c>
      <c r="P1342" s="12" t="str">
        <f t="shared" si="85"/>
        <v>No Backers</v>
      </c>
      <c r="Q1342" s="14" t="s">
        <v>8316</v>
      </c>
      <c r="R1342" t="s">
        <v>8318</v>
      </c>
      <c r="S1342" s="17">
        <f t="shared" si="86"/>
        <v>41836.595520833333</v>
      </c>
      <c r="T1342" s="17">
        <f t="shared" si="87"/>
        <v>41866.595520833333</v>
      </c>
      <c r="U1342">
        <f>MONTH(Table1[[#This Row],[Launched]])</f>
        <v>7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 s="8">
        <v>1475333917</v>
      </c>
      <c r="J1343">
        <v>1472569117</v>
      </c>
      <c r="K1343" t="b">
        <v>0</v>
      </c>
      <c r="L1343" s="10">
        <v>46</v>
      </c>
      <c r="M1343" t="b">
        <v>0</v>
      </c>
      <c r="N1343" t="s">
        <v>8271</v>
      </c>
      <c r="O1343" s="11">
        <f t="shared" si="84"/>
        <v>70</v>
      </c>
      <c r="P1343" s="12">
        <f t="shared" si="85"/>
        <v>382</v>
      </c>
      <c r="Q1343" s="14" t="s">
        <v>8316</v>
      </c>
      <c r="R1343" t="s">
        <v>8318</v>
      </c>
      <c r="S1343" s="17">
        <f t="shared" si="86"/>
        <v>42612.624039351853</v>
      </c>
      <c r="T1343" s="17">
        <f t="shared" si="87"/>
        <v>42644.624039351853</v>
      </c>
      <c r="U1343">
        <f>MONTH(Table1[[#This Row],[Launched]])</f>
        <v>8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 s="8">
        <v>1437161739</v>
      </c>
      <c r="J1344">
        <v>1434569739</v>
      </c>
      <c r="K1344" t="b">
        <v>0</v>
      </c>
      <c r="L1344" s="10">
        <v>1</v>
      </c>
      <c r="M1344" t="b">
        <v>0</v>
      </c>
      <c r="N1344" t="s">
        <v>8271</v>
      </c>
      <c r="O1344" s="11">
        <f t="shared" si="84"/>
        <v>0</v>
      </c>
      <c r="P1344" s="12">
        <f t="shared" si="85"/>
        <v>100</v>
      </c>
      <c r="Q1344" s="14" t="s">
        <v>8316</v>
      </c>
      <c r="R1344" t="s">
        <v>8318</v>
      </c>
      <c r="S1344" s="17">
        <f t="shared" si="86"/>
        <v>42172.816423611104</v>
      </c>
      <c r="T1344" s="17">
        <f t="shared" si="87"/>
        <v>42202.816423611104</v>
      </c>
      <c r="U1344">
        <f>MONTH(Table1[[#This Row],[Launched]])</f>
        <v>6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 s="8">
        <v>1471579140</v>
      </c>
      <c r="J1345">
        <v>1466512683</v>
      </c>
      <c r="K1345" t="b">
        <v>0</v>
      </c>
      <c r="L1345" s="10">
        <v>323</v>
      </c>
      <c r="M1345" t="b">
        <v>0</v>
      </c>
      <c r="N1345" t="s">
        <v>8271</v>
      </c>
      <c r="O1345" s="11">
        <f t="shared" si="84"/>
        <v>102</v>
      </c>
      <c r="P1345" s="12">
        <f t="shared" si="85"/>
        <v>158</v>
      </c>
      <c r="Q1345" s="14" t="s">
        <v>8316</v>
      </c>
      <c r="R1345" t="s">
        <v>8318</v>
      </c>
      <c r="S1345" s="17">
        <f t="shared" si="86"/>
        <v>42542.526423611111</v>
      </c>
      <c r="T1345" s="17">
        <f t="shared" si="87"/>
        <v>42601.165972222225</v>
      </c>
      <c r="U1345">
        <f>MONTH(Table1[[#This Row],[Launched]])</f>
        <v>6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 s="8">
        <v>1467313039</v>
      </c>
      <c r="J1346">
        <v>1464807439</v>
      </c>
      <c r="K1346" t="b">
        <v>0</v>
      </c>
      <c r="L1346" s="10">
        <v>139</v>
      </c>
      <c r="M1346" t="b">
        <v>1</v>
      </c>
      <c r="N1346" t="s">
        <v>8272</v>
      </c>
      <c r="O1346" s="11">
        <f t="shared" ref="O1346:O1409" si="88">ROUND(E1346/D1346*100,0)</f>
        <v>378</v>
      </c>
      <c r="P1346" s="12">
        <f t="shared" si="85"/>
        <v>41</v>
      </c>
      <c r="Q1346" s="14" t="s">
        <v>8319</v>
      </c>
      <c r="R1346" t="s">
        <v>8320</v>
      </c>
      <c r="S1346" s="17">
        <f t="shared" si="86"/>
        <v>42522.789803240739</v>
      </c>
      <c r="T1346" s="17">
        <f t="shared" si="87"/>
        <v>42551.789803240739</v>
      </c>
      <c r="U1346">
        <f>MONTH(Table1[[#This Row],[Launched]])</f>
        <v>6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8218</v>
      </c>
      <c r="G1347" t="s">
        <v>8223</v>
      </c>
      <c r="H1347" t="s">
        <v>8245</v>
      </c>
      <c r="I1347" s="8">
        <v>1405366359</v>
      </c>
      <c r="J1347">
        <v>1402342359</v>
      </c>
      <c r="K1347" t="b">
        <v>0</v>
      </c>
      <c r="L1347" s="10">
        <v>7</v>
      </c>
      <c r="M1347" t="b">
        <v>1</v>
      </c>
      <c r="N1347" t="s">
        <v>8272</v>
      </c>
      <c r="O1347" s="11">
        <f t="shared" si="88"/>
        <v>125</v>
      </c>
      <c r="P1347" s="12">
        <f t="shared" ref="P1347:P1410" si="89">IFERROR(ROUND(E1347/L1347,),"No Backers")</f>
        <v>54</v>
      </c>
      <c r="Q1347" s="14" t="s">
        <v>8319</v>
      </c>
      <c r="R1347" t="s">
        <v>8320</v>
      </c>
      <c r="S1347" s="17">
        <f t="shared" ref="S1347:S1410" si="90">(((J1347/60)/60)/24)+DATE(1970,1,1)</f>
        <v>41799.814340277779</v>
      </c>
      <c r="T1347" s="17">
        <f t="shared" ref="T1347:T1410" si="91">(((I1347/60)/60)/24)+DATE(1970,1,1)</f>
        <v>41834.814340277779</v>
      </c>
      <c r="U1347">
        <f>MONTH(Table1[[#This Row],[Launched]])</f>
        <v>6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 s="8">
        <v>1372297751</v>
      </c>
      <c r="J1348">
        <v>1369705751</v>
      </c>
      <c r="K1348" t="b">
        <v>0</v>
      </c>
      <c r="L1348" s="10">
        <v>149</v>
      </c>
      <c r="M1348" t="b">
        <v>1</v>
      </c>
      <c r="N1348" t="s">
        <v>8272</v>
      </c>
      <c r="O1348" s="11">
        <f t="shared" si="88"/>
        <v>147</v>
      </c>
      <c r="P1348" s="12">
        <f t="shared" si="89"/>
        <v>48</v>
      </c>
      <c r="Q1348" s="14" t="s">
        <v>8319</v>
      </c>
      <c r="R1348" t="s">
        <v>8320</v>
      </c>
      <c r="S1348" s="17">
        <f t="shared" si="90"/>
        <v>41422.075821759259</v>
      </c>
      <c r="T1348" s="17">
        <f t="shared" si="91"/>
        <v>41452.075821759259</v>
      </c>
      <c r="U1348">
        <f>MONTH(Table1[[#This Row],[Launched]])</f>
        <v>5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 s="8">
        <v>1425741525</v>
      </c>
      <c r="J1349">
        <v>1423149525</v>
      </c>
      <c r="K1349" t="b">
        <v>0</v>
      </c>
      <c r="L1349" s="10">
        <v>31</v>
      </c>
      <c r="M1349" t="b">
        <v>1</v>
      </c>
      <c r="N1349" t="s">
        <v>8272</v>
      </c>
      <c r="O1349" s="11">
        <f t="shared" si="88"/>
        <v>102</v>
      </c>
      <c r="P1349" s="12">
        <f t="shared" si="89"/>
        <v>82</v>
      </c>
      <c r="Q1349" s="14" t="s">
        <v>8319</v>
      </c>
      <c r="R1349" t="s">
        <v>8320</v>
      </c>
      <c r="S1349" s="17">
        <f t="shared" si="90"/>
        <v>42040.638020833328</v>
      </c>
      <c r="T1349" s="17">
        <f t="shared" si="91"/>
        <v>42070.638020833328</v>
      </c>
      <c r="U1349">
        <f>MONTH(Table1[[#This Row],[Launched]])</f>
        <v>2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 s="8">
        <v>1418904533</v>
      </c>
      <c r="J1350">
        <v>1416485333</v>
      </c>
      <c r="K1350" t="b">
        <v>0</v>
      </c>
      <c r="L1350" s="10">
        <v>26</v>
      </c>
      <c r="M1350" t="b">
        <v>1</v>
      </c>
      <c r="N1350" t="s">
        <v>8272</v>
      </c>
      <c r="O1350" s="11">
        <f t="shared" si="88"/>
        <v>102</v>
      </c>
      <c r="P1350" s="12">
        <f t="shared" si="89"/>
        <v>230</v>
      </c>
      <c r="Q1350" s="14" t="s">
        <v>8319</v>
      </c>
      <c r="R1350" t="s">
        <v>8320</v>
      </c>
      <c r="S1350" s="17">
        <f t="shared" si="90"/>
        <v>41963.506168981476</v>
      </c>
      <c r="T1350" s="17">
        <f t="shared" si="91"/>
        <v>41991.506168981476</v>
      </c>
      <c r="U1350">
        <f>MONTH(Table1[[#This Row],[Launched]])</f>
        <v>11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 s="8">
        <v>1450249140</v>
      </c>
      <c r="J1351">
        <v>1447055935</v>
      </c>
      <c r="K1351" t="b">
        <v>0</v>
      </c>
      <c r="L1351" s="10">
        <v>172</v>
      </c>
      <c r="M1351" t="b">
        <v>1</v>
      </c>
      <c r="N1351" t="s">
        <v>8272</v>
      </c>
      <c r="O1351" s="11">
        <f t="shared" si="88"/>
        <v>204</v>
      </c>
      <c r="P1351" s="12">
        <f t="shared" si="89"/>
        <v>59</v>
      </c>
      <c r="Q1351" s="14" t="s">
        <v>8319</v>
      </c>
      <c r="R1351" t="s">
        <v>8320</v>
      </c>
      <c r="S1351" s="17">
        <f t="shared" si="90"/>
        <v>42317.33258101852</v>
      </c>
      <c r="T1351" s="17">
        <f t="shared" si="91"/>
        <v>42354.290972222225</v>
      </c>
      <c r="U1351">
        <f>MONTH(Table1[[#This Row],[Launched]])</f>
        <v>11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 s="8">
        <v>1451089134</v>
      </c>
      <c r="J1352">
        <v>1448497134</v>
      </c>
      <c r="K1352" t="b">
        <v>0</v>
      </c>
      <c r="L1352" s="10">
        <v>78</v>
      </c>
      <c r="M1352" t="b">
        <v>1</v>
      </c>
      <c r="N1352" t="s">
        <v>8272</v>
      </c>
      <c r="O1352" s="11">
        <f t="shared" si="88"/>
        <v>104</v>
      </c>
      <c r="P1352" s="12">
        <f t="shared" si="89"/>
        <v>67</v>
      </c>
      <c r="Q1352" s="14" t="s">
        <v>8319</v>
      </c>
      <c r="R1352" t="s">
        <v>8320</v>
      </c>
      <c r="S1352" s="17">
        <f t="shared" si="90"/>
        <v>42334.013124999998</v>
      </c>
      <c r="T1352" s="17">
        <f t="shared" si="91"/>
        <v>42364.013124999998</v>
      </c>
      <c r="U1352">
        <f>MONTH(Table1[[#This Row],[Launched]])</f>
        <v>11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 s="8">
        <v>1455299144</v>
      </c>
      <c r="J1353">
        <v>1452707144</v>
      </c>
      <c r="K1353" t="b">
        <v>0</v>
      </c>
      <c r="L1353" s="10">
        <v>120</v>
      </c>
      <c r="M1353" t="b">
        <v>1</v>
      </c>
      <c r="N1353" t="s">
        <v>8272</v>
      </c>
      <c r="O1353" s="11">
        <f t="shared" si="88"/>
        <v>101</v>
      </c>
      <c r="P1353" s="12">
        <f t="shared" si="89"/>
        <v>169</v>
      </c>
      <c r="Q1353" s="14" t="s">
        <v>8319</v>
      </c>
      <c r="R1353" t="s">
        <v>8320</v>
      </c>
      <c r="S1353" s="17">
        <f t="shared" si="90"/>
        <v>42382.74009259259</v>
      </c>
      <c r="T1353" s="17">
        <f t="shared" si="91"/>
        <v>42412.74009259259</v>
      </c>
      <c r="U1353">
        <f>MONTH(Table1[[#This Row],[Launched]])</f>
        <v>1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 s="8">
        <v>1441425540</v>
      </c>
      <c r="J1354">
        <v>1436968366</v>
      </c>
      <c r="K1354" t="b">
        <v>0</v>
      </c>
      <c r="L1354" s="10">
        <v>227</v>
      </c>
      <c r="M1354" t="b">
        <v>1</v>
      </c>
      <c r="N1354" t="s">
        <v>8272</v>
      </c>
      <c r="O1354" s="11">
        <f t="shared" si="88"/>
        <v>136</v>
      </c>
      <c r="P1354" s="12">
        <f t="shared" si="89"/>
        <v>60</v>
      </c>
      <c r="Q1354" s="14" t="s">
        <v>8319</v>
      </c>
      <c r="R1354" t="s">
        <v>8320</v>
      </c>
      <c r="S1354" s="17">
        <f t="shared" si="90"/>
        <v>42200.578310185185</v>
      </c>
      <c r="T1354" s="17">
        <f t="shared" si="91"/>
        <v>42252.165972222225</v>
      </c>
      <c r="U1354">
        <f>MONTH(Table1[[#This Row],[Launched]])</f>
        <v>7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 s="8">
        <v>1362960000</v>
      </c>
      <c r="J1355">
        <v>1359946188</v>
      </c>
      <c r="K1355" t="b">
        <v>0</v>
      </c>
      <c r="L1355" s="10">
        <v>42</v>
      </c>
      <c r="M1355" t="b">
        <v>1</v>
      </c>
      <c r="N1355" t="s">
        <v>8272</v>
      </c>
      <c r="O1355" s="11">
        <f t="shared" si="88"/>
        <v>134</v>
      </c>
      <c r="P1355" s="12">
        <f t="shared" si="89"/>
        <v>32</v>
      </c>
      <c r="Q1355" s="14" t="s">
        <v>8319</v>
      </c>
      <c r="R1355" t="s">
        <v>8320</v>
      </c>
      <c r="S1355" s="17">
        <f t="shared" si="90"/>
        <v>41309.11791666667</v>
      </c>
      <c r="T1355" s="17">
        <f t="shared" si="91"/>
        <v>41344</v>
      </c>
      <c r="U1355">
        <f>MONTH(Table1[[#This Row],[Launched]])</f>
        <v>2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 s="8">
        <v>1465672979</v>
      </c>
      <c r="J1356">
        <v>1463080979</v>
      </c>
      <c r="K1356" t="b">
        <v>0</v>
      </c>
      <c r="L1356" s="10">
        <v>64</v>
      </c>
      <c r="M1356" t="b">
        <v>1</v>
      </c>
      <c r="N1356" t="s">
        <v>8272</v>
      </c>
      <c r="O1356" s="11">
        <f t="shared" si="88"/>
        <v>130</v>
      </c>
      <c r="P1356" s="12">
        <f t="shared" si="89"/>
        <v>24</v>
      </c>
      <c r="Q1356" s="14" t="s">
        <v>8319</v>
      </c>
      <c r="R1356" t="s">
        <v>8320</v>
      </c>
      <c r="S1356" s="17">
        <f t="shared" si="90"/>
        <v>42502.807627314818</v>
      </c>
      <c r="T1356" s="17">
        <f t="shared" si="91"/>
        <v>42532.807627314818</v>
      </c>
      <c r="U1356">
        <f>MONTH(Table1[[#This Row],[Launched]])</f>
        <v>5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 s="8">
        <v>1354269600</v>
      </c>
      <c r="J1357">
        <v>1351663605</v>
      </c>
      <c r="K1357" t="b">
        <v>0</v>
      </c>
      <c r="L1357" s="10">
        <v>121</v>
      </c>
      <c r="M1357" t="b">
        <v>1</v>
      </c>
      <c r="N1357" t="s">
        <v>8272</v>
      </c>
      <c r="O1357" s="11">
        <f t="shared" si="88"/>
        <v>123</v>
      </c>
      <c r="P1357" s="12">
        <f t="shared" si="89"/>
        <v>25</v>
      </c>
      <c r="Q1357" s="14" t="s">
        <v>8319</v>
      </c>
      <c r="R1357" t="s">
        <v>8320</v>
      </c>
      <c r="S1357" s="17">
        <f t="shared" si="90"/>
        <v>41213.254687499997</v>
      </c>
      <c r="T1357" s="17">
        <f t="shared" si="91"/>
        <v>41243.416666666664</v>
      </c>
      <c r="U1357">
        <f>MONTH(Table1[[#This Row],[Launched]])</f>
        <v>10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 s="8">
        <v>1372985760</v>
      </c>
      <c r="J1358">
        <v>1370393760</v>
      </c>
      <c r="K1358" t="b">
        <v>0</v>
      </c>
      <c r="L1358" s="10">
        <v>87</v>
      </c>
      <c r="M1358" t="b">
        <v>1</v>
      </c>
      <c r="N1358" t="s">
        <v>8272</v>
      </c>
      <c r="O1358" s="11">
        <f t="shared" si="88"/>
        <v>183</v>
      </c>
      <c r="P1358" s="12">
        <f t="shared" si="89"/>
        <v>71</v>
      </c>
      <c r="Q1358" s="14" t="s">
        <v>8319</v>
      </c>
      <c r="R1358" t="s">
        <v>8320</v>
      </c>
      <c r="S1358" s="17">
        <f t="shared" si="90"/>
        <v>41430.038888888892</v>
      </c>
      <c r="T1358" s="17">
        <f t="shared" si="91"/>
        <v>41460.038888888892</v>
      </c>
      <c r="U1358">
        <f>MONTH(Table1[[#This Row],[Launched]])</f>
        <v>6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 s="8">
        <v>1362117540</v>
      </c>
      <c r="J1359">
        <v>1359587137</v>
      </c>
      <c r="K1359" t="b">
        <v>0</v>
      </c>
      <c r="L1359" s="10">
        <v>65</v>
      </c>
      <c r="M1359" t="b">
        <v>1</v>
      </c>
      <c r="N1359" t="s">
        <v>8272</v>
      </c>
      <c r="O1359" s="11">
        <f t="shared" si="88"/>
        <v>125</v>
      </c>
      <c r="P1359" s="12">
        <f t="shared" si="89"/>
        <v>39</v>
      </c>
      <c r="Q1359" s="14" t="s">
        <v>8319</v>
      </c>
      <c r="R1359" t="s">
        <v>8320</v>
      </c>
      <c r="S1359" s="17">
        <f t="shared" si="90"/>
        <v>41304.962233796294</v>
      </c>
      <c r="T1359" s="17">
        <f t="shared" si="91"/>
        <v>41334.249305555553</v>
      </c>
      <c r="U1359">
        <f>MONTH(Table1[[#This Row],[Launched]])</f>
        <v>1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 s="8">
        <v>1309009323</v>
      </c>
      <c r="J1360">
        <v>1306417323</v>
      </c>
      <c r="K1360" t="b">
        <v>0</v>
      </c>
      <c r="L1360" s="10">
        <v>49</v>
      </c>
      <c r="M1360" t="b">
        <v>1</v>
      </c>
      <c r="N1360" t="s">
        <v>8272</v>
      </c>
      <c r="O1360" s="11">
        <f t="shared" si="88"/>
        <v>112</v>
      </c>
      <c r="P1360" s="12">
        <f t="shared" si="89"/>
        <v>68</v>
      </c>
      <c r="Q1360" s="14" t="s">
        <v>8319</v>
      </c>
      <c r="R1360" t="s">
        <v>8320</v>
      </c>
      <c r="S1360" s="17">
        <f t="shared" si="90"/>
        <v>40689.570868055554</v>
      </c>
      <c r="T1360" s="17">
        <f t="shared" si="91"/>
        <v>40719.570868055554</v>
      </c>
      <c r="U1360">
        <f>MONTH(Table1[[#This Row],[Launched]])</f>
        <v>5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8218</v>
      </c>
      <c r="G1361" t="s">
        <v>8223</v>
      </c>
      <c r="H1361" t="s">
        <v>8245</v>
      </c>
      <c r="I1361" s="8">
        <v>1309980790</v>
      </c>
      <c r="J1361">
        <v>1304623990</v>
      </c>
      <c r="K1361" t="b">
        <v>0</v>
      </c>
      <c r="L1361" s="10">
        <v>19</v>
      </c>
      <c r="M1361" t="b">
        <v>1</v>
      </c>
      <c r="N1361" t="s">
        <v>8272</v>
      </c>
      <c r="O1361" s="11">
        <f t="shared" si="88"/>
        <v>116</v>
      </c>
      <c r="P1361" s="12">
        <f t="shared" si="89"/>
        <v>40</v>
      </c>
      <c r="Q1361" s="14" t="s">
        <v>8319</v>
      </c>
      <c r="R1361" t="s">
        <v>8320</v>
      </c>
      <c r="S1361" s="17">
        <f t="shared" si="90"/>
        <v>40668.814699074072</v>
      </c>
      <c r="T1361" s="17">
        <f t="shared" si="91"/>
        <v>40730.814699074072</v>
      </c>
      <c r="U1361">
        <f>MONTH(Table1[[#This Row],[Launched]])</f>
        <v>5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 s="8">
        <v>1343943420</v>
      </c>
      <c r="J1362">
        <v>1341524220</v>
      </c>
      <c r="K1362" t="b">
        <v>0</v>
      </c>
      <c r="L1362" s="10">
        <v>81</v>
      </c>
      <c r="M1362" t="b">
        <v>1</v>
      </c>
      <c r="N1362" t="s">
        <v>8272</v>
      </c>
      <c r="O1362" s="11">
        <f t="shared" si="88"/>
        <v>173</v>
      </c>
      <c r="P1362" s="12">
        <f t="shared" si="89"/>
        <v>32</v>
      </c>
      <c r="Q1362" s="14" t="s">
        <v>8319</v>
      </c>
      <c r="R1362" t="s">
        <v>8320</v>
      </c>
      <c r="S1362" s="17">
        <f t="shared" si="90"/>
        <v>41095.900694444441</v>
      </c>
      <c r="T1362" s="17">
        <f t="shared" si="91"/>
        <v>41123.900694444441</v>
      </c>
      <c r="U1362">
        <f>MONTH(Table1[[#This Row],[Launched]])</f>
        <v>7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 s="8">
        <v>1403370772</v>
      </c>
      <c r="J1363">
        <v>1400778772</v>
      </c>
      <c r="K1363" t="b">
        <v>0</v>
      </c>
      <c r="L1363" s="10">
        <v>264</v>
      </c>
      <c r="M1363" t="b">
        <v>1</v>
      </c>
      <c r="N1363" t="s">
        <v>8272</v>
      </c>
      <c r="O1363" s="11">
        <f t="shared" si="88"/>
        <v>126</v>
      </c>
      <c r="P1363" s="12">
        <f t="shared" si="89"/>
        <v>29</v>
      </c>
      <c r="Q1363" s="14" t="s">
        <v>8319</v>
      </c>
      <c r="R1363" t="s">
        <v>8320</v>
      </c>
      <c r="S1363" s="17">
        <f t="shared" si="90"/>
        <v>41781.717268518521</v>
      </c>
      <c r="T1363" s="17">
        <f t="shared" si="91"/>
        <v>41811.717268518521</v>
      </c>
      <c r="U1363">
        <f>MONTH(Table1[[#This Row],[Launched]])</f>
        <v>5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 s="8">
        <v>1378592731</v>
      </c>
      <c r="J1364">
        <v>1373408731</v>
      </c>
      <c r="K1364" t="b">
        <v>0</v>
      </c>
      <c r="L1364" s="10">
        <v>25</v>
      </c>
      <c r="M1364" t="b">
        <v>1</v>
      </c>
      <c r="N1364" t="s">
        <v>8272</v>
      </c>
      <c r="O1364" s="11">
        <f t="shared" si="88"/>
        <v>109</v>
      </c>
      <c r="P1364" s="12">
        <f t="shared" si="89"/>
        <v>44</v>
      </c>
      <c r="Q1364" s="14" t="s">
        <v>8319</v>
      </c>
      <c r="R1364" t="s">
        <v>8320</v>
      </c>
      <c r="S1364" s="17">
        <f t="shared" si="90"/>
        <v>41464.934386574074</v>
      </c>
      <c r="T1364" s="17">
        <f t="shared" si="91"/>
        <v>41524.934386574074</v>
      </c>
      <c r="U1364">
        <f>MONTH(Table1[[#This Row],[Launched]])</f>
        <v>7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8218</v>
      </c>
      <c r="G1365" t="s">
        <v>8223</v>
      </c>
      <c r="H1365" t="s">
        <v>8245</v>
      </c>
      <c r="I1365" s="8">
        <v>1455523140</v>
      </c>
      <c r="J1365">
        <v>1453925727</v>
      </c>
      <c r="K1365" t="b">
        <v>0</v>
      </c>
      <c r="L1365" s="10">
        <v>5</v>
      </c>
      <c r="M1365" t="b">
        <v>1</v>
      </c>
      <c r="N1365" t="s">
        <v>8272</v>
      </c>
      <c r="O1365" s="11">
        <f t="shared" si="88"/>
        <v>100</v>
      </c>
      <c r="P1365" s="12">
        <f t="shared" si="89"/>
        <v>40</v>
      </c>
      <c r="Q1365" s="14" t="s">
        <v>8319</v>
      </c>
      <c r="R1365" t="s">
        <v>8320</v>
      </c>
      <c r="S1365" s="17">
        <f t="shared" si="90"/>
        <v>42396.8440625</v>
      </c>
      <c r="T1365" s="17">
        <f t="shared" si="91"/>
        <v>42415.332638888889</v>
      </c>
      <c r="U1365">
        <f>MONTH(Table1[[#This Row],[Launched]])</f>
        <v>1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 s="8">
        <v>1420648906</v>
      </c>
      <c r="J1366">
        <v>1415464906</v>
      </c>
      <c r="K1366" t="b">
        <v>0</v>
      </c>
      <c r="L1366" s="10">
        <v>144</v>
      </c>
      <c r="M1366" t="b">
        <v>1</v>
      </c>
      <c r="N1366" t="s">
        <v>8274</v>
      </c>
      <c r="O1366" s="11">
        <f t="shared" si="88"/>
        <v>119</v>
      </c>
      <c r="P1366" s="12">
        <f t="shared" si="89"/>
        <v>346</v>
      </c>
      <c r="Q1366" s="14" t="s">
        <v>8322</v>
      </c>
      <c r="R1366" t="s">
        <v>8323</v>
      </c>
      <c r="S1366" s="17">
        <f t="shared" si="90"/>
        <v>41951.695671296293</v>
      </c>
      <c r="T1366" s="17">
        <f t="shared" si="91"/>
        <v>42011.6956712963</v>
      </c>
      <c r="U1366">
        <f>MONTH(Table1[[#This Row],[Launched]])</f>
        <v>11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 s="8">
        <v>1426523752</v>
      </c>
      <c r="J1367">
        <v>1423935352</v>
      </c>
      <c r="K1367" t="b">
        <v>0</v>
      </c>
      <c r="L1367" s="10">
        <v>92</v>
      </c>
      <c r="M1367" t="b">
        <v>1</v>
      </c>
      <c r="N1367" t="s">
        <v>8274</v>
      </c>
      <c r="O1367" s="11">
        <f t="shared" si="88"/>
        <v>100</v>
      </c>
      <c r="P1367" s="12">
        <f t="shared" si="89"/>
        <v>82</v>
      </c>
      <c r="Q1367" s="14" t="s">
        <v>8322</v>
      </c>
      <c r="R1367" t="s">
        <v>8323</v>
      </c>
      <c r="S1367" s="17">
        <f t="shared" si="90"/>
        <v>42049.733240740738</v>
      </c>
      <c r="T1367" s="17">
        <f t="shared" si="91"/>
        <v>42079.691574074073</v>
      </c>
      <c r="U1367">
        <f>MONTH(Table1[[#This Row],[Launched]])</f>
        <v>2</v>
      </c>
    </row>
    <row r="1368" spans="1:21" ht="15.6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 s="8">
        <v>1417049663</v>
      </c>
      <c r="J1368">
        <v>1413158063</v>
      </c>
      <c r="K1368" t="b">
        <v>0</v>
      </c>
      <c r="L1368" s="10">
        <v>147</v>
      </c>
      <c r="M1368" t="b">
        <v>1</v>
      </c>
      <c r="N1368" t="s">
        <v>8274</v>
      </c>
      <c r="O1368" s="11">
        <f t="shared" si="88"/>
        <v>126</v>
      </c>
      <c r="P1368" s="12">
        <f t="shared" si="89"/>
        <v>65</v>
      </c>
      <c r="Q1368" s="14" t="s">
        <v>8322</v>
      </c>
      <c r="R1368" t="s">
        <v>8323</v>
      </c>
      <c r="S1368" s="17">
        <f t="shared" si="90"/>
        <v>41924.996099537035</v>
      </c>
      <c r="T1368" s="17">
        <f t="shared" si="91"/>
        <v>41970.037766203706</v>
      </c>
      <c r="U1368">
        <f>MONTH(Table1[[#This Row],[Launched]])</f>
        <v>10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 s="8">
        <v>1447463050</v>
      </c>
      <c r="J1369">
        <v>1444867450</v>
      </c>
      <c r="K1369" t="b">
        <v>0</v>
      </c>
      <c r="L1369" s="10">
        <v>90</v>
      </c>
      <c r="M1369" t="b">
        <v>1</v>
      </c>
      <c r="N1369" t="s">
        <v>8274</v>
      </c>
      <c r="O1369" s="11">
        <f t="shared" si="88"/>
        <v>114</v>
      </c>
      <c r="P1369" s="12">
        <f t="shared" si="89"/>
        <v>63</v>
      </c>
      <c r="Q1369" s="14" t="s">
        <v>8322</v>
      </c>
      <c r="R1369" t="s">
        <v>8323</v>
      </c>
      <c r="S1369" s="17">
        <f t="shared" si="90"/>
        <v>42292.002893518518</v>
      </c>
      <c r="T1369" s="17">
        <f t="shared" si="91"/>
        <v>42322.044560185182</v>
      </c>
      <c r="U1369">
        <f>MONTH(Table1[[#This Row],[Launched]])</f>
        <v>10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 s="8">
        <v>1434342894</v>
      </c>
      <c r="J1370">
        <v>1432269294</v>
      </c>
      <c r="K1370" t="b">
        <v>0</v>
      </c>
      <c r="L1370" s="10">
        <v>87</v>
      </c>
      <c r="M1370" t="b">
        <v>1</v>
      </c>
      <c r="N1370" t="s">
        <v>8274</v>
      </c>
      <c r="O1370" s="11">
        <f t="shared" si="88"/>
        <v>111</v>
      </c>
      <c r="P1370" s="12">
        <f t="shared" si="89"/>
        <v>64</v>
      </c>
      <c r="Q1370" s="14" t="s">
        <v>8322</v>
      </c>
      <c r="R1370" t="s">
        <v>8323</v>
      </c>
      <c r="S1370" s="17">
        <f t="shared" si="90"/>
        <v>42146.190902777773</v>
      </c>
      <c r="T1370" s="17">
        <f t="shared" si="91"/>
        <v>42170.190902777773</v>
      </c>
      <c r="U1370">
        <f>MONTH(Table1[[#This Row],[Launched]])</f>
        <v>5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 s="8">
        <v>1397225746</v>
      </c>
      <c r="J1371">
        <v>1394633746</v>
      </c>
      <c r="K1371" t="b">
        <v>0</v>
      </c>
      <c r="L1371" s="10">
        <v>406</v>
      </c>
      <c r="M1371" t="b">
        <v>1</v>
      </c>
      <c r="N1371" t="s">
        <v>8274</v>
      </c>
      <c r="O1371" s="11">
        <f t="shared" si="88"/>
        <v>105</v>
      </c>
      <c r="P1371" s="12">
        <f t="shared" si="89"/>
        <v>84</v>
      </c>
      <c r="Q1371" s="14" t="s">
        <v>8322</v>
      </c>
      <c r="R1371" t="s">
        <v>8323</v>
      </c>
      <c r="S1371" s="17">
        <f t="shared" si="90"/>
        <v>41710.594282407408</v>
      </c>
      <c r="T1371" s="17">
        <f t="shared" si="91"/>
        <v>41740.594282407408</v>
      </c>
      <c r="U1371">
        <f>MONTH(Table1[[#This Row],[Launched]])</f>
        <v>3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 s="8">
        <v>1381881890</v>
      </c>
      <c r="J1372">
        <v>1380585890</v>
      </c>
      <c r="K1372" t="b">
        <v>0</v>
      </c>
      <c r="L1372" s="10">
        <v>20</v>
      </c>
      <c r="M1372" t="b">
        <v>1</v>
      </c>
      <c r="N1372" t="s">
        <v>8274</v>
      </c>
      <c r="O1372" s="11">
        <f t="shared" si="88"/>
        <v>104</v>
      </c>
      <c r="P1372" s="12">
        <f t="shared" si="89"/>
        <v>78</v>
      </c>
      <c r="Q1372" s="14" t="s">
        <v>8322</v>
      </c>
      <c r="R1372" t="s">
        <v>8323</v>
      </c>
      <c r="S1372" s="17">
        <f t="shared" si="90"/>
        <v>41548.00335648148</v>
      </c>
      <c r="T1372" s="17">
        <f t="shared" si="91"/>
        <v>41563.00335648148</v>
      </c>
      <c r="U1372">
        <f>MONTH(Table1[[#This Row],[Launched]])</f>
        <v>10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 s="8">
        <v>1431022342</v>
      </c>
      <c r="J1373">
        <v>1428430342</v>
      </c>
      <c r="K1373" t="b">
        <v>0</v>
      </c>
      <c r="L1373" s="10">
        <v>70</v>
      </c>
      <c r="M1373" t="b">
        <v>1</v>
      </c>
      <c r="N1373" t="s">
        <v>8274</v>
      </c>
      <c r="O1373" s="11">
        <f t="shared" si="88"/>
        <v>107</v>
      </c>
      <c r="P1373" s="12">
        <f t="shared" si="89"/>
        <v>107</v>
      </c>
      <c r="Q1373" s="14" t="s">
        <v>8322</v>
      </c>
      <c r="R1373" t="s">
        <v>8323</v>
      </c>
      <c r="S1373" s="17">
        <f t="shared" si="90"/>
        <v>42101.758587962962</v>
      </c>
      <c r="T1373" s="17">
        <f t="shared" si="91"/>
        <v>42131.758587962962</v>
      </c>
      <c r="U1373">
        <f>MONTH(Table1[[#This Row],[Launched]])</f>
        <v>4</v>
      </c>
    </row>
    <row r="1374" spans="1:21" ht="15.6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8218</v>
      </c>
      <c r="G1374" t="s">
        <v>8223</v>
      </c>
      <c r="H1374" t="s">
        <v>8245</v>
      </c>
      <c r="I1374" s="8">
        <v>1342115132</v>
      </c>
      <c r="J1374">
        <v>1339523132</v>
      </c>
      <c r="K1374" t="b">
        <v>0</v>
      </c>
      <c r="L1374" s="10">
        <v>16</v>
      </c>
      <c r="M1374" t="b">
        <v>1</v>
      </c>
      <c r="N1374" t="s">
        <v>8274</v>
      </c>
      <c r="O1374" s="11">
        <f t="shared" si="88"/>
        <v>124</v>
      </c>
      <c r="P1374" s="12">
        <f t="shared" si="89"/>
        <v>39</v>
      </c>
      <c r="Q1374" s="14" t="s">
        <v>8322</v>
      </c>
      <c r="R1374" t="s">
        <v>8323</v>
      </c>
      <c r="S1374" s="17">
        <f t="shared" si="90"/>
        <v>41072.739953703705</v>
      </c>
      <c r="T1374" s="17">
        <f t="shared" si="91"/>
        <v>41102.739953703705</v>
      </c>
      <c r="U1374">
        <f>MONTH(Table1[[#This Row],[Launched]])</f>
        <v>6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 s="8">
        <v>1483138233</v>
      </c>
      <c r="J1375">
        <v>1480546233</v>
      </c>
      <c r="K1375" t="b">
        <v>0</v>
      </c>
      <c r="L1375" s="10">
        <v>52</v>
      </c>
      <c r="M1375" t="b">
        <v>1</v>
      </c>
      <c r="N1375" t="s">
        <v>8274</v>
      </c>
      <c r="O1375" s="11">
        <f t="shared" si="88"/>
        <v>105</v>
      </c>
      <c r="P1375" s="12">
        <f t="shared" si="89"/>
        <v>202</v>
      </c>
      <c r="Q1375" s="14" t="s">
        <v>8322</v>
      </c>
      <c r="R1375" t="s">
        <v>8323</v>
      </c>
      <c r="S1375" s="17">
        <f t="shared" si="90"/>
        <v>42704.95177083333</v>
      </c>
      <c r="T1375" s="17">
        <f t="shared" si="91"/>
        <v>42734.95177083333</v>
      </c>
      <c r="U1375">
        <f>MONTH(Table1[[#This Row],[Launched]])</f>
        <v>11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 s="8">
        <v>1458874388</v>
      </c>
      <c r="J1376">
        <v>1456285988</v>
      </c>
      <c r="K1376" t="b">
        <v>0</v>
      </c>
      <c r="L1376" s="10">
        <v>66</v>
      </c>
      <c r="M1376" t="b">
        <v>1</v>
      </c>
      <c r="N1376" t="s">
        <v>8274</v>
      </c>
      <c r="O1376" s="11">
        <f t="shared" si="88"/>
        <v>189</v>
      </c>
      <c r="P1376" s="12">
        <f t="shared" si="89"/>
        <v>43</v>
      </c>
      <c r="Q1376" s="14" t="s">
        <v>8322</v>
      </c>
      <c r="R1376" t="s">
        <v>8323</v>
      </c>
      <c r="S1376" s="17">
        <f t="shared" si="90"/>
        <v>42424.161898148144</v>
      </c>
      <c r="T1376" s="17">
        <f t="shared" si="91"/>
        <v>42454.12023148148</v>
      </c>
      <c r="U1376">
        <f>MONTH(Table1[[#This Row],[Launched]])</f>
        <v>2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 s="8">
        <v>1484444119</v>
      </c>
      <c r="J1377">
        <v>1481852119</v>
      </c>
      <c r="K1377" t="b">
        <v>0</v>
      </c>
      <c r="L1377" s="10">
        <v>109</v>
      </c>
      <c r="M1377" t="b">
        <v>1</v>
      </c>
      <c r="N1377" t="s">
        <v>8274</v>
      </c>
      <c r="O1377" s="11">
        <f t="shared" si="88"/>
        <v>171</v>
      </c>
      <c r="P1377" s="12">
        <f t="shared" si="89"/>
        <v>63</v>
      </c>
      <c r="Q1377" s="14" t="s">
        <v>8322</v>
      </c>
      <c r="R1377" t="s">
        <v>8323</v>
      </c>
      <c r="S1377" s="17">
        <f t="shared" si="90"/>
        <v>42720.066192129627</v>
      </c>
      <c r="T1377" s="17">
        <f t="shared" si="91"/>
        <v>42750.066192129627</v>
      </c>
      <c r="U1377">
        <f>MONTH(Table1[[#This Row],[Launched]])</f>
        <v>12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 s="8">
        <v>1480784606</v>
      </c>
      <c r="J1378">
        <v>1478189006</v>
      </c>
      <c r="K1378" t="b">
        <v>0</v>
      </c>
      <c r="L1378" s="10">
        <v>168</v>
      </c>
      <c r="M1378" t="b">
        <v>1</v>
      </c>
      <c r="N1378" t="s">
        <v>8274</v>
      </c>
      <c r="O1378" s="11">
        <f t="shared" si="88"/>
        <v>252</v>
      </c>
      <c r="P1378" s="12">
        <f t="shared" si="89"/>
        <v>56</v>
      </c>
      <c r="Q1378" s="14" t="s">
        <v>8322</v>
      </c>
      <c r="R1378" t="s">
        <v>8323</v>
      </c>
      <c r="S1378" s="17">
        <f t="shared" si="90"/>
        <v>42677.669050925921</v>
      </c>
      <c r="T1378" s="17">
        <f t="shared" si="91"/>
        <v>42707.710717592592</v>
      </c>
      <c r="U1378">
        <f>MONTH(Table1[[#This Row],[Launched]])</f>
        <v>11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 s="8">
        <v>1486095060</v>
      </c>
      <c r="J1379">
        <v>1484198170</v>
      </c>
      <c r="K1379" t="b">
        <v>0</v>
      </c>
      <c r="L1379" s="10">
        <v>31</v>
      </c>
      <c r="M1379" t="b">
        <v>1</v>
      </c>
      <c r="N1379" t="s">
        <v>8274</v>
      </c>
      <c r="O1379" s="11">
        <f t="shared" si="88"/>
        <v>116</v>
      </c>
      <c r="P1379" s="12">
        <f t="shared" si="89"/>
        <v>49</v>
      </c>
      <c r="Q1379" s="14" t="s">
        <v>8322</v>
      </c>
      <c r="R1379" t="s">
        <v>8323</v>
      </c>
      <c r="S1379" s="17">
        <f t="shared" si="90"/>
        <v>42747.219560185185</v>
      </c>
      <c r="T1379" s="17">
        <f t="shared" si="91"/>
        <v>42769.174305555556</v>
      </c>
      <c r="U1379">
        <f>MONTH(Table1[[#This Row],[Launched]])</f>
        <v>1</v>
      </c>
    </row>
    <row r="1380" spans="1:21" ht="15.6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 s="8">
        <v>1470075210</v>
      </c>
      <c r="J1380">
        <v>1468779210</v>
      </c>
      <c r="K1380" t="b">
        <v>0</v>
      </c>
      <c r="L1380" s="10">
        <v>133</v>
      </c>
      <c r="M1380" t="b">
        <v>1</v>
      </c>
      <c r="N1380" t="s">
        <v>8274</v>
      </c>
      <c r="O1380" s="11">
        <f t="shared" si="88"/>
        <v>203</v>
      </c>
      <c r="P1380" s="12">
        <f t="shared" si="89"/>
        <v>31</v>
      </c>
      <c r="Q1380" s="14" t="s">
        <v>8322</v>
      </c>
      <c r="R1380" t="s">
        <v>8323</v>
      </c>
      <c r="S1380" s="17">
        <f t="shared" si="90"/>
        <v>42568.759374999994</v>
      </c>
      <c r="T1380" s="17">
        <f t="shared" si="91"/>
        <v>42583.759374999994</v>
      </c>
      <c r="U1380">
        <f>MONTH(Table1[[#This Row],[Launched]])</f>
        <v>7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 s="8">
        <v>1433504876</v>
      </c>
      <c r="J1381">
        <v>1430912876</v>
      </c>
      <c r="K1381" t="b">
        <v>0</v>
      </c>
      <c r="L1381" s="10">
        <v>151</v>
      </c>
      <c r="M1381" t="b">
        <v>1</v>
      </c>
      <c r="N1381" t="s">
        <v>8274</v>
      </c>
      <c r="O1381" s="11">
        <f t="shared" si="88"/>
        <v>112</v>
      </c>
      <c r="P1381" s="12">
        <f t="shared" si="89"/>
        <v>74</v>
      </c>
      <c r="Q1381" s="14" t="s">
        <v>8322</v>
      </c>
      <c r="R1381" t="s">
        <v>8323</v>
      </c>
      <c r="S1381" s="17">
        <f t="shared" si="90"/>
        <v>42130.491620370376</v>
      </c>
      <c r="T1381" s="17">
        <f t="shared" si="91"/>
        <v>42160.491620370376</v>
      </c>
      <c r="U1381">
        <f>MONTH(Table1[[#This Row],[Launched]])</f>
        <v>5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8218</v>
      </c>
      <c r="G1382" t="s">
        <v>8223</v>
      </c>
      <c r="H1382" t="s">
        <v>8245</v>
      </c>
      <c r="I1382" s="8">
        <v>1433815200</v>
      </c>
      <c r="J1382">
        <v>1431886706</v>
      </c>
      <c r="K1382" t="b">
        <v>0</v>
      </c>
      <c r="L1382" s="10">
        <v>5</v>
      </c>
      <c r="M1382" t="b">
        <v>1</v>
      </c>
      <c r="N1382" t="s">
        <v>8274</v>
      </c>
      <c r="O1382" s="11">
        <f t="shared" si="88"/>
        <v>424</v>
      </c>
      <c r="P1382" s="12">
        <f t="shared" si="89"/>
        <v>21</v>
      </c>
      <c r="Q1382" s="14" t="s">
        <v>8322</v>
      </c>
      <c r="R1382" t="s">
        <v>8323</v>
      </c>
      <c r="S1382" s="17">
        <f t="shared" si="90"/>
        <v>42141.762800925921</v>
      </c>
      <c r="T1382" s="17">
        <f t="shared" si="91"/>
        <v>42164.083333333328</v>
      </c>
      <c r="U1382">
        <f>MONTH(Table1[[#This Row],[Launched]])</f>
        <v>5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 s="8">
        <v>1482988125</v>
      </c>
      <c r="J1383">
        <v>1480396125</v>
      </c>
      <c r="K1383" t="b">
        <v>0</v>
      </c>
      <c r="L1383" s="10">
        <v>73</v>
      </c>
      <c r="M1383" t="b">
        <v>1</v>
      </c>
      <c r="N1383" t="s">
        <v>8274</v>
      </c>
      <c r="O1383" s="11">
        <f t="shared" si="88"/>
        <v>107</v>
      </c>
      <c r="P1383" s="12">
        <f t="shared" si="89"/>
        <v>73</v>
      </c>
      <c r="Q1383" s="14" t="s">
        <v>8322</v>
      </c>
      <c r="R1383" t="s">
        <v>8323</v>
      </c>
      <c r="S1383" s="17">
        <f t="shared" si="90"/>
        <v>42703.214409722219</v>
      </c>
      <c r="T1383" s="17">
        <f t="shared" si="91"/>
        <v>42733.214409722219</v>
      </c>
      <c r="U1383">
        <f>MONTH(Table1[[#This Row],[Launched]])</f>
        <v>11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 s="8">
        <v>1367867536</v>
      </c>
      <c r="J1384">
        <v>1365275536</v>
      </c>
      <c r="K1384" t="b">
        <v>0</v>
      </c>
      <c r="L1384" s="10">
        <v>148</v>
      </c>
      <c r="M1384" t="b">
        <v>1</v>
      </c>
      <c r="N1384" t="s">
        <v>8274</v>
      </c>
      <c r="O1384" s="11">
        <f t="shared" si="88"/>
        <v>104</v>
      </c>
      <c r="P1384" s="12">
        <f t="shared" si="89"/>
        <v>56</v>
      </c>
      <c r="Q1384" s="14" t="s">
        <v>8322</v>
      </c>
      <c r="R1384" t="s">
        <v>8323</v>
      </c>
      <c r="S1384" s="17">
        <f t="shared" si="90"/>
        <v>41370.800185185188</v>
      </c>
      <c r="T1384" s="17">
        <f t="shared" si="91"/>
        <v>41400.800185185188</v>
      </c>
      <c r="U1384">
        <f>MONTH(Table1[[#This Row],[Launched]])</f>
        <v>4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 s="8">
        <v>1482457678</v>
      </c>
      <c r="J1385">
        <v>1480729678</v>
      </c>
      <c r="K1385" t="b">
        <v>0</v>
      </c>
      <c r="L1385" s="10">
        <v>93</v>
      </c>
      <c r="M1385" t="b">
        <v>1</v>
      </c>
      <c r="N1385" t="s">
        <v>8274</v>
      </c>
      <c r="O1385" s="11">
        <f t="shared" si="88"/>
        <v>212</v>
      </c>
      <c r="P1385" s="12">
        <f t="shared" si="89"/>
        <v>50</v>
      </c>
      <c r="Q1385" s="14" t="s">
        <v>8322</v>
      </c>
      <c r="R1385" t="s">
        <v>8323</v>
      </c>
      <c r="S1385" s="17">
        <f t="shared" si="90"/>
        <v>42707.074976851851</v>
      </c>
      <c r="T1385" s="17">
        <f t="shared" si="91"/>
        <v>42727.074976851851</v>
      </c>
      <c r="U1385">
        <f>MONTH(Table1[[#This Row],[Launched]])</f>
        <v>12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 s="8">
        <v>1436117922</v>
      </c>
      <c r="J1386">
        <v>1433525922</v>
      </c>
      <c r="K1386" t="b">
        <v>0</v>
      </c>
      <c r="L1386" s="10">
        <v>63</v>
      </c>
      <c r="M1386" t="b">
        <v>1</v>
      </c>
      <c r="N1386" t="s">
        <v>8274</v>
      </c>
      <c r="O1386" s="11">
        <f t="shared" si="88"/>
        <v>124</v>
      </c>
      <c r="P1386" s="12">
        <f t="shared" si="89"/>
        <v>69</v>
      </c>
      <c r="Q1386" s="14" t="s">
        <v>8322</v>
      </c>
      <c r="R1386" t="s">
        <v>8323</v>
      </c>
      <c r="S1386" s="17">
        <f t="shared" si="90"/>
        <v>42160.735208333332</v>
      </c>
      <c r="T1386" s="17">
        <f t="shared" si="91"/>
        <v>42190.735208333332</v>
      </c>
      <c r="U1386">
        <f>MONTH(Table1[[#This Row],[Launched]])</f>
        <v>6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 s="8">
        <v>1461931860</v>
      </c>
      <c r="J1387">
        <v>1457109121</v>
      </c>
      <c r="K1387" t="b">
        <v>0</v>
      </c>
      <c r="L1387" s="10">
        <v>134</v>
      </c>
      <c r="M1387" t="b">
        <v>1</v>
      </c>
      <c r="N1387" t="s">
        <v>8274</v>
      </c>
      <c r="O1387" s="11">
        <f t="shared" si="88"/>
        <v>110</v>
      </c>
      <c r="P1387" s="12">
        <f t="shared" si="89"/>
        <v>66</v>
      </c>
      <c r="Q1387" s="14" t="s">
        <v>8322</v>
      </c>
      <c r="R1387" t="s">
        <v>8323</v>
      </c>
      <c r="S1387" s="17">
        <f t="shared" si="90"/>
        <v>42433.688900462963</v>
      </c>
      <c r="T1387" s="17">
        <f t="shared" si="91"/>
        <v>42489.507638888885</v>
      </c>
      <c r="U1387">
        <f>MONTH(Table1[[#This Row],[Launched]])</f>
        <v>3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8218</v>
      </c>
      <c r="G1388" t="s">
        <v>8223</v>
      </c>
      <c r="H1388" t="s">
        <v>8245</v>
      </c>
      <c r="I1388" s="8">
        <v>1438183889</v>
      </c>
      <c r="J1388">
        <v>1435591889</v>
      </c>
      <c r="K1388" t="b">
        <v>0</v>
      </c>
      <c r="L1388" s="10">
        <v>14</v>
      </c>
      <c r="M1388" t="b">
        <v>1</v>
      </c>
      <c r="N1388" t="s">
        <v>8274</v>
      </c>
      <c r="O1388" s="11">
        <f t="shared" si="88"/>
        <v>219</v>
      </c>
      <c r="P1388" s="12">
        <f t="shared" si="89"/>
        <v>63</v>
      </c>
      <c r="Q1388" s="14" t="s">
        <v>8322</v>
      </c>
      <c r="R1388" t="s">
        <v>8323</v>
      </c>
      <c r="S1388" s="17">
        <f t="shared" si="90"/>
        <v>42184.646863425922</v>
      </c>
      <c r="T1388" s="17">
        <f t="shared" si="91"/>
        <v>42214.646863425922</v>
      </c>
      <c r="U1388">
        <f>MONTH(Table1[[#This Row],[Launched]])</f>
        <v>6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 s="8">
        <v>1433305800</v>
      </c>
      <c r="J1389">
        <v>1430604395</v>
      </c>
      <c r="K1389" t="b">
        <v>0</v>
      </c>
      <c r="L1389" s="10">
        <v>78</v>
      </c>
      <c r="M1389" t="b">
        <v>1</v>
      </c>
      <c r="N1389" t="s">
        <v>8274</v>
      </c>
      <c r="O1389" s="11">
        <f t="shared" si="88"/>
        <v>137</v>
      </c>
      <c r="P1389" s="12">
        <f t="shared" si="89"/>
        <v>70</v>
      </c>
      <c r="Q1389" s="14" t="s">
        <v>8322</v>
      </c>
      <c r="R1389" t="s">
        <v>8323</v>
      </c>
      <c r="S1389" s="17">
        <f t="shared" si="90"/>
        <v>42126.92123842593</v>
      </c>
      <c r="T1389" s="17">
        <f t="shared" si="91"/>
        <v>42158.1875</v>
      </c>
      <c r="U1389">
        <f>MONTH(Table1[[#This Row],[Launched]])</f>
        <v>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 s="8">
        <v>1476720840</v>
      </c>
      <c r="J1390">
        <v>1474469117</v>
      </c>
      <c r="K1390" t="b">
        <v>0</v>
      </c>
      <c r="L1390" s="10">
        <v>112</v>
      </c>
      <c r="M1390" t="b">
        <v>1</v>
      </c>
      <c r="N1390" t="s">
        <v>8274</v>
      </c>
      <c r="O1390" s="11">
        <f t="shared" si="88"/>
        <v>135</v>
      </c>
      <c r="P1390" s="12">
        <f t="shared" si="89"/>
        <v>60</v>
      </c>
      <c r="Q1390" s="14" t="s">
        <v>8322</v>
      </c>
      <c r="R1390" t="s">
        <v>8323</v>
      </c>
      <c r="S1390" s="17">
        <f t="shared" si="90"/>
        <v>42634.614780092597</v>
      </c>
      <c r="T1390" s="17">
        <f t="shared" si="91"/>
        <v>42660.676388888889</v>
      </c>
      <c r="U1390">
        <f>MONTH(Table1[[#This Row],[Launched]])</f>
        <v>9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8218</v>
      </c>
      <c r="G1391" t="s">
        <v>8224</v>
      </c>
      <c r="H1391" t="s">
        <v>8246</v>
      </c>
      <c r="I1391" s="8">
        <v>1471087957</v>
      </c>
      <c r="J1391">
        <v>1468495957</v>
      </c>
      <c r="K1391" t="b">
        <v>0</v>
      </c>
      <c r="L1391" s="10">
        <v>34</v>
      </c>
      <c r="M1391" t="b">
        <v>1</v>
      </c>
      <c r="N1391" t="s">
        <v>8274</v>
      </c>
      <c r="O1391" s="11">
        <f t="shared" si="88"/>
        <v>145</v>
      </c>
      <c r="P1391" s="12">
        <f t="shared" si="89"/>
        <v>21</v>
      </c>
      <c r="Q1391" s="14" t="s">
        <v>8322</v>
      </c>
      <c r="R1391" t="s">
        <v>8323</v>
      </c>
      <c r="S1391" s="17">
        <f t="shared" si="90"/>
        <v>42565.480983796297</v>
      </c>
      <c r="T1391" s="17">
        <f t="shared" si="91"/>
        <v>42595.480983796297</v>
      </c>
      <c r="U1391">
        <f>MONTH(Table1[[#This Row],[Launched]])</f>
        <v>7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 s="8">
        <v>1430154720</v>
      </c>
      <c r="J1392">
        <v>1427224606</v>
      </c>
      <c r="K1392" t="b">
        <v>0</v>
      </c>
      <c r="L1392" s="10">
        <v>19</v>
      </c>
      <c r="M1392" t="b">
        <v>1</v>
      </c>
      <c r="N1392" t="s">
        <v>8274</v>
      </c>
      <c r="O1392" s="11">
        <f t="shared" si="88"/>
        <v>109</v>
      </c>
      <c r="P1392" s="12">
        <f t="shared" si="89"/>
        <v>161</v>
      </c>
      <c r="Q1392" s="14" t="s">
        <v>8322</v>
      </c>
      <c r="R1392" t="s">
        <v>8323</v>
      </c>
      <c r="S1392" s="17">
        <f t="shared" si="90"/>
        <v>42087.803310185183</v>
      </c>
      <c r="T1392" s="17">
        <f t="shared" si="91"/>
        <v>42121.716666666667</v>
      </c>
      <c r="U1392">
        <f>MONTH(Table1[[#This Row],[Launched]])</f>
        <v>3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8218</v>
      </c>
      <c r="G1393" t="s">
        <v>8223</v>
      </c>
      <c r="H1393" t="s">
        <v>8245</v>
      </c>
      <c r="I1393" s="8">
        <v>1440219540</v>
      </c>
      <c r="J1393">
        <v>1436369818</v>
      </c>
      <c r="K1393" t="b">
        <v>0</v>
      </c>
      <c r="L1393" s="10">
        <v>13</v>
      </c>
      <c r="M1393" t="b">
        <v>1</v>
      </c>
      <c r="N1393" t="s">
        <v>8274</v>
      </c>
      <c r="O1393" s="11">
        <f t="shared" si="88"/>
        <v>110</v>
      </c>
      <c r="P1393" s="12">
        <f t="shared" si="89"/>
        <v>42</v>
      </c>
      <c r="Q1393" s="14" t="s">
        <v>8322</v>
      </c>
      <c r="R1393" t="s">
        <v>8323</v>
      </c>
      <c r="S1393" s="17">
        <f t="shared" si="90"/>
        <v>42193.650671296295</v>
      </c>
      <c r="T1393" s="17">
        <f t="shared" si="91"/>
        <v>42238.207638888889</v>
      </c>
      <c r="U1393">
        <f>MONTH(Table1[[#This Row],[Launched]])</f>
        <v>7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 s="8">
        <v>1456976586</v>
      </c>
      <c r="J1394">
        <v>1454298186</v>
      </c>
      <c r="K1394" t="b">
        <v>0</v>
      </c>
      <c r="L1394" s="10">
        <v>104</v>
      </c>
      <c r="M1394" t="b">
        <v>1</v>
      </c>
      <c r="N1394" t="s">
        <v>8274</v>
      </c>
      <c r="O1394" s="11">
        <f t="shared" si="88"/>
        <v>114</v>
      </c>
      <c r="P1394" s="12">
        <f t="shared" si="89"/>
        <v>27</v>
      </c>
      <c r="Q1394" s="14" t="s">
        <v>8322</v>
      </c>
      <c r="R1394" t="s">
        <v>8323</v>
      </c>
      <c r="S1394" s="17">
        <f t="shared" si="90"/>
        <v>42401.154930555553</v>
      </c>
      <c r="T1394" s="17">
        <f t="shared" si="91"/>
        <v>42432.154930555553</v>
      </c>
      <c r="U1394">
        <f>MONTH(Table1[[#This Row],[Launched]])</f>
        <v>2</v>
      </c>
    </row>
    <row r="1395" spans="1:21" ht="15.6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 s="8">
        <v>1470068523</v>
      </c>
      <c r="J1395">
        <v>1467476523</v>
      </c>
      <c r="K1395" t="b">
        <v>0</v>
      </c>
      <c r="L1395" s="10">
        <v>52</v>
      </c>
      <c r="M1395" t="b">
        <v>1</v>
      </c>
      <c r="N1395" t="s">
        <v>8274</v>
      </c>
      <c r="O1395" s="11">
        <f t="shared" si="88"/>
        <v>102</v>
      </c>
      <c r="P1395" s="12">
        <f t="shared" si="89"/>
        <v>197</v>
      </c>
      <c r="Q1395" s="14" t="s">
        <v>8322</v>
      </c>
      <c r="R1395" t="s">
        <v>8323</v>
      </c>
      <c r="S1395" s="17">
        <f t="shared" si="90"/>
        <v>42553.681979166664</v>
      </c>
      <c r="T1395" s="17">
        <f t="shared" si="91"/>
        <v>42583.681979166664</v>
      </c>
      <c r="U1395">
        <f>MONTH(Table1[[#This Row],[Launched]])</f>
        <v>7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8218</v>
      </c>
      <c r="G1396" t="s">
        <v>8223</v>
      </c>
      <c r="H1396" t="s">
        <v>8245</v>
      </c>
      <c r="I1396" s="8">
        <v>1488337200</v>
      </c>
      <c r="J1396">
        <v>1484623726</v>
      </c>
      <c r="K1396" t="b">
        <v>0</v>
      </c>
      <c r="L1396" s="10">
        <v>17</v>
      </c>
      <c r="M1396" t="b">
        <v>1</v>
      </c>
      <c r="N1396" t="s">
        <v>8274</v>
      </c>
      <c r="O1396" s="11">
        <f t="shared" si="88"/>
        <v>122</v>
      </c>
      <c r="P1396" s="12">
        <f t="shared" si="89"/>
        <v>54</v>
      </c>
      <c r="Q1396" s="14" t="s">
        <v>8322</v>
      </c>
      <c r="R1396" t="s">
        <v>8323</v>
      </c>
      <c r="S1396" s="17">
        <f t="shared" si="90"/>
        <v>42752.144976851851</v>
      </c>
      <c r="T1396" s="17">
        <f t="shared" si="91"/>
        <v>42795.125</v>
      </c>
      <c r="U1396">
        <f>MONTH(Table1[[#This Row],[Launched]])</f>
        <v>1</v>
      </c>
    </row>
    <row r="1397" spans="1:21" ht="15.6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 s="8">
        <v>1484430481</v>
      </c>
      <c r="J1397">
        <v>1481838481</v>
      </c>
      <c r="K1397" t="b">
        <v>0</v>
      </c>
      <c r="L1397" s="10">
        <v>82</v>
      </c>
      <c r="M1397" t="b">
        <v>1</v>
      </c>
      <c r="N1397" t="s">
        <v>8274</v>
      </c>
      <c r="O1397" s="11">
        <f t="shared" si="88"/>
        <v>112</v>
      </c>
      <c r="P1397" s="12">
        <f t="shared" si="89"/>
        <v>48</v>
      </c>
      <c r="Q1397" s="14" t="s">
        <v>8322</v>
      </c>
      <c r="R1397" t="s">
        <v>8323</v>
      </c>
      <c r="S1397" s="17">
        <f t="shared" si="90"/>
        <v>42719.90834490741</v>
      </c>
      <c r="T1397" s="17">
        <f t="shared" si="91"/>
        <v>42749.90834490741</v>
      </c>
      <c r="U1397">
        <f>MONTH(Table1[[#This Row],[Launched]])</f>
        <v>12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 s="8">
        <v>1423871882</v>
      </c>
      <c r="J1398">
        <v>1421279882</v>
      </c>
      <c r="K1398" t="b">
        <v>0</v>
      </c>
      <c r="L1398" s="10">
        <v>73</v>
      </c>
      <c r="M1398" t="b">
        <v>1</v>
      </c>
      <c r="N1398" t="s">
        <v>8274</v>
      </c>
      <c r="O1398" s="11">
        <f t="shared" si="88"/>
        <v>107</v>
      </c>
      <c r="P1398" s="12">
        <f t="shared" si="89"/>
        <v>88</v>
      </c>
      <c r="Q1398" s="14" t="s">
        <v>8322</v>
      </c>
      <c r="R1398" t="s">
        <v>8323</v>
      </c>
      <c r="S1398" s="17">
        <f t="shared" si="90"/>
        <v>42018.99863425926</v>
      </c>
      <c r="T1398" s="17">
        <f t="shared" si="91"/>
        <v>42048.99863425926</v>
      </c>
      <c r="U1398">
        <f>MONTH(Table1[[#This Row],[Launched]])</f>
        <v>1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 s="8">
        <v>1477603140</v>
      </c>
      <c r="J1399">
        <v>1475013710</v>
      </c>
      <c r="K1399" t="b">
        <v>0</v>
      </c>
      <c r="L1399" s="10">
        <v>158</v>
      </c>
      <c r="M1399" t="b">
        <v>1</v>
      </c>
      <c r="N1399" t="s">
        <v>8274</v>
      </c>
      <c r="O1399" s="11">
        <f t="shared" si="88"/>
        <v>114</v>
      </c>
      <c r="P1399" s="12">
        <f t="shared" si="89"/>
        <v>72</v>
      </c>
      <c r="Q1399" s="14" t="s">
        <v>8322</v>
      </c>
      <c r="R1399" t="s">
        <v>8323</v>
      </c>
      <c r="S1399" s="17">
        <f t="shared" si="90"/>
        <v>42640.917939814812</v>
      </c>
      <c r="T1399" s="17">
        <f t="shared" si="91"/>
        <v>42670.888194444444</v>
      </c>
      <c r="U1399">
        <f>MONTH(Table1[[#This Row],[Launched]])</f>
        <v>9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 s="8">
        <v>1467752334</v>
      </c>
      <c r="J1400">
        <v>1465160334</v>
      </c>
      <c r="K1400" t="b">
        <v>0</v>
      </c>
      <c r="L1400" s="10">
        <v>65</v>
      </c>
      <c r="M1400" t="b">
        <v>1</v>
      </c>
      <c r="N1400" t="s">
        <v>8274</v>
      </c>
      <c r="O1400" s="11">
        <f t="shared" si="88"/>
        <v>110</v>
      </c>
      <c r="P1400" s="12">
        <f t="shared" si="89"/>
        <v>74</v>
      </c>
      <c r="Q1400" s="14" t="s">
        <v>8322</v>
      </c>
      <c r="R1400" t="s">
        <v>8323</v>
      </c>
      <c r="S1400" s="17">
        <f t="shared" si="90"/>
        <v>42526.874236111107</v>
      </c>
      <c r="T1400" s="17">
        <f t="shared" si="91"/>
        <v>42556.874236111107</v>
      </c>
      <c r="U1400">
        <f>MONTH(Table1[[#This Row],[Launched]])</f>
        <v>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 s="8">
        <v>1412640373</v>
      </c>
      <c r="J1401">
        <v>1410048373</v>
      </c>
      <c r="K1401" t="b">
        <v>0</v>
      </c>
      <c r="L1401" s="10">
        <v>184</v>
      </c>
      <c r="M1401" t="b">
        <v>1</v>
      </c>
      <c r="N1401" t="s">
        <v>8274</v>
      </c>
      <c r="O1401" s="11">
        <f t="shared" si="88"/>
        <v>126</v>
      </c>
      <c r="P1401" s="12">
        <f t="shared" si="89"/>
        <v>62</v>
      </c>
      <c r="Q1401" s="14" t="s">
        <v>8322</v>
      </c>
      <c r="R1401" t="s">
        <v>8323</v>
      </c>
      <c r="S1401" s="17">
        <f t="shared" si="90"/>
        <v>41889.004317129627</v>
      </c>
      <c r="T1401" s="17">
        <f t="shared" si="91"/>
        <v>41919.004317129627</v>
      </c>
      <c r="U1401">
        <f>MONTH(Table1[[#This Row],[Launched]])</f>
        <v>9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8218</v>
      </c>
      <c r="G1402" t="s">
        <v>8224</v>
      </c>
      <c r="H1402" t="s">
        <v>8246</v>
      </c>
      <c r="I1402" s="8">
        <v>1465709400</v>
      </c>
      <c r="J1402">
        <v>1462695073</v>
      </c>
      <c r="K1402" t="b">
        <v>0</v>
      </c>
      <c r="L1402" s="10">
        <v>34</v>
      </c>
      <c r="M1402" t="b">
        <v>1</v>
      </c>
      <c r="N1402" t="s">
        <v>8274</v>
      </c>
      <c r="O1402" s="11">
        <f t="shared" si="88"/>
        <v>167</v>
      </c>
      <c r="P1402" s="12">
        <f t="shared" si="89"/>
        <v>17</v>
      </c>
      <c r="Q1402" s="14" t="s">
        <v>8322</v>
      </c>
      <c r="R1402" t="s">
        <v>8323</v>
      </c>
      <c r="S1402" s="17">
        <f t="shared" si="90"/>
        <v>42498.341122685189</v>
      </c>
      <c r="T1402" s="17">
        <f t="shared" si="91"/>
        <v>42533.229166666672</v>
      </c>
      <c r="U1402">
        <f>MONTH(Table1[[#This Row],[Launched]])</f>
        <v>5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 s="8">
        <v>1369612474</v>
      </c>
      <c r="J1403">
        <v>1367798074</v>
      </c>
      <c r="K1403" t="b">
        <v>0</v>
      </c>
      <c r="L1403" s="10">
        <v>240</v>
      </c>
      <c r="M1403" t="b">
        <v>1</v>
      </c>
      <c r="N1403" t="s">
        <v>8274</v>
      </c>
      <c r="O1403" s="11">
        <f t="shared" si="88"/>
        <v>497</v>
      </c>
      <c r="P1403" s="12">
        <f t="shared" si="89"/>
        <v>52</v>
      </c>
      <c r="Q1403" s="14" t="s">
        <v>8322</v>
      </c>
      <c r="R1403" t="s">
        <v>8323</v>
      </c>
      <c r="S1403" s="17">
        <f t="shared" si="90"/>
        <v>41399.99622685185</v>
      </c>
      <c r="T1403" s="17">
        <f t="shared" si="91"/>
        <v>41420.99622685185</v>
      </c>
      <c r="U1403">
        <f>MONTH(Table1[[#This Row],[Launched]])</f>
        <v>5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 s="8">
        <v>1430439411</v>
      </c>
      <c r="J1404">
        <v>1425259011</v>
      </c>
      <c r="K1404" t="b">
        <v>0</v>
      </c>
      <c r="L1404" s="10">
        <v>113</v>
      </c>
      <c r="M1404" t="b">
        <v>1</v>
      </c>
      <c r="N1404" t="s">
        <v>8274</v>
      </c>
      <c r="O1404" s="11">
        <f t="shared" si="88"/>
        <v>109</v>
      </c>
      <c r="P1404" s="12">
        <f t="shared" si="89"/>
        <v>24</v>
      </c>
      <c r="Q1404" s="14" t="s">
        <v>8322</v>
      </c>
      <c r="R1404" t="s">
        <v>8323</v>
      </c>
      <c r="S1404" s="17">
        <f t="shared" si="90"/>
        <v>42065.053368055553</v>
      </c>
      <c r="T1404" s="17">
        <f t="shared" si="91"/>
        <v>42125.011701388896</v>
      </c>
      <c r="U1404">
        <f>MONTH(Table1[[#This Row],[Launched]])</f>
        <v>3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 s="8">
        <v>1374802235</v>
      </c>
      <c r="J1405">
        <v>1372210235</v>
      </c>
      <c r="K1405" t="b">
        <v>0</v>
      </c>
      <c r="L1405" s="10">
        <v>66</v>
      </c>
      <c r="M1405" t="b">
        <v>1</v>
      </c>
      <c r="N1405" t="s">
        <v>8274</v>
      </c>
      <c r="O1405" s="11">
        <f t="shared" si="88"/>
        <v>103</v>
      </c>
      <c r="P1405" s="12">
        <f t="shared" si="89"/>
        <v>62</v>
      </c>
      <c r="Q1405" s="14" t="s">
        <v>8322</v>
      </c>
      <c r="R1405" t="s">
        <v>8323</v>
      </c>
      <c r="S1405" s="17">
        <f t="shared" si="90"/>
        <v>41451.062905092593</v>
      </c>
      <c r="T1405" s="17">
        <f t="shared" si="91"/>
        <v>41481.062905092593</v>
      </c>
      <c r="U1405">
        <f>MONTH(Table1[[#This Row],[Launched]])</f>
        <v>6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 s="8">
        <v>1424607285</v>
      </c>
      <c r="J1406">
        <v>1422447285</v>
      </c>
      <c r="K1406" t="b">
        <v>1</v>
      </c>
      <c r="L1406" s="10">
        <v>5</v>
      </c>
      <c r="M1406" t="b">
        <v>0</v>
      </c>
      <c r="N1406" t="s">
        <v>8285</v>
      </c>
      <c r="O1406" s="11">
        <f t="shared" si="88"/>
        <v>2</v>
      </c>
      <c r="P1406" s="12">
        <f t="shared" si="89"/>
        <v>48</v>
      </c>
      <c r="Q1406" s="14" t="s">
        <v>8319</v>
      </c>
      <c r="R1406" t="s">
        <v>8338</v>
      </c>
      <c r="S1406" s="17">
        <f t="shared" si="90"/>
        <v>42032.510243055556</v>
      </c>
      <c r="T1406" s="17">
        <f t="shared" si="91"/>
        <v>42057.510243055556</v>
      </c>
      <c r="U1406">
        <f>MONTH(Table1[[#This Row],[Launched]])</f>
        <v>1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 s="8">
        <v>1417195201</v>
      </c>
      <c r="J1407">
        <v>1414599601</v>
      </c>
      <c r="K1407" t="b">
        <v>1</v>
      </c>
      <c r="L1407" s="10">
        <v>17</v>
      </c>
      <c r="M1407" t="b">
        <v>0</v>
      </c>
      <c r="N1407" t="s">
        <v>8285</v>
      </c>
      <c r="O1407" s="11">
        <f t="shared" si="88"/>
        <v>0</v>
      </c>
      <c r="P1407" s="12">
        <f t="shared" si="89"/>
        <v>6</v>
      </c>
      <c r="Q1407" s="14" t="s">
        <v>8319</v>
      </c>
      <c r="R1407" t="s">
        <v>8338</v>
      </c>
      <c r="S1407" s="17">
        <f t="shared" si="90"/>
        <v>41941.680567129632</v>
      </c>
      <c r="T1407" s="17">
        <f t="shared" si="91"/>
        <v>41971.722233796296</v>
      </c>
      <c r="U1407">
        <f>MONTH(Table1[[#This Row],[Launched]])</f>
        <v>10</v>
      </c>
    </row>
    <row r="1408" spans="1:21" ht="15.6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8220</v>
      </c>
      <c r="G1408" t="s">
        <v>8236</v>
      </c>
      <c r="H1408" t="s">
        <v>8248</v>
      </c>
      <c r="I1408" s="8">
        <v>1449914400</v>
      </c>
      <c r="J1408">
        <v>1445336607</v>
      </c>
      <c r="K1408" t="b">
        <v>0</v>
      </c>
      <c r="L1408" s="10">
        <v>3</v>
      </c>
      <c r="M1408" t="b">
        <v>0</v>
      </c>
      <c r="N1408" t="s">
        <v>8285</v>
      </c>
      <c r="O1408" s="11">
        <f t="shared" si="88"/>
        <v>0</v>
      </c>
      <c r="P1408" s="12">
        <f t="shared" si="89"/>
        <v>5</v>
      </c>
      <c r="Q1408" s="14" t="s">
        <v>8319</v>
      </c>
      <c r="R1408" t="s">
        <v>8338</v>
      </c>
      <c r="S1408" s="17">
        <f t="shared" si="90"/>
        <v>42297.432951388888</v>
      </c>
      <c r="T1408" s="17">
        <f t="shared" si="91"/>
        <v>42350.416666666672</v>
      </c>
      <c r="U1408">
        <f>MONTH(Table1[[#This Row],[Launched]])</f>
        <v>10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8220</v>
      </c>
      <c r="G1409" t="s">
        <v>8223</v>
      </c>
      <c r="H1409" t="s">
        <v>8245</v>
      </c>
      <c r="I1409" s="8">
        <v>1407847978</v>
      </c>
      <c r="J1409">
        <v>1405687978</v>
      </c>
      <c r="K1409" t="b">
        <v>0</v>
      </c>
      <c r="L1409" s="10">
        <v>2</v>
      </c>
      <c r="M1409" t="b">
        <v>0</v>
      </c>
      <c r="N1409" t="s">
        <v>8285</v>
      </c>
      <c r="O1409" s="11">
        <f t="shared" si="88"/>
        <v>1</v>
      </c>
      <c r="P1409" s="12">
        <f t="shared" si="89"/>
        <v>8</v>
      </c>
      <c r="Q1409" s="14" t="s">
        <v>8319</v>
      </c>
      <c r="R1409" t="s">
        <v>8338</v>
      </c>
      <c r="S1409" s="17">
        <f t="shared" si="90"/>
        <v>41838.536782407406</v>
      </c>
      <c r="T1409" s="17">
        <f t="shared" si="91"/>
        <v>41863.536782407406</v>
      </c>
      <c r="U1409">
        <f>MONTH(Table1[[#This Row],[Launched]])</f>
        <v>7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8220</v>
      </c>
      <c r="G1410" t="s">
        <v>8224</v>
      </c>
      <c r="H1410" t="s">
        <v>8246</v>
      </c>
      <c r="I1410" s="8">
        <v>1447451756</v>
      </c>
      <c r="J1410">
        <v>1444856156</v>
      </c>
      <c r="K1410" t="b">
        <v>0</v>
      </c>
      <c r="L1410" s="10">
        <v>6</v>
      </c>
      <c r="M1410" t="b">
        <v>0</v>
      </c>
      <c r="N1410" t="s">
        <v>8285</v>
      </c>
      <c r="O1410" s="11">
        <f t="shared" ref="O1410:O1473" si="92">ROUND(E1410/D1410*100,0)</f>
        <v>7</v>
      </c>
      <c r="P1410" s="12">
        <f t="shared" si="89"/>
        <v>12</v>
      </c>
      <c r="Q1410" s="14" t="s">
        <v>8319</v>
      </c>
      <c r="R1410" t="s">
        <v>8338</v>
      </c>
      <c r="S1410" s="17">
        <f t="shared" si="90"/>
        <v>42291.872175925921</v>
      </c>
      <c r="T1410" s="17">
        <f t="shared" si="91"/>
        <v>42321.913842592592</v>
      </c>
      <c r="U1410">
        <f>MONTH(Table1[[#This Row],[Launched]])</f>
        <v>10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8220</v>
      </c>
      <c r="G1411" t="s">
        <v>8223</v>
      </c>
      <c r="H1411" t="s">
        <v>8245</v>
      </c>
      <c r="I1411" s="8">
        <v>1420085535</v>
      </c>
      <c r="J1411">
        <v>1414897935</v>
      </c>
      <c r="K1411" t="b">
        <v>0</v>
      </c>
      <c r="L1411" s="10">
        <v>0</v>
      </c>
      <c r="M1411" t="b">
        <v>0</v>
      </c>
      <c r="N1411" t="s">
        <v>8285</v>
      </c>
      <c r="O1411" s="11">
        <f t="shared" si="92"/>
        <v>0</v>
      </c>
      <c r="P1411" s="12" t="str">
        <f t="shared" ref="P1411:P1474" si="93">IFERROR(ROUND(E1411/L1411,),"No Backers")</f>
        <v>No Backers</v>
      </c>
      <c r="Q1411" s="14" t="s">
        <v>8319</v>
      </c>
      <c r="R1411" t="s">
        <v>8338</v>
      </c>
      <c r="S1411" s="17">
        <f t="shared" ref="S1411:S1474" si="94">(((J1411/60)/60)/24)+DATE(1970,1,1)</f>
        <v>41945.133506944447</v>
      </c>
      <c r="T1411" s="17">
        <f t="shared" ref="T1411:T1474" si="95">(((I1411/60)/60)/24)+DATE(1970,1,1)</f>
        <v>42005.175173611111</v>
      </c>
      <c r="U1411">
        <f>MONTH(Table1[[#This Row],[Launched]])</f>
        <v>11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8220</v>
      </c>
      <c r="G1412" t="s">
        <v>8236</v>
      </c>
      <c r="H1412" t="s">
        <v>8248</v>
      </c>
      <c r="I1412" s="8">
        <v>1464939520</v>
      </c>
      <c r="J1412">
        <v>1461051520</v>
      </c>
      <c r="K1412" t="b">
        <v>0</v>
      </c>
      <c r="L1412" s="10">
        <v>1</v>
      </c>
      <c r="M1412" t="b">
        <v>0</v>
      </c>
      <c r="N1412" t="s">
        <v>8285</v>
      </c>
      <c r="O1412" s="11">
        <f t="shared" si="92"/>
        <v>0</v>
      </c>
      <c r="P1412" s="12">
        <f t="shared" si="93"/>
        <v>1</v>
      </c>
      <c r="Q1412" s="14" t="s">
        <v>8319</v>
      </c>
      <c r="R1412" t="s">
        <v>8338</v>
      </c>
      <c r="S1412" s="17">
        <f t="shared" si="94"/>
        <v>42479.318518518514</v>
      </c>
      <c r="T1412" s="17">
        <f t="shared" si="95"/>
        <v>42524.318518518514</v>
      </c>
      <c r="U1412">
        <f>MONTH(Table1[[#This Row],[Launched]])</f>
        <v>4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8220</v>
      </c>
      <c r="G1413" t="s">
        <v>8224</v>
      </c>
      <c r="H1413" t="s">
        <v>8246</v>
      </c>
      <c r="I1413" s="8">
        <v>1423185900</v>
      </c>
      <c r="J1413">
        <v>1420766700</v>
      </c>
      <c r="K1413" t="b">
        <v>0</v>
      </c>
      <c r="L1413" s="10">
        <v>3</v>
      </c>
      <c r="M1413" t="b">
        <v>0</v>
      </c>
      <c r="N1413" t="s">
        <v>8285</v>
      </c>
      <c r="O1413" s="11">
        <f t="shared" si="92"/>
        <v>0</v>
      </c>
      <c r="P1413" s="12">
        <f t="shared" si="93"/>
        <v>2</v>
      </c>
      <c r="Q1413" s="14" t="s">
        <v>8319</v>
      </c>
      <c r="R1413" t="s">
        <v>8338</v>
      </c>
      <c r="S1413" s="17">
        <f t="shared" si="94"/>
        <v>42013.059027777781</v>
      </c>
      <c r="T1413" s="17">
        <f t="shared" si="95"/>
        <v>42041.059027777781</v>
      </c>
      <c r="U1413">
        <f>MONTH(Table1[[#This Row],[Launched]])</f>
        <v>1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8220</v>
      </c>
      <c r="G1414" t="s">
        <v>8223</v>
      </c>
      <c r="H1414" t="s">
        <v>8245</v>
      </c>
      <c r="I1414" s="8">
        <v>1417656699</v>
      </c>
      <c r="J1414">
        <v>1415064699</v>
      </c>
      <c r="K1414" t="b">
        <v>0</v>
      </c>
      <c r="L1414" s="10">
        <v>13</v>
      </c>
      <c r="M1414" t="b">
        <v>0</v>
      </c>
      <c r="N1414" t="s">
        <v>8285</v>
      </c>
      <c r="O1414" s="11">
        <f t="shared" si="92"/>
        <v>5</v>
      </c>
      <c r="P1414" s="12">
        <f t="shared" si="93"/>
        <v>25</v>
      </c>
      <c r="Q1414" s="14" t="s">
        <v>8319</v>
      </c>
      <c r="R1414" t="s">
        <v>8338</v>
      </c>
      <c r="S1414" s="17">
        <f t="shared" si="94"/>
        <v>41947.063645833332</v>
      </c>
      <c r="T1414" s="17">
        <f t="shared" si="95"/>
        <v>41977.063645833332</v>
      </c>
      <c r="U1414">
        <f>MONTH(Table1[[#This Row],[Launched]])</f>
        <v>11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8220</v>
      </c>
      <c r="G1415" t="s">
        <v>8236</v>
      </c>
      <c r="H1415" t="s">
        <v>8248</v>
      </c>
      <c r="I1415" s="8">
        <v>1455964170</v>
      </c>
      <c r="J1415">
        <v>1450780170</v>
      </c>
      <c r="K1415" t="b">
        <v>0</v>
      </c>
      <c r="L1415" s="10">
        <v>1</v>
      </c>
      <c r="M1415" t="b">
        <v>0</v>
      </c>
      <c r="N1415" t="s">
        <v>8285</v>
      </c>
      <c r="O1415" s="11">
        <f t="shared" si="92"/>
        <v>5</v>
      </c>
      <c r="P1415" s="12">
        <f t="shared" si="93"/>
        <v>100</v>
      </c>
      <c r="Q1415" s="14" t="s">
        <v>8319</v>
      </c>
      <c r="R1415" t="s">
        <v>8338</v>
      </c>
      <c r="S1415" s="17">
        <f t="shared" si="94"/>
        <v>42360.437152777777</v>
      </c>
      <c r="T1415" s="17">
        <f t="shared" si="95"/>
        <v>42420.437152777777</v>
      </c>
      <c r="U1415">
        <f>MONTH(Table1[[#This Row],[Launched]])</f>
        <v>12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8220</v>
      </c>
      <c r="G1416" t="s">
        <v>8223</v>
      </c>
      <c r="H1416" t="s">
        <v>8245</v>
      </c>
      <c r="I1416" s="8">
        <v>1483423467</v>
      </c>
      <c r="J1416">
        <v>1480831467</v>
      </c>
      <c r="K1416" t="b">
        <v>0</v>
      </c>
      <c r="L1416" s="10">
        <v>1</v>
      </c>
      <c r="M1416" t="b">
        <v>0</v>
      </c>
      <c r="N1416" t="s">
        <v>8285</v>
      </c>
      <c r="O1416" s="11">
        <f t="shared" si="92"/>
        <v>0</v>
      </c>
      <c r="P1416" s="12">
        <f t="shared" si="93"/>
        <v>1</v>
      </c>
      <c r="Q1416" s="14" t="s">
        <v>8319</v>
      </c>
      <c r="R1416" t="s">
        <v>8338</v>
      </c>
      <c r="S1416" s="17">
        <f t="shared" si="94"/>
        <v>42708.25309027778</v>
      </c>
      <c r="T1416" s="17">
        <f t="shared" si="95"/>
        <v>42738.25309027778</v>
      </c>
      <c r="U1416">
        <f>MONTH(Table1[[#This Row],[Launched]])</f>
        <v>12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8220</v>
      </c>
      <c r="G1417" t="s">
        <v>8223</v>
      </c>
      <c r="H1417" t="s">
        <v>8245</v>
      </c>
      <c r="I1417" s="8">
        <v>1439741591</v>
      </c>
      <c r="J1417">
        <v>1436285591</v>
      </c>
      <c r="K1417" t="b">
        <v>0</v>
      </c>
      <c r="L1417" s="10">
        <v>9</v>
      </c>
      <c r="M1417" t="b">
        <v>0</v>
      </c>
      <c r="N1417" t="s">
        <v>8285</v>
      </c>
      <c r="O1417" s="11">
        <f t="shared" si="92"/>
        <v>18</v>
      </c>
      <c r="P1417" s="12">
        <f t="shared" si="93"/>
        <v>89</v>
      </c>
      <c r="Q1417" s="14" t="s">
        <v>8319</v>
      </c>
      <c r="R1417" t="s">
        <v>8338</v>
      </c>
      <c r="S1417" s="17">
        <f t="shared" si="94"/>
        <v>42192.675821759258</v>
      </c>
      <c r="T1417" s="17">
        <f t="shared" si="95"/>
        <v>42232.675821759258</v>
      </c>
      <c r="U1417">
        <f>MONTH(Table1[[#This Row],[Launched]])</f>
        <v>7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8220</v>
      </c>
      <c r="G1418" t="s">
        <v>8223</v>
      </c>
      <c r="H1418" t="s">
        <v>8245</v>
      </c>
      <c r="I1418" s="8">
        <v>1448147619</v>
      </c>
      <c r="J1418">
        <v>1445552019</v>
      </c>
      <c r="K1418" t="b">
        <v>0</v>
      </c>
      <c r="L1418" s="10">
        <v>0</v>
      </c>
      <c r="M1418" t="b">
        <v>0</v>
      </c>
      <c r="N1418" t="s">
        <v>8285</v>
      </c>
      <c r="O1418" s="11">
        <f t="shared" si="92"/>
        <v>0</v>
      </c>
      <c r="P1418" s="12" t="str">
        <f t="shared" si="93"/>
        <v>No Backers</v>
      </c>
      <c r="Q1418" s="14" t="s">
        <v>8319</v>
      </c>
      <c r="R1418" t="s">
        <v>8338</v>
      </c>
      <c r="S1418" s="17">
        <f t="shared" si="94"/>
        <v>42299.926145833335</v>
      </c>
      <c r="T1418" s="17">
        <f t="shared" si="95"/>
        <v>42329.967812499999</v>
      </c>
      <c r="U1418">
        <f>MONTH(Table1[[#This Row],[Launched]])</f>
        <v>10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8220</v>
      </c>
      <c r="G1419" t="s">
        <v>8223</v>
      </c>
      <c r="H1419" t="s">
        <v>8245</v>
      </c>
      <c r="I1419" s="8">
        <v>1442315460</v>
      </c>
      <c r="J1419">
        <v>1439696174</v>
      </c>
      <c r="K1419" t="b">
        <v>0</v>
      </c>
      <c r="L1419" s="10">
        <v>2</v>
      </c>
      <c r="M1419" t="b">
        <v>0</v>
      </c>
      <c r="N1419" t="s">
        <v>8285</v>
      </c>
      <c r="O1419" s="11">
        <f t="shared" si="92"/>
        <v>1</v>
      </c>
      <c r="P1419" s="12">
        <f t="shared" si="93"/>
        <v>28</v>
      </c>
      <c r="Q1419" s="14" t="s">
        <v>8319</v>
      </c>
      <c r="R1419" t="s">
        <v>8338</v>
      </c>
      <c r="S1419" s="17">
        <f t="shared" si="94"/>
        <v>42232.15016203704</v>
      </c>
      <c r="T1419" s="17">
        <f t="shared" si="95"/>
        <v>42262.465972222228</v>
      </c>
      <c r="U1419">
        <f>MONTH(Table1[[#This Row],[Launched]])</f>
        <v>8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8220</v>
      </c>
      <c r="G1420" t="s">
        <v>8226</v>
      </c>
      <c r="H1420" t="s">
        <v>8248</v>
      </c>
      <c r="I1420" s="8">
        <v>1456397834</v>
      </c>
      <c r="J1420">
        <v>1453805834</v>
      </c>
      <c r="K1420" t="b">
        <v>0</v>
      </c>
      <c r="L1420" s="10">
        <v>1</v>
      </c>
      <c r="M1420" t="b">
        <v>0</v>
      </c>
      <c r="N1420" t="s">
        <v>8285</v>
      </c>
      <c r="O1420" s="11">
        <f t="shared" si="92"/>
        <v>0</v>
      </c>
      <c r="P1420" s="12">
        <f t="shared" si="93"/>
        <v>6</v>
      </c>
      <c r="Q1420" s="14" t="s">
        <v>8319</v>
      </c>
      <c r="R1420" t="s">
        <v>8338</v>
      </c>
      <c r="S1420" s="17">
        <f t="shared" si="94"/>
        <v>42395.456412037034</v>
      </c>
      <c r="T1420" s="17">
        <f t="shared" si="95"/>
        <v>42425.456412037034</v>
      </c>
      <c r="U1420">
        <f>MONTH(Table1[[#This Row],[Launched]])</f>
        <v>1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8220</v>
      </c>
      <c r="G1421" t="s">
        <v>8223</v>
      </c>
      <c r="H1421" t="s">
        <v>8245</v>
      </c>
      <c r="I1421" s="8">
        <v>1476010619</v>
      </c>
      <c r="J1421">
        <v>1473418619</v>
      </c>
      <c r="K1421" t="b">
        <v>0</v>
      </c>
      <c r="L1421" s="10">
        <v>10</v>
      </c>
      <c r="M1421" t="b">
        <v>0</v>
      </c>
      <c r="N1421" t="s">
        <v>8285</v>
      </c>
      <c r="O1421" s="11">
        <f t="shared" si="92"/>
        <v>7</v>
      </c>
      <c r="P1421" s="12">
        <f t="shared" si="93"/>
        <v>45</v>
      </c>
      <c r="Q1421" s="14" t="s">
        <v>8319</v>
      </c>
      <c r="R1421" t="s">
        <v>8338</v>
      </c>
      <c r="S1421" s="17">
        <f t="shared" si="94"/>
        <v>42622.456238425926</v>
      </c>
      <c r="T1421" s="17">
        <f t="shared" si="95"/>
        <v>42652.456238425926</v>
      </c>
      <c r="U1421">
        <f>MONTH(Table1[[#This Row],[Launched]])</f>
        <v>9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8220</v>
      </c>
      <c r="G1422" t="s">
        <v>8223</v>
      </c>
      <c r="H1422" t="s">
        <v>8245</v>
      </c>
      <c r="I1422" s="8">
        <v>1467129686</v>
      </c>
      <c r="J1422">
        <v>1464969686</v>
      </c>
      <c r="K1422" t="b">
        <v>0</v>
      </c>
      <c r="L1422" s="10">
        <v>3</v>
      </c>
      <c r="M1422" t="b">
        <v>0</v>
      </c>
      <c r="N1422" t="s">
        <v>8285</v>
      </c>
      <c r="O1422" s="11">
        <f t="shared" si="92"/>
        <v>3</v>
      </c>
      <c r="P1422" s="12">
        <f t="shared" si="93"/>
        <v>1</v>
      </c>
      <c r="Q1422" s="14" t="s">
        <v>8319</v>
      </c>
      <c r="R1422" t="s">
        <v>8338</v>
      </c>
      <c r="S1422" s="17">
        <f t="shared" si="94"/>
        <v>42524.667662037042</v>
      </c>
      <c r="T1422" s="17">
        <f t="shared" si="95"/>
        <v>42549.667662037042</v>
      </c>
      <c r="U1422">
        <f>MONTH(Table1[[#This Row],[Launched]])</f>
        <v>6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 s="8">
        <v>1423432709</v>
      </c>
      <c r="J1423">
        <v>1420840709</v>
      </c>
      <c r="K1423" t="b">
        <v>0</v>
      </c>
      <c r="L1423" s="10">
        <v>2</v>
      </c>
      <c r="M1423" t="b">
        <v>0</v>
      </c>
      <c r="N1423" t="s">
        <v>8285</v>
      </c>
      <c r="O1423" s="11">
        <f t="shared" si="92"/>
        <v>0</v>
      </c>
      <c r="P1423" s="12">
        <f t="shared" si="93"/>
        <v>100</v>
      </c>
      <c r="Q1423" s="14" t="s">
        <v>8319</v>
      </c>
      <c r="R1423" t="s">
        <v>8338</v>
      </c>
      <c r="S1423" s="17">
        <f t="shared" si="94"/>
        <v>42013.915613425925</v>
      </c>
      <c r="T1423" s="17">
        <f t="shared" si="95"/>
        <v>42043.915613425925</v>
      </c>
      <c r="U1423">
        <f>MONTH(Table1[[#This Row],[Launched]])</f>
        <v>1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8220</v>
      </c>
      <c r="G1424" t="s">
        <v>8227</v>
      </c>
      <c r="H1424" t="s">
        <v>8249</v>
      </c>
      <c r="I1424" s="8">
        <v>1474436704</v>
      </c>
      <c r="J1424">
        <v>1471844704</v>
      </c>
      <c r="K1424" t="b">
        <v>0</v>
      </c>
      <c r="L1424" s="10">
        <v>2</v>
      </c>
      <c r="M1424" t="b">
        <v>0</v>
      </c>
      <c r="N1424" t="s">
        <v>8285</v>
      </c>
      <c r="O1424" s="11">
        <f t="shared" si="92"/>
        <v>0</v>
      </c>
      <c r="P1424" s="12">
        <f t="shared" si="93"/>
        <v>13</v>
      </c>
      <c r="Q1424" s="14" t="s">
        <v>8319</v>
      </c>
      <c r="R1424" t="s">
        <v>8338</v>
      </c>
      <c r="S1424" s="17">
        <f t="shared" si="94"/>
        <v>42604.239629629628</v>
      </c>
      <c r="T1424" s="17">
        <f t="shared" si="95"/>
        <v>42634.239629629628</v>
      </c>
      <c r="U1424">
        <f>MONTH(Table1[[#This Row],[Launched]])</f>
        <v>8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 s="8">
        <v>1451637531</v>
      </c>
      <c r="J1425">
        <v>1449045531</v>
      </c>
      <c r="K1425" t="b">
        <v>0</v>
      </c>
      <c r="L1425" s="10">
        <v>1</v>
      </c>
      <c r="M1425" t="b">
        <v>0</v>
      </c>
      <c r="N1425" t="s">
        <v>8285</v>
      </c>
      <c r="O1425" s="11">
        <f t="shared" si="92"/>
        <v>0</v>
      </c>
      <c r="P1425" s="12">
        <f t="shared" si="93"/>
        <v>100</v>
      </c>
      <c r="Q1425" s="14" t="s">
        <v>8319</v>
      </c>
      <c r="R1425" t="s">
        <v>8338</v>
      </c>
      <c r="S1425" s="17">
        <f t="shared" si="94"/>
        <v>42340.360312500001</v>
      </c>
      <c r="T1425" s="17">
        <f t="shared" si="95"/>
        <v>42370.360312500001</v>
      </c>
      <c r="U1425">
        <f>MONTH(Table1[[#This Row],[Launched]])</f>
        <v>12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 s="8">
        <v>1479233602</v>
      </c>
      <c r="J1426">
        <v>1478106802</v>
      </c>
      <c r="K1426" t="b">
        <v>0</v>
      </c>
      <c r="L1426" s="10">
        <v>14</v>
      </c>
      <c r="M1426" t="b">
        <v>0</v>
      </c>
      <c r="N1426" t="s">
        <v>8285</v>
      </c>
      <c r="O1426" s="11">
        <f t="shared" si="92"/>
        <v>20</v>
      </c>
      <c r="P1426" s="12">
        <f t="shared" si="93"/>
        <v>109</v>
      </c>
      <c r="Q1426" s="14" t="s">
        <v>8319</v>
      </c>
      <c r="R1426" t="s">
        <v>8338</v>
      </c>
      <c r="S1426" s="17">
        <f t="shared" si="94"/>
        <v>42676.717615740738</v>
      </c>
      <c r="T1426" s="17">
        <f t="shared" si="95"/>
        <v>42689.759282407409</v>
      </c>
      <c r="U1426">
        <f>MONTH(Table1[[#This Row],[Launched]])</f>
        <v>11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8220</v>
      </c>
      <c r="G1427" t="s">
        <v>8223</v>
      </c>
      <c r="H1427" t="s">
        <v>8245</v>
      </c>
      <c r="I1427" s="8">
        <v>1430276959</v>
      </c>
      <c r="J1427">
        <v>1427684959</v>
      </c>
      <c r="K1427" t="b">
        <v>0</v>
      </c>
      <c r="L1427" s="10">
        <v>0</v>
      </c>
      <c r="M1427" t="b">
        <v>0</v>
      </c>
      <c r="N1427" t="s">
        <v>8285</v>
      </c>
      <c r="O1427" s="11">
        <f t="shared" si="92"/>
        <v>0</v>
      </c>
      <c r="P1427" s="12" t="str">
        <f t="shared" si="93"/>
        <v>No Backers</v>
      </c>
      <c r="Q1427" s="14" t="s">
        <v>8319</v>
      </c>
      <c r="R1427" t="s">
        <v>8338</v>
      </c>
      <c r="S1427" s="17">
        <f t="shared" si="94"/>
        <v>42093.131469907406</v>
      </c>
      <c r="T1427" s="17">
        <f t="shared" si="95"/>
        <v>42123.131469907406</v>
      </c>
      <c r="U1427">
        <f>MONTH(Table1[[#This Row],[Launched]])</f>
        <v>3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8220</v>
      </c>
      <c r="G1428" t="s">
        <v>8235</v>
      </c>
      <c r="H1428" t="s">
        <v>8248</v>
      </c>
      <c r="I1428" s="8">
        <v>1440408120</v>
      </c>
      <c r="J1428">
        <v>1435224120</v>
      </c>
      <c r="K1428" t="b">
        <v>0</v>
      </c>
      <c r="L1428" s="10">
        <v>0</v>
      </c>
      <c r="M1428" t="b">
        <v>0</v>
      </c>
      <c r="N1428" t="s">
        <v>8285</v>
      </c>
      <c r="O1428" s="11">
        <f t="shared" si="92"/>
        <v>0</v>
      </c>
      <c r="P1428" s="12" t="str">
        <f t="shared" si="93"/>
        <v>No Backers</v>
      </c>
      <c r="Q1428" s="14" t="s">
        <v>8319</v>
      </c>
      <c r="R1428" t="s">
        <v>8338</v>
      </c>
      <c r="S1428" s="17">
        <f t="shared" si="94"/>
        <v>42180.390277777777</v>
      </c>
      <c r="T1428" s="17">
        <f t="shared" si="95"/>
        <v>42240.390277777777</v>
      </c>
      <c r="U1428">
        <f>MONTH(Table1[[#This Row],[Launched]])</f>
        <v>6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8220</v>
      </c>
      <c r="G1429" t="s">
        <v>8235</v>
      </c>
      <c r="H1429" t="s">
        <v>8248</v>
      </c>
      <c r="I1429" s="8">
        <v>1474230385</v>
      </c>
      <c r="J1429">
        <v>1471638385</v>
      </c>
      <c r="K1429" t="b">
        <v>0</v>
      </c>
      <c r="L1429" s="10">
        <v>4</v>
      </c>
      <c r="M1429" t="b">
        <v>0</v>
      </c>
      <c r="N1429" t="s">
        <v>8285</v>
      </c>
      <c r="O1429" s="11">
        <f t="shared" si="92"/>
        <v>8</v>
      </c>
      <c r="P1429" s="12">
        <f t="shared" si="93"/>
        <v>105</v>
      </c>
      <c r="Q1429" s="14" t="s">
        <v>8319</v>
      </c>
      <c r="R1429" t="s">
        <v>8338</v>
      </c>
      <c r="S1429" s="17">
        <f t="shared" si="94"/>
        <v>42601.851678240739</v>
      </c>
      <c r="T1429" s="17">
        <f t="shared" si="95"/>
        <v>42631.851678240739</v>
      </c>
      <c r="U1429">
        <f>MONTH(Table1[[#This Row],[Launched]])</f>
        <v>8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8220</v>
      </c>
      <c r="G1430" t="s">
        <v>8226</v>
      </c>
      <c r="H1430" t="s">
        <v>8248</v>
      </c>
      <c r="I1430" s="8">
        <v>1459584417</v>
      </c>
      <c r="J1430">
        <v>1456996017</v>
      </c>
      <c r="K1430" t="b">
        <v>0</v>
      </c>
      <c r="L1430" s="10">
        <v>3</v>
      </c>
      <c r="M1430" t="b">
        <v>0</v>
      </c>
      <c r="N1430" t="s">
        <v>8285</v>
      </c>
      <c r="O1430" s="11">
        <f t="shared" si="92"/>
        <v>5</v>
      </c>
      <c r="P1430" s="12">
        <f t="shared" si="93"/>
        <v>15</v>
      </c>
      <c r="Q1430" s="14" t="s">
        <v>8319</v>
      </c>
      <c r="R1430" t="s">
        <v>8338</v>
      </c>
      <c r="S1430" s="17">
        <f t="shared" si="94"/>
        <v>42432.379826388889</v>
      </c>
      <c r="T1430" s="17">
        <f t="shared" si="95"/>
        <v>42462.338159722218</v>
      </c>
      <c r="U1430">
        <f>MONTH(Table1[[#This Row],[Launched]])</f>
        <v>3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8220</v>
      </c>
      <c r="G1431" t="s">
        <v>8223</v>
      </c>
      <c r="H1431" t="s">
        <v>8245</v>
      </c>
      <c r="I1431" s="8">
        <v>1428629242</v>
      </c>
      <c r="J1431">
        <v>1426037242</v>
      </c>
      <c r="K1431" t="b">
        <v>0</v>
      </c>
      <c r="L1431" s="10">
        <v>0</v>
      </c>
      <c r="M1431" t="b">
        <v>0</v>
      </c>
      <c r="N1431" t="s">
        <v>8285</v>
      </c>
      <c r="O1431" s="11">
        <f t="shared" si="92"/>
        <v>0</v>
      </c>
      <c r="P1431" s="12" t="str">
        <f t="shared" si="93"/>
        <v>No Backers</v>
      </c>
      <c r="Q1431" s="14" t="s">
        <v>8319</v>
      </c>
      <c r="R1431" t="s">
        <v>8338</v>
      </c>
      <c r="S1431" s="17">
        <f t="shared" si="94"/>
        <v>42074.060671296291</v>
      </c>
      <c r="T1431" s="17">
        <f t="shared" si="95"/>
        <v>42104.060671296291</v>
      </c>
      <c r="U1431">
        <f>MONTH(Table1[[#This Row],[Launched]])</f>
        <v>3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8220</v>
      </c>
      <c r="G1432" t="s">
        <v>8223</v>
      </c>
      <c r="H1432" t="s">
        <v>8245</v>
      </c>
      <c r="I1432" s="8">
        <v>1419017488</v>
      </c>
      <c r="J1432">
        <v>1416339088</v>
      </c>
      <c r="K1432" t="b">
        <v>0</v>
      </c>
      <c r="L1432" s="10">
        <v>5</v>
      </c>
      <c r="M1432" t="b">
        <v>0</v>
      </c>
      <c r="N1432" t="s">
        <v>8285</v>
      </c>
      <c r="O1432" s="11">
        <f t="shared" si="92"/>
        <v>8</v>
      </c>
      <c r="P1432" s="12">
        <f t="shared" si="93"/>
        <v>81</v>
      </c>
      <c r="Q1432" s="14" t="s">
        <v>8319</v>
      </c>
      <c r="R1432" t="s">
        <v>8338</v>
      </c>
      <c r="S1432" s="17">
        <f t="shared" si="94"/>
        <v>41961.813518518517</v>
      </c>
      <c r="T1432" s="17">
        <f t="shared" si="95"/>
        <v>41992.813518518517</v>
      </c>
      <c r="U1432">
        <f>MONTH(Table1[[#This Row],[Launched]])</f>
        <v>11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 s="8">
        <v>1448517816</v>
      </c>
      <c r="J1433">
        <v>1445922216</v>
      </c>
      <c r="K1433" t="b">
        <v>0</v>
      </c>
      <c r="L1433" s="10">
        <v>47</v>
      </c>
      <c r="M1433" t="b">
        <v>0</v>
      </c>
      <c r="N1433" t="s">
        <v>8285</v>
      </c>
      <c r="O1433" s="11">
        <f t="shared" si="92"/>
        <v>32</v>
      </c>
      <c r="P1433" s="12">
        <f t="shared" si="93"/>
        <v>116</v>
      </c>
      <c r="Q1433" s="14" t="s">
        <v>8319</v>
      </c>
      <c r="R1433" t="s">
        <v>8338</v>
      </c>
      <c r="S1433" s="17">
        <f t="shared" si="94"/>
        <v>42304.210833333331</v>
      </c>
      <c r="T1433" s="17">
        <f t="shared" si="95"/>
        <v>42334.252500000002</v>
      </c>
      <c r="U1433">
        <f>MONTH(Table1[[#This Row],[Launched]])</f>
        <v>10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8220</v>
      </c>
      <c r="G1434" t="s">
        <v>8223</v>
      </c>
      <c r="H1434" t="s">
        <v>8245</v>
      </c>
      <c r="I1434" s="8">
        <v>1437417828</v>
      </c>
      <c r="J1434">
        <v>1434825828</v>
      </c>
      <c r="K1434" t="b">
        <v>0</v>
      </c>
      <c r="L1434" s="10">
        <v>0</v>
      </c>
      <c r="M1434" t="b">
        <v>0</v>
      </c>
      <c r="N1434" t="s">
        <v>8285</v>
      </c>
      <c r="O1434" s="11">
        <f t="shared" si="92"/>
        <v>0</v>
      </c>
      <c r="P1434" s="12" t="str">
        <f t="shared" si="93"/>
        <v>No Backers</v>
      </c>
      <c r="Q1434" s="14" t="s">
        <v>8319</v>
      </c>
      <c r="R1434" t="s">
        <v>8338</v>
      </c>
      <c r="S1434" s="17">
        <f t="shared" si="94"/>
        <v>42175.780416666668</v>
      </c>
      <c r="T1434" s="17">
        <f t="shared" si="95"/>
        <v>42205.780416666668</v>
      </c>
      <c r="U1434">
        <f>MONTH(Table1[[#This Row],[Launched]])</f>
        <v>6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 s="8">
        <v>1481367600</v>
      </c>
      <c r="J1435">
        <v>1477839675</v>
      </c>
      <c r="K1435" t="b">
        <v>0</v>
      </c>
      <c r="L1435" s="10">
        <v>10</v>
      </c>
      <c r="M1435" t="b">
        <v>0</v>
      </c>
      <c r="N1435" t="s">
        <v>8285</v>
      </c>
      <c r="O1435" s="11">
        <f t="shared" si="92"/>
        <v>7</v>
      </c>
      <c r="P1435" s="12">
        <f t="shared" si="93"/>
        <v>81</v>
      </c>
      <c r="Q1435" s="14" t="s">
        <v>8319</v>
      </c>
      <c r="R1435" t="s">
        <v>8338</v>
      </c>
      <c r="S1435" s="17">
        <f t="shared" si="94"/>
        <v>42673.625868055555</v>
      </c>
      <c r="T1435" s="17">
        <f t="shared" si="95"/>
        <v>42714.458333333328</v>
      </c>
      <c r="U1435">
        <f>MONTH(Table1[[#This Row],[Launched]])</f>
        <v>10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 s="8">
        <v>1433775600</v>
      </c>
      <c r="J1436">
        <v>1431973478</v>
      </c>
      <c r="K1436" t="b">
        <v>0</v>
      </c>
      <c r="L1436" s="10">
        <v>11</v>
      </c>
      <c r="M1436" t="b">
        <v>0</v>
      </c>
      <c r="N1436" t="s">
        <v>8285</v>
      </c>
      <c r="O1436" s="11">
        <f t="shared" si="92"/>
        <v>10</v>
      </c>
      <c r="P1436" s="12">
        <f t="shared" si="93"/>
        <v>745</v>
      </c>
      <c r="Q1436" s="14" t="s">
        <v>8319</v>
      </c>
      <c r="R1436" t="s">
        <v>8338</v>
      </c>
      <c r="S1436" s="17">
        <f t="shared" si="94"/>
        <v>42142.767106481479</v>
      </c>
      <c r="T1436" s="17">
        <f t="shared" si="95"/>
        <v>42163.625</v>
      </c>
      <c r="U1436">
        <f>MONTH(Table1[[#This Row],[Launched]])</f>
        <v>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8220</v>
      </c>
      <c r="G1437" t="s">
        <v>8236</v>
      </c>
      <c r="H1437" t="s">
        <v>8248</v>
      </c>
      <c r="I1437" s="8">
        <v>1444589020</v>
      </c>
      <c r="J1437">
        <v>1441997020</v>
      </c>
      <c r="K1437" t="b">
        <v>0</v>
      </c>
      <c r="L1437" s="10">
        <v>2</v>
      </c>
      <c r="M1437" t="b">
        <v>0</v>
      </c>
      <c r="N1437" t="s">
        <v>8285</v>
      </c>
      <c r="O1437" s="11">
        <f t="shared" si="92"/>
        <v>0</v>
      </c>
      <c r="P1437" s="12">
        <f t="shared" si="93"/>
        <v>8</v>
      </c>
      <c r="Q1437" s="14" t="s">
        <v>8319</v>
      </c>
      <c r="R1437" t="s">
        <v>8338</v>
      </c>
      <c r="S1437" s="17">
        <f t="shared" si="94"/>
        <v>42258.780324074076</v>
      </c>
      <c r="T1437" s="17">
        <f t="shared" si="95"/>
        <v>42288.780324074076</v>
      </c>
      <c r="U1437">
        <f>MONTH(Table1[[#This Row],[Launched]])</f>
        <v>9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8220</v>
      </c>
      <c r="G1438" t="s">
        <v>8235</v>
      </c>
      <c r="H1438" t="s">
        <v>8248</v>
      </c>
      <c r="I1438" s="8">
        <v>1456043057</v>
      </c>
      <c r="J1438">
        <v>1453451057</v>
      </c>
      <c r="K1438" t="b">
        <v>0</v>
      </c>
      <c r="L1438" s="10">
        <v>2</v>
      </c>
      <c r="M1438" t="b">
        <v>0</v>
      </c>
      <c r="N1438" t="s">
        <v>8285</v>
      </c>
      <c r="O1438" s="11">
        <f t="shared" si="92"/>
        <v>1</v>
      </c>
      <c r="P1438" s="12">
        <f t="shared" si="93"/>
        <v>39</v>
      </c>
      <c r="Q1438" s="14" t="s">
        <v>8319</v>
      </c>
      <c r="R1438" t="s">
        <v>8338</v>
      </c>
      <c r="S1438" s="17">
        <f t="shared" si="94"/>
        <v>42391.35019675926</v>
      </c>
      <c r="T1438" s="17">
        <f t="shared" si="95"/>
        <v>42421.35019675926</v>
      </c>
      <c r="U1438">
        <f>MONTH(Table1[[#This Row],[Launched]])</f>
        <v>1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8220</v>
      </c>
      <c r="G1439" t="s">
        <v>8223</v>
      </c>
      <c r="H1439" t="s">
        <v>8245</v>
      </c>
      <c r="I1439" s="8">
        <v>1405227540</v>
      </c>
      <c r="J1439">
        <v>1402058739</v>
      </c>
      <c r="K1439" t="b">
        <v>0</v>
      </c>
      <c r="L1439" s="10">
        <v>22</v>
      </c>
      <c r="M1439" t="b">
        <v>0</v>
      </c>
      <c r="N1439" t="s">
        <v>8285</v>
      </c>
      <c r="O1439" s="11">
        <f t="shared" si="92"/>
        <v>27</v>
      </c>
      <c r="P1439" s="12">
        <f t="shared" si="93"/>
        <v>37</v>
      </c>
      <c r="Q1439" s="14" t="s">
        <v>8319</v>
      </c>
      <c r="R1439" t="s">
        <v>8338</v>
      </c>
      <c r="S1439" s="17">
        <f t="shared" si="94"/>
        <v>41796.531701388885</v>
      </c>
      <c r="T1439" s="17">
        <f t="shared" si="95"/>
        <v>41833.207638888889</v>
      </c>
      <c r="U1439">
        <f>MONTH(Table1[[#This Row],[Launched]])</f>
        <v>6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 s="8">
        <v>1461765300</v>
      </c>
      <c r="J1440">
        <v>1459198499</v>
      </c>
      <c r="K1440" t="b">
        <v>0</v>
      </c>
      <c r="L1440" s="10">
        <v>8</v>
      </c>
      <c r="M1440" t="b">
        <v>0</v>
      </c>
      <c r="N1440" t="s">
        <v>8285</v>
      </c>
      <c r="O1440" s="11">
        <f t="shared" si="92"/>
        <v>3</v>
      </c>
      <c r="P1440" s="12">
        <f t="shared" si="93"/>
        <v>75</v>
      </c>
      <c r="Q1440" s="14" t="s">
        <v>8319</v>
      </c>
      <c r="R1440" t="s">
        <v>8338</v>
      </c>
      <c r="S1440" s="17">
        <f t="shared" si="94"/>
        <v>42457.871516203704</v>
      </c>
      <c r="T1440" s="17">
        <f t="shared" si="95"/>
        <v>42487.579861111109</v>
      </c>
      <c r="U1440">
        <f>MONTH(Table1[[#This Row],[Launched]])</f>
        <v>3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8220</v>
      </c>
      <c r="G1441" t="s">
        <v>8228</v>
      </c>
      <c r="H1441" t="s">
        <v>8250</v>
      </c>
      <c r="I1441" s="8">
        <v>1425758101</v>
      </c>
      <c r="J1441">
        <v>1423166101</v>
      </c>
      <c r="K1441" t="b">
        <v>0</v>
      </c>
      <c r="L1441" s="10">
        <v>6</v>
      </c>
      <c r="M1441" t="b">
        <v>0</v>
      </c>
      <c r="N1441" t="s">
        <v>8285</v>
      </c>
      <c r="O1441" s="11">
        <f t="shared" si="92"/>
        <v>7</v>
      </c>
      <c r="P1441" s="12">
        <f t="shared" si="93"/>
        <v>30</v>
      </c>
      <c r="Q1441" s="14" t="s">
        <v>8319</v>
      </c>
      <c r="R1441" t="s">
        <v>8338</v>
      </c>
      <c r="S1441" s="17">
        <f t="shared" si="94"/>
        <v>42040.829872685179</v>
      </c>
      <c r="T1441" s="17">
        <f t="shared" si="95"/>
        <v>42070.829872685179</v>
      </c>
      <c r="U1441">
        <f>MONTH(Table1[[#This Row],[Launched]])</f>
        <v>2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8220</v>
      </c>
      <c r="G1442" t="s">
        <v>8236</v>
      </c>
      <c r="H1442" t="s">
        <v>8248</v>
      </c>
      <c r="I1442" s="8">
        <v>1464285463</v>
      </c>
      <c r="J1442">
        <v>1461693463</v>
      </c>
      <c r="K1442" t="b">
        <v>0</v>
      </c>
      <c r="L1442" s="10">
        <v>1</v>
      </c>
      <c r="M1442" t="b">
        <v>0</v>
      </c>
      <c r="N1442" t="s">
        <v>8285</v>
      </c>
      <c r="O1442" s="11">
        <f t="shared" si="92"/>
        <v>0</v>
      </c>
      <c r="P1442" s="12">
        <f t="shared" si="93"/>
        <v>1</v>
      </c>
      <c r="Q1442" s="14" t="s">
        <v>8319</v>
      </c>
      <c r="R1442" t="s">
        <v>8338</v>
      </c>
      <c r="S1442" s="17">
        <f t="shared" si="94"/>
        <v>42486.748414351852</v>
      </c>
      <c r="T1442" s="17">
        <f t="shared" si="95"/>
        <v>42516.748414351852</v>
      </c>
      <c r="U1442">
        <f>MONTH(Table1[[#This Row],[Launched]])</f>
        <v>4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 s="8">
        <v>1441995769</v>
      </c>
      <c r="J1443">
        <v>1436811769</v>
      </c>
      <c r="K1443" t="b">
        <v>0</v>
      </c>
      <c r="L1443" s="10">
        <v>3</v>
      </c>
      <c r="M1443" t="b">
        <v>0</v>
      </c>
      <c r="N1443" t="s">
        <v>8285</v>
      </c>
      <c r="O1443" s="11">
        <f t="shared" si="92"/>
        <v>1</v>
      </c>
      <c r="P1443" s="12">
        <f t="shared" si="93"/>
        <v>673</v>
      </c>
      <c r="Q1443" s="14" t="s">
        <v>8319</v>
      </c>
      <c r="R1443" t="s">
        <v>8338</v>
      </c>
      <c r="S1443" s="17">
        <f t="shared" si="94"/>
        <v>42198.765844907408</v>
      </c>
      <c r="T1443" s="17">
        <f t="shared" si="95"/>
        <v>42258.765844907408</v>
      </c>
      <c r="U1443">
        <f>MONTH(Table1[[#This Row],[Launched]])</f>
        <v>7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8220</v>
      </c>
      <c r="G1444" t="s">
        <v>8223</v>
      </c>
      <c r="H1444" t="s">
        <v>8245</v>
      </c>
      <c r="I1444" s="8">
        <v>1464190158</v>
      </c>
      <c r="J1444">
        <v>1461598158</v>
      </c>
      <c r="K1444" t="b">
        <v>0</v>
      </c>
      <c r="L1444" s="10">
        <v>0</v>
      </c>
      <c r="M1444" t="b">
        <v>0</v>
      </c>
      <c r="N1444" t="s">
        <v>8285</v>
      </c>
      <c r="O1444" s="11">
        <f t="shared" si="92"/>
        <v>0</v>
      </c>
      <c r="P1444" s="12" t="str">
        <f t="shared" si="93"/>
        <v>No Backers</v>
      </c>
      <c r="Q1444" s="14" t="s">
        <v>8319</v>
      </c>
      <c r="R1444" t="s">
        <v>8338</v>
      </c>
      <c r="S1444" s="17">
        <f t="shared" si="94"/>
        <v>42485.64534722222</v>
      </c>
      <c r="T1444" s="17">
        <f t="shared" si="95"/>
        <v>42515.64534722222</v>
      </c>
      <c r="U1444">
        <f>MONTH(Table1[[#This Row],[Launched]])</f>
        <v>4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8220</v>
      </c>
      <c r="G1445" t="s">
        <v>8229</v>
      </c>
      <c r="H1445" t="s">
        <v>8248</v>
      </c>
      <c r="I1445" s="8">
        <v>1483395209</v>
      </c>
      <c r="J1445">
        <v>1480803209</v>
      </c>
      <c r="K1445" t="b">
        <v>0</v>
      </c>
      <c r="L1445" s="10">
        <v>0</v>
      </c>
      <c r="M1445" t="b">
        <v>0</v>
      </c>
      <c r="N1445" t="s">
        <v>8285</v>
      </c>
      <c r="O1445" s="11">
        <f t="shared" si="92"/>
        <v>0</v>
      </c>
      <c r="P1445" s="12" t="str">
        <f t="shared" si="93"/>
        <v>No Backers</v>
      </c>
      <c r="Q1445" s="14" t="s">
        <v>8319</v>
      </c>
      <c r="R1445" t="s">
        <v>8338</v>
      </c>
      <c r="S1445" s="17">
        <f t="shared" si="94"/>
        <v>42707.926030092596</v>
      </c>
      <c r="T1445" s="17">
        <f t="shared" si="95"/>
        <v>42737.926030092596</v>
      </c>
      <c r="U1445">
        <f>MONTH(Table1[[#This Row],[Launched]])</f>
        <v>12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8220</v>
      </c>
      <c r="G1446" t="s">
        <v>8235</v>
      </c>
      <c r="H1446" t="s">
        <v>8248</v>
      </c>
      <c r="I1446" s="8">
        <v>1442091462</v>
      </c>
      <c r="J1446">
        <v>1436907462</v>
      </c>
      <c r="K1446" t="b">
        <v>0</v>
      </c>
      <c r="L1446" s="10">
        <v>0</v>
      </c>
      <c r="M1446" t="b">
        <v>0</v>
      </c>
      <c r="N1446" t="s">
        <v>8285</v>
      </c>
      <c r="O1446" s="11">
        <f t="shared" si="92"/>
        <v>0</v>
      </c>
      <c r="P1446" s="12" t="str">
        <f t="shared" si="93"/>
        <v>No Backers</v>
      </c>
      <c r="Q1446" s="14" t="s">
        <v>8319</v>
      </c>
      <c r="R1446" t="s">
        <v>8338</v>
      </c>
      <c r="S1446" s="17">
        <f t="shared" si="94"/>
        <v>42199.873402777783</v>
      </c>
      <c r="T1446" s="17">
        <f t="shared" si="95"/>
        <v>42259.873402777783</v>
      </c>
      <c r="U1446">
        <f>MONTH(Table1[[#This Row],[Launched]])</f>
        <v>7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8220</v>
      </c>
      <c r="G1447" t="s">
        <v>8235</v>
      </c>
      <c r="H1447" t="s">
        <v>8248</v>
      </c>
      <c r="I1447" s="8">
        <v>1434286855</v>
      </c>
      <c r="J1447">
        <v>1431694855</v>
      </c>
      <c r="K1447" t="b">
        <v>0</v>
      </c>
      <c r="L1447" s="10">
        <v>0</v>
      </c>
      <c r="M1447" t="b">
        <v>0</v>
      </c>
      <c r="N1447" t="s">
        <v>8285</v>
      </c>
      <c r="O1447" s="11">
        <f t="shared" si="92"/>
        <v>0</v>
      </c>
      <c r="P1447" s="12" t="str">
        <f t="shared" si="93"/>
        <v>No Backers</v>
      </c>
      <c r="Q1447" s="14" t="s">
        <v>8319</v>
      </c>
      <c r="R1447" t="s">
        <v>8338</v>
      </c>
      <c r="S1447" s="17">
        <f t="shared" si="94"/>
        <v>42139.542303240742</v>
      </c>
      <c r="T1447" s="17">
        <f t="shared" si="95"/>
        <v>42169.542303240742</v>
      </c>
      <c r="U1447">
        <f>MONTH(Table1[[#This Row],[Launched]])</f>
        <v>5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8220</v>
      </c>
      <c r="G1448" t="s">
        <v>8236</v>
      </c>
      <c r="H1448" t="s">
        <v>8248</v>
      </c>
      <c r="I1448" s="8">
        <v>1461235478</v>
      </c>
      <c r="J1448">
        <v>1459507478</v>
      </c>
      <c r="K1448" t="b">
        <v>0</v>
      </c>
      <c r="L1448" s="10">
        <v>0</v>
      </c>
      <c r="M1448" t="b">
        <v>0</v>
      </c>
      <c r="N1448" t="s">
        <v>8285</v>
      </c>
      <c r="O1448" s="11">
        <f t="shared" si="92"/>
        <v>0</v>
      </c>
      <c r="P1448" s="12" t="str">
        <f t="shared" si="93"/>
        <v>No Backers</v>
      </c>
      <c r="Q1448" s="14" t="s">
        <v>8319</v>
      </c>
      <c r="R1448" t="s">
        <v>8338</v>
      </c>
      <c r="S1448" s="17">
        <f t="shared" si="94"/>
        <v>42461.447662037041</v>
      </c>
      <c r="T1448" s="17">
        <f t="shared" si="95"/>
        <v>42481.447662037041</v>
      </c>
      <c r="U1448">
        <f>MONTH(Table1[[#This Row],[Launched]])</f>
        <v>4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 s="8">
        <v>1467999134</v>
      </c>
      <c r="J1449">
        <v>1465407134</v>
      </c>
      <c r="K1449" t="b">
        <v>0</v>
      </c>
      <c r="L1449" s="10">
        <v>3</v>
      </c>
      <c r="M1449" t="b">
        <v>0</v>
      </c>
      <c r="N1449" t="s">
        <v>8285</v>
      </c>
      <c r="O1449" s="11">
        <f t="shared" si="92"/>
        <v>0</v>
      </c>
      <c r="P1449" s="12">
        <f t="shared" si="93"/>
        <v>25</v>
      </c>
      <c r="Q1449" s="14" t="s">
        <v>8319</v>
      </c>
      <c r="R1449" t="s">
        <v>8338</v>
      </c>
      <c r="S1449" s="17">
        <f t="shared" si="94"/>
        <v>42529.730717592596</v>
      </c>
      <c r="T1449" s="17">
        <f t="shared" si="95"/>
        <v>42559.730717592596</v>
      </c>
      <c r="U1449">
        <f>MONTH(Table1[[#This Row],[Launched]])</f>
        <v>6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8220</v>
      </c>
      <c r="G1450" t="s">
        <v>8225</v>
      </c>
      <c r="H1450" t="s">
        <v>8247</v>
      </c>
      <c r="I1450" s="8">
        <v>1432272300</v>
      </c>
      <c r="J1450">
        <v>1429655318</v>
      </c>
      <c r="K1450" t="b">
        <v>0</v>
      </c>
      <c r="L1450" s="10">
        <v>0</v>
      </c>
      <c r="M1450" t="b">
        <v>0</v>
      </c>
      <c r="N1450" t="s">
        <v>8285</v>
      </c>
      <c r="O1450" s="11">
        <f t="shared" si="92"/>
        <v>0</v>
      </c>
      <c r="P1450" s="12" t="str">
        <f t="shared" si="93"/>
        <v>No Backers</v>
      </c>
      <c r="Q1450" s="14" t="s">
        <v>8319</v>
      </c>
      <c r="R1450" t="s">
        <v>8338</v>
      </c>
      <c r="S1450" s="17">
        <f t="shared" si="94"/>
        <v>42115.936550925922</v>
      </c>
      <c r="T1450" s="17">
        <f t="shared" si="95"/>
        <v>42146.225694444445</v>
      </c>
      <c r="U1450">
        <f>MONTH(Table1[[#This Row],[Launched]])</f>
        <v>4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8220</v>
      </c>
      <c r="G1451" t="s">
        <v>8223</v>
      </c>
      <c r="H1451" t="s">
        <v>8245</v>
      </c>
      <c r="I1451" s="8">
        <v>1431286105</v>
      </c>
      <c r="J1451">
        <v>1427138905</v>
      </c>
      <c r="K1451" t="b">
        <v>0</v>
      </c>
      <c r="L1451" s="10">
        <v>0</v>
      </c>
      <c r="M1451" t="b">
        <v>0</v>
      </c>
      <c r="N1451" t="s">
        <v>8285</v>
      </c>
      <c r="O1451" s="11">
        <f t="shared" si="92"/>
        <v>0</v>
      </c>
      <c r="P1451" s="12" t="str">
        <f t="shared" si="93"/>
        <v>No Backers</v>
      </c>
      <c r="Q1451" s="14" t="s">
        <v>8319</v>
      </c>
      <c r="R1451" t="s">
        <v>8338</v>
      </c>
      <c r="S1451" s="17">
        <f t="shared" si="94"/>
        <v>42086.811400462961</v>
      </c>
      <c r="T1451" s="17">
        <f t="shared" si="95"/>
        <v>42134.811400462961</v>
      </c>
      <c r="U1451">
        <f>MONTH(Table1[[#This Row],[Launched]])</f>
        <v>3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8220</v>
      </c>
      <c r="G1452" t="s">
        <v>8223</v>
      </c>
      <c r="H1452" t="s">
        <v>8245</v>
      </c>
      <c r="I1452" s="8">
        <v>1455941197</v>
      </c>
      <c r="J1452">
        <v>1453349197</v>
      </c>
      <c r="K1452" t="b">
        <v>0</v>
      </c>
      <c r="L1452" s="10">
        <v>1</v>
      </c>
      <c r="M1452" t="b">
        <v>0</v>
      </c>
      <c r="N1452" t="s">
        <v>8285</v>
      </c>
      <c r="O1452" s="11">
        <f t="shared" si="92"/>
        <v>0</v>
      </c>
      <c r="P1452" s="12">
        <f t="shared" si="93"/>
        <v>1</v>
      </c>
      <c r="Q1452" s="14" t="s">
        <v>8319</v>
      </c>
      <c r="R1452" t="s">
        <v>8338</v>
      </c>
      <c r="S1452" s="17">
        <f t="shared" si="94"/>
        <v>42390.171261574069</v>
      </c>
      <c r="T1452" s="17">
        <f t="shared" si="95"/>
        <v>42420.171261574069</v>
      </c>
      <c r="U1452">
        <f>MONTH(Table1[[#This Row],[Launched]])</f>
        <v>1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8219</v>
      </c>
      <c r="G1453" t="s">
        <v>8223</v>
      </c>
      <c r="H1453" t="s">
        <v>8245</v>
      </c>
      <c r="I1453" s="8">
        <v>1416355259</v>
      </c>
      <c r="J1453">
        <v>1413759659</v>
      </c>
      <c r="K1453" t="b">
        <v>0</v>
      </c>
      <c r="L1453" s="10">
        <v>2</v>
      </c>
      <c r="M1453" t="b">
        <v>0</v>
      </c>
      <c r="N1453" t="s">
        <v>8285</v>
      </c>
      <c r="O1453" s="11">
        <f t="shared" si="92"/>
        <v>0</v>
      </c>
      <c r="P1453" s="12">
        <f t="shared" si="93"/>
        <v>1</v>
      </c>
      <c r="Q1453" s="14" t="s">
        <v>8319</v>
      </c>
      <c r="R1453" t="s">
        <v>8338</v>
      </c>
      <c r="S1453" s="17">
        <f t="shared" si="94"/>
        <v>41931.959016203706</v>
      </c>
      <c r="T1453" s="17">
        <f t="shared" si="95"/>
        <v>41962.00068287037</v>
      </c>
      <c r="U1453">
        <f>MONTH(Table1[[#This Row],[Launched]])</f>
        <v>10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8219</v>
      </c>
      <c r="G1454" t="s">
        <v>8223</v>
      </c>
      <c r="H1454" t="s">
        <v>8245</v>
      </c>
      <c r="I1454" s="8">
        <v>1406566363</v>
      </c>
      <c r="J1454">
        <v>1403974363</v>
      </c>
      <c r="K1454" t="b">
        <v>0</v>
      </c>
      <c r="L1454" s="10">
        <v>0</v>
      </c>
      <c r="M1454" t="b">
        <v>0</v>
      </c>
      <c r="N1454" t="s">
        <v>8285</v>
      </c>
      <c r="O1454" s="11">
        <f t="shared" si="92"/>
        <v>0</v>
      </c>
      <c r="P1454" s="12" t="str">
        <f t="shared" si="93"/>
        <v>No Backers</v>
      </c>
      <c r="Q1454" s="14" t="s">
        <v>8319</v>
      </c>
      <c r="R1454" t="s">
        <v>8338</v>
      </c>
      <c r="S1454" s="17">
        <f t="shared" si="94"/>
        <v>41818.703275462962</v>
      </c>
      <c r="T1454" s="17">
        <f t="shared" si="95"/>
        <v>41848.703275462962</v>
      </c>
      <c r="U1454">
        <f>MONTH(Table1[[#This Row],[Launched]])</f>
        <v>6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8219</v>
      </c>
      <c r="G1455" t="s">
        <v>8229</v>
      </c>
      <c r="H1455" t="s">
        <v>8248</v>
      </c>
      <c r="I1455" s="8">
        <v>1492270947</v>
      </c>
      <c r="J1455">
        <v>1488386547</v>
      </c>
      <c r="K1455" t="b">
        <v>0</v>
      </c>
      <c r="L1455" s="10">
        <v>0</v>
      </c>
      <c r="M1455" t="b">
        <v>0</v>
      </c>
      <c r="N1455" t="s">
        <v>8285</v>
      </c>
      <c r="O1455" s="11">
        <f t="shared" si="92"/>
        <v>0</v>
      </c>
      <c r="P1455" s="12" t="str">
        <f t="shared" si="93"/>
        <v>No Backers</v>
      </c>
      <c r="Q1455" s="14" t="s">
        <v>8319</v>
      </c>
      <c r="R1455" t="s">
        <v>8338</v>
      </c>
      <c r="S1455" s="17">
        <f t="shared" si="94"/>
        <v>42795.696145833332</v>
      </c>
      <c r="T1455" s="17">
        <f t="shared" si="95"/>
        <v>42840.654479166667</v>
      </c>
      <c r="U1455">
        <f>MONTH(Table1[[#This Row],[Launched]])</f>
        <v>3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8219</v>
      </c>
      <c r="G1456" t="s">
        <v>8226</v>
      </c>
      <c r="H1456" t="s">
        <v>8248</v>
      </c>
      <c r="I1456" s="8">
        <v>1461535140</v>
      </c>
      <c r="J1456">
        <v>1459716480</v>
      </c>
      <c r="K1456" t="b">
        <v>0</v>
      </c>
      <c r="L1456" s="10">
        <v>1</v>
      </c>
      <c r="M1456" t="b">
        <v>0</v>
      </c>
      <c r="N1456" t="s">
        <v>8285</v>
      </c>
      <c r="O1456" s="11">
        <f t="shared" si="92"/>
        <v>1</v>
      </c>
      <c r="P1456" s="12">
        <f t="shared" si="93"/>
        <v>15</v>
      </c>
      <c r="Q1456" s="14" t="s">
        <v>8319</v>
      </c>
      <c r="R1456" t="s">
        <v>8338</v>
      </c>
      <c r="S1456" s="17">
        <f t="shared" si="94"/>
        <v>42463.866666666669</v>
      </c>
      <c r="T1456" s="17">
        <f t="shared" si="95"/>
        <v>42484.915972222225</v>
      </c>
      <c r="U1456">
        <f>MONTH(Table1[[#This Row],[Launched]])</f>
        <v>4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 s="8">
        <v>1409924340</v>
      </c>
      <c r="J1457">
        <v>1405181320</v>
      </c>
      <c r="K1457" t="b">
        <v>0</v>
      </c>
      <c r="L1457" s="10">
        <v>7</v>
      </c>
      <c r="M1457" t="b">
        <v>0</v>
      </c>
      <c r="N1457" t="s">
        <v>8285</v>
      </c>
      <c r="O1457" s="11">
        <f t="shared" si="92"/>
        <v>11</v>
      </c>
      <c r="P1457" s="12">
        <f t="shared" si="93"/>
        <v>225</v>
      </c>
      <c r="Q1457" s="14" t="s">
        <v>8319</v>
      </c>
      <c r="R1457" t="s">
        <v>8338</v>
      </c>
      <c r="S1457" s="17">
        <f t="shared" si="94"/>
        <v>41832.672685185185</v>
      </c>
      <c r="T1457" s="17">
        <f t="shared" si="95"/>
        <v>41887.568749999999</v>
      </c>
      <c r="U1457">
        <f>MONTH(Table1[[#This Row],[Launched]])</f>
        <v>7</v>
      </c>
    </row>
    <row r="1458" spans="1:21" ht="15.6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8219</v>
      </c>
      <c r="G1458" t="s">
        <v>8236</v>
      </c>
      <c r="H1458" t="s">
        <v>8248</v>
      </c>
      <c r="I1458" s="8">
        <v>1483459365</v>
      </c>
      <c r="J1458">
        <v>1480867365</v>
      </c>
      <c r="K1458" t="b">
        <v>0</v>
      </c>
      <c r="L1458" s="10">
        <v>3</v>
      </c>
      <c r="M1458" t="b">
        <v>0</v>
      </c>
      <c r="N1458" t="s">
        <v>8285</v>
      </c>
      <c r="O1458" s="11">
        <f t="shared" si="92"/>
        <v>3</v>
      </c>
      <c r="P1458" s="12">
        <f t="shared" si="93"/>
        <v>48</v>
      </c>
      <c r="Q1458" s="14" t="s">
        <v>8319</v>
      </c>
      <c r="R1458" t="s">
        <v>8338</v>
      </c>
      <c r="S1458" s="17">
        <f t="shared" si="94"/>
        <v>42708.668576388889</v>
      </c>
      <c r="T1458" s="17">
        <f t="shared" si="95"/>
        <v>42738.668576388889</v>
      </c>
      <c r="U1458">
        <f>MONTH(Table1[[#This Row],[Launched]])</f>
        <v>12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8219</v>
      </c>
      <c r="G1459" t="s">
        <v>8223</v>
      </c>
      <c r="H1459" t="s">
        <v>8245</v>
      </c>
      <c r="I1459" s="8">
        <v>1447281044</v>
      </c>
      <c r="J1459">
        <v>1444685444</v>
      </c>
      <c r="K1459" t="b">
        <v>0</v>
      </c>
      <c r="L1459" s="10">
        <v>0</v>
      </c>
      <c r="M1459" t="b">
        <v>0</v>
      </c>
      <c r="N1459" t="s">
        <v>8285</v>
      </c>
      <c r="O1459" s="11">
        <f t="shared" si="92"/>
        <v>0</v>
      </c>
      <c r="P1459" s="12" t="str">
        <f t="shared" si="93"/>
        <v>No Backers</v>
      </c>
      <c r="Q1459" s="14" t="s">
        <v>8319</v>
      </c>
      <c r="R1459" t="s">
        <v>8338</v>
      </c>
      <c r="S1459" s="17">
        <f t="shared" si="94"/>
        <v>42289.89634259259</v>
      </c>
      <c r="T1459" s="17">
        <f t="shared" si="95"/>
        <v>42319.938009259262</v>
      </c>
      <c r="U1459">
        <f>MONTH(Table1[[#This Row],[Launched]])</f>
        <v>10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8219</v>
      </c>
      <c r="G1460" t="s">
        <v>8223</v>
      </c>
      <c r="H1460" t="s">
        <v>8245</v>
      </c>
      <c r="I1460" s="8">
        <v>1407729600</v>
      </c>
      <c r="J1460">
        <v>1405097760</v>
      </c>
      <c r="K1460" t="b">
        <v>0</v>
      </c>
      <c r="L1460" s="10">
        <v>0</v>
      </c>
      <c r="M1460" t="b">
        <v>0</v>
      </c>
      <c r="N1460" t="s">
        <v>8285</v>
      </c>
      <c r="O1460" s="11">
        <f t="shared" si="92"/>
        <v>0</v>
      </c>
      <c r="P1460" s="12" t="str">
        <f t="shared" si="93"/>
        <v>No Backers</v>
      </c>
      <c r="Q1460" s="14" t="s">
        <v>8319</v>
      </c>
      <c r="R1460" t="s">
        <v>8338</v>
      </c>
      <c r="S1460" s="17">
        <f t="shared" si="94"/>
        <v>41831.705555555556</v>
      </c>
      <c r="T1460" s="17">
        <f t="shared" si="95"/>
        <v>41862.166666666664</v>
      </c>
      <c r="U1460">
        <f>MONTH(Table1[[#This Row],[Launched]])</f>
        <v>7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8219</v>
      </c>
      <c r="G1461" t="s">
        <v>8231</v>
      </c>
      <c r="H1461" t="s">
        <v>8252</v>
      </c>
      <c r="I1461" s="8">
        <v>1449077100</v>
      </c>
      <c r="J1461">
        <v>1446612896</v>
      </c>
      <c r="K1461" t="b">
        <v>0</v>
      </c>
      <c r="L1461" s="10">
        <v>0</v>
      </c>
      <c r="M1461" t="b">
        <v>0</v>
      </c>
      <c r="N1461" t="s">
        <v>8285</v>
      </c>
      <c r="O1461" s="11">
        <f t="shared" si="92"/>
        <v>0</v>
      </c>
      <c r="P1461" s="12" t="str">
        <f t="shared" si="93"/>
        <v>No Backers</v>
      </c>
      <c r="Q1461" s="14" t="s">
        <v>8319</v>
      </c>
      <c r="R1461" t="s">
        <v>8338</v>
      </c>
      <c r="S1461" s="17">
        <f t="shared" si="94"/>
        <v>42312.204814814817</v>
      </c>
      <c r="T1461" s="17">
        <f t="shared" si="95"/>
        <v>42340.725694444445</v>
      </c>
      <c r="U1461">
        <f>MONTH(Table1[[#This Row],[Launched]])</f>
        <v>11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 s="8">
        <v>1417391100</v>
      </c>
      <c r="J1462">
        <v>1412371898</v>
      </c>
      <c r="K1462" t="b">
        <v>0</v>
      </c>
      <c r="L1462" s="10">
        <v>0</v>
      </c>
      <c r="M1462" t="b">
        <v>0</v>
      </c>
      <c r="N1462" t="s">
        <v>8285</v>
      </c>
      <c r="O1462" s="11">
        <f t="shared" si="92"/>
        <v>0</v>
      </c>
      <c r="P1462" s="12" t="str">
        <f t="shared" si="93"/>
        <v>No Backers</v>
      </c>
      <c r="Q1462" s="14" t="s">
        <v>8319</v>
      </c>
      <c r="R1462" t="s">
        <v>8338</v>
      </c>
      <c r="S1462" s="17">
        <f t="shared" si="94"/>
        <v>41915.896967592591</v>
      </c>
      <c r="T1462" s="17">
        <f t="shared" si="95"/>
        <v>41973.989583333328</v>
      </c>
      <c r="U1462">
        <f>MONTH(Table1[[#This Row],[Launched]])</f>
        <v>10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 s="8">
        <v>1413849600</v>
      </c>
      <c r="J1463">
        <v>1410967754</v>
      </c>
      <c r="K1463" t="b">
        <v>1</v>
      </c>
      <c r="L1463" s="10">
        <v>340</v>
      </c>
      <c r="M1463" t="b">
        <v>1</v>
      </c>
      <c r="N1463" t="s">
        <v>8286</v>
      </c>
      <c r="O1463" s="11">
        <f t="shared" si="92"/>
        <v>101</v>
      </c>
      <c r="P1463" s="12">
        <f t="shared" si="93"/>
        <v>45</v>
      </c>
      <c r="Q1463" s="14" t="s">
        <v>8319</v>
      </c>
      <c r="R1463" t="s">
        <v>8339</v>
      </c>
      <c r="S1463" s="17">
        <f t="shared" si="94"/>
        <v>41899.645300925928</v>
      </c>
      <c r="T1463" s="17">
        <f t="shared" si="95"/>
        <v>41933</v>
      </c>
      <c r="U1463">
        <f>MONTH(Table1[[#This Row],[Launched]])</f>
        <v>9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 s="8">
        <v>1365609271</v>
      </c>
      <c r="J1464">
        <v>1363017271</v>
      </c>
      <c r="K1464" t="b">
        <v>1</v>
      </c>
      <c r="L1464" s="10">
        <v>150</v>
      </c>
      <c r="M1464" t="b">
        <v>1</v>
      </c>
      <c r="N1464" t="s">
        <v>8286</v>
      </c>
      <c r="O1464" s="11">
        <f t="shared" si="92"/>
        <v>109</v>
      </c>
      <c r="P1464" s="12">
        <f t="shared" si="93"/>
        <v>29</v>
      </c>
      <c r="Q1464" s="14" t="s">
        <v>8319</v>
      </c>
      <c r="R1464" t="s">
        <v>8339</v>
      </c>
      <c r="S1464" s="17">
        <f t="shared" si="94"/>
        <v>41344.662858796299</v>
      </c>
      <c r="T1464" s="17">
        <f t="shared" si="95"/>
        <v>41374.662858796299</v>
      </c>
      <c r="U1464">
        <f>MONTH(Table1[[#This Row],[Launched]])</f>
        <v>3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8218</v>
      </c>
      <c r="G1465" t="s">
        <v>8223</v>
      </c>
      <c r="H1465" t="s">
        <v>8245</v>
      </c>
      <c r="I1465" s="8">
        <v>1365367938</v>
      </c>
      <c r="J1465">
        <v>1361483538</v>
      </c>
      <c r="K1465" t="b">
        <v>1</v>
      </c>
      <c r="L1465" s="10">
        <v>25</v>
      </c>
      <c r="M1465" t="b">
        <v>1</v>
      </c>
      <c r="N1465" t="s">
        <v>8286</v>
      </c>
      <c r="O1465" s="11">
        <f t="shared" si="92"/>
        <v>148</v>
      </c>
      <c r="P1465" s="12">
        <f t="shared" si="93"/>
        <v>35</v>
      </c>
      <c r="Q1465" s="14" t="s">
        <v>8319</v>
      </c>
      <c r="R1465" t="s">
        <v>8339</v>
      </c>
      <c r="S1465" s="17">
        <f t="shared" si="94"/>
        <v>41326.911319444444</v>
      </c>
      <c r="T1465" s="17">
        <f t="shared" si="95"/>
        <v>41371.869652777779</v>
      </c>
      <c r="U1465">
        <f>MONTH(Table1[[#This Row],[Launched]])</f>
        <v>2</v>
      </c>
    </row>
    <row r="1466" spans="1:21" ht="15.6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 s="8">
        <v>1361029958</v>
      </c>
      <c r="J1466">
        <v>1358437958</v>
      </c>
      <c r="K1466" t="b">
        <v>1</v>
      </c>
      <c r="L1466" s="10">
        <v>234</v>
      </c>
      <c r="M1466" t="b">
        <v>1</v>
      </c>
      <c r="N1466" t="s">
        <v>8286</v>
      </c>
      <c r="O1466" s="11">
        <f t="shared" si="92"/>
        <v>163</v>
      </c>
      <c r="P1466" s="12">
        <f t="shared" si="93"/>
        <v>35</v>
      </c>
      <c r="Q1466" s="14" t="s">
        <v>8319</v>
      </c>
      <c r="R1466" t="s">
        <v>8339</v>
      </c>
      <c r="S1466" s="17">
        <f t="shared" si="94"/>
        <v>41291.661550925928</v>
      </c>
      <c r="T1466" s="17">
        <f t="shared" si="95"/>
        <v>41321.661550925928</v>
      </c>
      <c r="U1466">
        <f>MONTH(Table1[[#This Row],[Launched]])</f>
        <v>1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 s="8">
        <v>1332385200</v>
      </c>
      <c r="J1467">
        <v>1329759452</v>
      </c>
      <c r="K1467" t="b">
        <v>1</v>
      </c>
      <c r="L1467" s="10">
        <v>2602</v>
      </c>
      <c r="M1467" t="b">
        <v>1</v>
      </c>
      <c r="N1467" t="s">
        <v>8286</v>
      </c>
      <c r="O1467" s="11">
        <f t="shared" si="92"/>
        <v>456</v>
      </c>
      <c r="P1467" s="12">
        <f t="shared" si="93"/>
        <v>53</v>
      </c>
      <c r="Q1467" s="14" t="s">
        <v>8319</v>
      </c>
      <c r="R1467" t="s">
        <v>8339</v>
      </c>
      <c r="S1467" s="17">
        <f t="shared" si="94"/>
        <v>40959.734398148146</v>
      </c>
      <c r="T1467" s="17">
        <f t="shared" si="95"/>
        <v>40990.125</v>
      </c>
      <c r="U1467">
        <f>MONTH(Table1[[#This Row],[Launched]])</f>
        <v>2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 s="8">
        <v>1452574800</v>
      </c>
      <c r="J1468">
        <v>1449029266</v>
      </c>
      <c r="K1468" t="b">
        <v>1</v>
      </c>
      <c r="L1468" s="10">
        <v>248</v>
      </c>
      <c r="M1468" t="b">
        <v>1</v>
      </c>
      <c r="N1468" t="s">
        <v>8286</v>
      </c>
      <c r="O1468" s="11">
        <f t="shared" si="92"/>
        <v>108</v>
      </c>
      <c r="P1468" s="12">
        <f t="shared" si="93"/>
        <v>70</v>
      </c>
      <c r="Q1468" s="14" t="s">
        <v>8319</v>
      </c>
      <c r="R1468" t="s">
        <v>8339</v>
      </c>
      <c r="S1468" s="17">
        <f t="shared" si="94"/>
        <v>42340.172060185185</v>
      </c>
      <c r="T1468" s="17">
        <f t="shared" si="95"/>
        <v>42381.208333333328</v>
      </c>
      <c r="U1468">
        <f>MONTH(Table1[[#This Row],[Launched]])</f>
        <v>12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 s="8">
        <v>1332699285</v>
      </c>
      <c r="J1469">
        <v>1327518885</v>
      </c>
      <c r="K1469" t="b">
        <v>1</v>
      </c>
      <c r="L1469" s="10">
        <v>600</v>
      </c>
      <c r="M1469" t="b">
        <v>1</v>
      </c>
      <c r="N1469" t="s">
        <v>8286</v>
      </c>
      <c r="O1469" s="11">
        <f t="shared" si="92"/>
        <v>115</v>
      </c>
      <c r="P1469" s="12">
        <f t="shared" si="93"/>
        <v>77</v>
      </c>
      <c r="Q1469" s="14" t="s">
        <v>8319</v>
      </c>
      <c r="R1469" t="s">
        <v>8339</v>
      </c>
      <c r="S1469" s="17">
        <f t="shared" si="94"/>
        <v>40933.80190972222</v>
      </c>
      <c r="T1469" s="17">
        <f t="shared" si="95"/>
        <v>40993.760243055556</v>
      </c>
      <c r="U1469">
        <f>MONTH(Table1[[#This Row],[Launched]])</f>
        <v>1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 s="8">
        <v>1307838049</v>
      </c>
      <c r="J1470">
        <v>1302654049</v>
      </c>
      <c r="K1470" t="b">
        <v>1</v>
      </c>
      <c r="L1470" s="10">
        <v>293</v>
      </c>
      <c r="M1470" t="b">
        <v>1</v>
      </c>
      <c r="N1470" t="s">
        <v>8286</v>
      </c>
      <c r="O1470" s="11">
        <f t="shared" si="92"/>
        <v>102</v>
      </c>
      <c r="P1470" s="12">
        <f t="shared" si="93"/>
        <v>33</v>
      </c>
      <c r="Q1470" s="14" t="s">
        <v>8319</v>
      </c>
      <c r="R1470" t="s">
        <v>8339</v>
      </c>
      <c r="S1470" s="17">
        <f t="shared" si="94"/>
        <v>40646.014456018522</v>
      </c>
      <c r="T1470" s="17">
        <f t="shared" si="95"/>
        <v>40706.014456018522</v>
      </c>
      <c r="U1470">
        <f>MONTH(Table1[[#This Row],[Launched]])</f>
        <v>4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 s="8">
        <v>1360938109</v>
      </c>
      <c r="J1471">
        <v>1358346109</v>
      </c>
      <c r="K1471" t="b">
        <v>1</v>
      </c>
      <c r="L1471" s="10">
        <v>321</v>
      </c>
      <c r="M1471" t="b">
        <v>1</v>
      </c>
      <c r="N1471" t="s">
        <v>8286</v>
      </c>
      <c r="O1471" s="11">
        <f t="shared" si="92"/>
        <v>108</v>
      </c>
      <c r="P1471" s="12">
        <f t="shared" si="93"/>
        <v>149</v>
      </c>
      <c r="Q1471" s="14" t="s">
        <v>8319</v>
      </c>
      <c r="R1471" t="s">
        <v>8339</v>
      </c>
      <c r="S1471" s="17">
        <f t="shared" si="94"/>
        <v>41290.598483796297</v>
      </c>
      <c r="T1471" s="17">
        <f t="shared" si="95"/>
        <v>41320.598483796297</v>
      </c>
      <c r="U1471">
        <f>MONTH(Table1[[#This Row],[Launched]])</f>
        <v>1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 s="8">
        <v>1356724263</v>
      </c>
      <c r="J1472">
        <v>1354909863</v>
      </c>
      <c r="K1472" t="b">
        <v>1</v>
      </c>
      <c r="L1472" s="10">
        <v>81</v>
      </c>
      <c r="M1472" t="b">
        <v>1</v>
      </c>
      <c r="N1472" t="s">
        <v>8286</v>
      </c>
      <c r="O1472" s="11">
        <f t="shared" si="92"/>
        <v>125</v>
      </c>
      <c r="P1472" s="12">
        <f t="shared" si="93"/>
        <v>23</v>
      </c>
      <c r="Q1472" s="14" t="s">
        <v>8319</v>
      </c>
      <c r="R1472" t="s">
        <v>8339</v>
      </c>
      <c r="S1472" s="17">
        <f t="shared" si="94"/>
        <v>41250.827118055553</v>
      </c>
      <c r="T1472" s="17">
        <f t="shared" si="95"/>
        <v>41271.827118055553</v>
      </c>
      <c r="U1472">
        <f>MONTH(Table1[[#This Row],[Launched]])</f>
        <v>12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 s="8">
        <v>1428620334</v>
      </c>
      <c r="J1473">
        <v>1426028334</v>
      </c>
      <c r="K1473" t="b">
        <v>1</v>
      </c>
      <c r="L1473" s="10">
        <v>343</v>
      </c>
      <c r="M1473" t="b">
        <v>1</v>
      </c>
      <c r="N1473" t="s">
        <v>8286</v>
      </c>
      <c r="O1473" s="11">
        <f t="shared" si="92"/>
        <v>104</v>
      </c>
      <c r="P1473" s="12">
        <f t="shared" si="93"/>
        <v>97</v>
      </c>
      <c r="Q1473" s="14" t="s">
        <v>8319</v>
      </c>
      <c r="R1473" t="s">
        <v>8339</v>
      </c>
      <c r="S1473" s="17">
        <f t="shared" si="94"/>
        <v>42073.957569444443</v>
      </c>
      <c r="T1473" s="17">
        <f t="shared" si="95"/>
        <v>42103.957569444443</v>
      </c>
      <c r="U1473">
        <f>MONTH(Table1[[#This Row],[Launched]])</f>
        <v>3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 s="8">
        <v>1381928503</v>
      </c>
      <c r="J1474">
        <v>1379336503</v>
      </c>
      <c r="K1474" t="b">
        <v>1</v>
      </c>
      <c r="L1474" s="10">
        <v>336</v>
      </c>
      <c r="M1474" t="b">
        <v>1</v>
      </c>
      <c r="N1474" t="s">
        <v>8286</v>
      </c>
      <c r="O1474" s="11">
        <f t="shared" ref="O1474:O1537" si="96">ROUND(E1474/D1474*100,0)</f>
        <v>139</v>
      </c>
      <c r="P1474" s="12">
        <f t="shared" si="93"/>
        <v>103</v>
      </c>
      <c r="Q1474" s="14" t="s">
        <v>8319</v>
      </c>
      <c r="R1474" t="s">
        <v>8339</v>
      </c>
      <c r="S1474" s="17">
        <f t="shared" si="94"/>
        <v>41533.542858796296</v>
      </c>
      <c r="T1474" s="17">
        <f t="shared" si="95"/>
        <v>41563.542858796296</v>
      </c>
      <c r="U1474">
        <f>MONTH(Table1[[#This Row],[Launched]])</f>
        <v>9</v>
      </c>
    </row>
    <row r="1475" spans="1:21" ht="15.6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 s="8">
        <v>1330644639</v>
      </c>
      <c r="J1475">
        <v>1328052639</v>
      </c>
      <c r="K1475" t="b">
        <v>1</v>
      </c>
      <c r="L1475" s="10">
        <v>47</v>
      </c>
      <c r="M1475" t="b">
        <v>1</v>
      </c>
      <c r="N1475" t="s">
        <v>8286</v>
      </c>
      <c r="O1475" s="11">
        <f t="shared" si="96"/>
        <v>121</v>
      </c>
      <c r="P1475" s="12">
        <f t="shared" ref="P1475:P1538" si="97">IFERROR(ROUND(E1475/L1475,),"No Backers")</f>
        <v>38</v>
      </c>
      <c r="Q1475" s="14" t="s">
        <v>8319</v>
      </c>
      <c r="R1475" t="s">
        <v>8339</v>
      </c>
      <c r="S1475" s="17">
        <f t="shared" ref="S1475:S1538" si="98">(((J1475/60)/60)/24)+DATE(1970,1,1)</f>
        <v>40939.979618055557</v>
      </c>
      <c r="T1475" s="17">
        <f t="shared" ref="T1475:T1538" si="99">(((I1475/60)/60)/24)+DATE(1970,1,1)</f>
        <v>40969.979618055557</v>
      </c>
      <c r="U1475">
        <f>MONTH(Table1[[#This Row],[Launched]])</f>
        <v>1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 s="8">
        <v>1379093292</v>
      </c>
      <c r="J1476">
        <v>1376501292</v>
      </c>
      <c r="K1476" t="b">
        <v>1</v>
      </c>
      <c r="L1476" s="10">
        <v>76</v>
      </c>
      <c r="M1476" t="b">
        <v>1</v>
      </c>
      <c r="N1476" t="s">
        <v>8286</v>
      </c>
      <c r="O1476" s="11">
        <f t="shared" si="96"/>
        <v>112</v>
      </c>
      <c r="P1476" s="12">
        <f t="shared" si="97"/>
        <v>44</v>
      </c>
      <c r="Q1476" s="14" t="s">
        <v>8319</v>
      </c>
      <c r="R1476" t="s">
        <v>8339</v>
      </c>
      <c r="S1476" s="17">
        <f t="shared" si="98"/>
        <v>41500.727916666663</v>
      </c>
      <c r="T1476" s="17">
        <f t="shared" si="99"/>
        <v>41530.727916666663</v>
      </c>
      <c r="U1476">
        <f>MONTH(Table1[[#This Row],[Launched]])</f>
        <v>8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 s="8">
        <v>1419051540</v>
      </c>
      <c r="J1477">
        <v>1416244863</v>
      </c>
      <c r="K1477" t="b">
        <v>1</v>
      </c>
      <c r="L1477" s="10">
        <v>441</v>
      </c>
      <c r="M1477" t="b">
        <v>1</v>
      </c>
      <c r="N1477" t="s">
        <v>8286</v>
      </c>
      <c r="O1477" s="11">
        <f t="shared" si="96"/>
        <v>189</v>
      </c>
      <c r="P1477" s="12">
        <f t="shared" si="97"/>
        <v>64</v>
      </c>
      <c r="Q1477" s="14" t="s">
        <v>8319</v>
      </c>
      <c r="R1477" t="s">
        <v>8339</v>
      </c>
      <c r="S1477" s="17">
        <f t="shared" si="98"/>
        <v>41960.722951388889</v>
      </c>
      <c r="T1477" s="17">
        <f t="shared" si="99"/>
        <v>41993.207638888889</v>
      </c>
      <c r="U1477">
        <f>MONTH(Table1[[#This Row],[Launched]])</f>
        <v>11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 s="8">
        <v>1315616422</v>
      </c>
      <c r="J1478">
        <v>1313024422</v>
      </c>
      <c r="K1478" t="b">
        <v>1</v>
      </c>
      <c r="L1478" s="10">
        <v>916</v>
      </c>
      <c r="M1478" t="b">
        <v>1</v>
      </c>
      <c r="N1478" t="s">
        <v>8286</v>
      </c>
      <c r="O1478" s="11">
        <f t="shared" si="96"/>
        <v>662</v>
      </c>
      <c r="P1478" s="12">
        <f t="shared" si="97"/>
        <v>43</v>
      </c>
      <c r="Q1478" s="14" t="s">
        <v>8319</v>
      </c>
      <c r="R1478" t="s">
        <v>8339</v>
      </c>
      <c r="S1478" s="17">
        <f t="shared" si="98"/>
        <v>40766.041921296295</v>
      </c>
      <c r="T1478" s="17">
        <f t="shared" si="99"/>
        <v>40796.041921296295</v>
      </c>
      <c r="U1478">
        <f>MONTH(Table1[[#This Row],[Launched]])</f>
        <v>8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 s="8">
        <v>1324609200</v>
      </c>
      <c r="J1479">
        <v>1319467604</v>
      </c>
      <c r="K1479" t="b">
        <v>1</v>
      </c>
      <c r="L1479" s="10">
        <v>369</v>
      </c>
      <c r="M1479" t="b">
        <v>1</v>
      </c>
      <c r="N1479" t="s">
        <v>8286</v>
      </c>
      <c r="O1479" s="11">
        <f t="shared" si="96"/>
        <v>111</v>
      </c>
      <c r="P1479" s="12">
        <f t="shared" si="97"/>
        <v>90</v>
      </c>
      <c r="Q1479" s="14" t="s">
        <v>8319</v>
      </c>
      <c r="R1479" t="s">
        <v>8339</v>
      </c>
      <c r="S1479" s="17">
        <f t="shared" si="98"/>
        <v>40840.615787037037</v>
      </c>
      <c r="T1479" s="17">
        <f t="shared" si="99"/>
        <v>40900.125</v>
      </c>
      <c r="U1479">
        <f>MONTH(Table1[[#This Row],[Launched]])</f>
        <v>10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 s="8">
        <v>1368564913</v>
      </c>
      <c r="J1480">
        <v>1367355313</v>
      </c>
      <c r="K1480" t="b">
        <v>1</v>
      </c>
      <c r="L1480" s="10">
        <v>20242</v>
      </c>
      <c r="M1480" t="b">
        <v>1</v>
      </c>
      <c r="N1480" t="s">
        <v>8286</v>
      </c>
      <c r="O1480" s="11">
        <f t="shared" si="96"/>
        <v>1182</v>
      </c>
      <c r="P1480" s="12">
        <f t="shared" si="97"/>
        <v>29</v>
      </c>
      <c r="Q1480" s="14" t="s">
        <v>8319</v>
      </c>
      <c r="R1480" t="s">
        <v>8339</v>
      </c>
      <c r="S1480" s="17">
        <f t="shared" si="98"/>
        <v>41394.871678240743</v>
      </c>
      <c r="T1480" s="17">
        <f t="shared" si="99"/>
        <v>41408.871678240743</v>
      </c>
      <c r="U1480">
        <f>MONTH(Table1[[#This Row],[Launched]])</f>
        <v>4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 s="8">
        <v>1399694340</v>
      </c>
      <c r="J1481">
        <v>1398448389</v>
      </c>
      <c r="K1481" t="b">
        <v>1</v>
      </c>
      <c r="L1481" s="10">
        <v>71</v>
      </c>
      <c r="M1481" t="b">
        <v>1</v>
      </c>
      <c r="N1481" t="s">
        <v>8286</v>
      </c>
      <c r="O1481" s="11">
        <f t="shared" si="96"/>
        <v>137</v>
      </c>
      <c r="P1481" s="12">
        <f t="shared" si="97"/>
        <v>31</v>
      </c>
      <c r="Q1481" s="14" t="s">
        <v>8319</v>
      </c>
      <c r="R1481" t="s">
        <v>8339</v>
      </c>
      <c r="S1481" s="17">
        <f t="shared" si="98"/>
        <v>41754.745243055557</v>
      </c>
      <c r="T1481" s="17">
        <f t="shared" si="99"/>
        <v>41769.165972222225</v>
      </c>
      <c r="U1481">
        <f>MONTH(Table1[[#This Row],[Launched]])</f>
        <v>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 s="8">
        <v>1374858000</v>
      </c>
      <c r="J1482">
        <v>1373408699</v>
      </c>
      <c r="K1482" t="b">
        <v>1</v>
      </c>
      <c r="L1482" s="10">
        <v>635</v>
      </c>
      <c r="M1482" t="b">
        <v>1</v>
      </c>
      <c r="N1482" t="s">
        <v>8286</v>
      </c>
      <c r="O1482" s="11">
        <f t="shared" si="96"/>
        <v>117</v>
      </c>
      <c r="P1482" s="12">
        <f t="shared" si="97"/>
        <v>92</v>
      </c>
      <c r="Q1482" s="14" t="s">
        <v>8319</v>
      </c>
      <c r="R1482" t="s">
        <v>8339</v>
      </c>
      <c r="S1482" s="17">
        <f t="shared" si="98"/>
        <v>41464.934016203704</v>
      </c>
      <c r="T1482" s="17">
        <f t="shared" si="99"/>
        <v>41481.708333333336</v>
      </c>
      <c r="U1482">
        <f>MONTH(Table1[[#This Row],[Launched]])</f>
        <v>7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8220</v>
      </c>
      <c r="G1483" t="s">
        <v>8228</v>
      </c>
      <c r="H1483" t="s">
        <v>8250</v>
      </c>
      <c r="I1483" s="8">
        <v>1383430145</v>
      </c>
      <c r="J1483">
        <v>1380838145</v>
      </c>
      <c r="K1483" t="b">
        <v>0</v>
      </c>
      <c r="L1483" s="10">
        <v>6</v>
      </c>
      <c r="M1483" t="b">
        <v>0</v>
      </c>
      <c r="N1483" t="s">
        <v>8273</v>
      </c>
      <c r="O1483" s="11">
        <f t="shared" si="96"/>
        <v>2</v>
      </c>
      <c r="P1483" s="12">
        <f t="shared" si="97"/>
        <v>18</v>
      </c>
      <c r="Q1483" s="14" t="s">
        <v>8319</v>
      </c>
      <c r="R1483" t="s">
        <v>8321</v>
      </c>
      <c r="S1483" s="17">
        <f t="shared" si="98"/>
        <v>41550.922974537039</v>
      </c>
      <c r="T1483" s="17">
        <f t="shared" si="99"/>
        <v>41580.922974537039</v>
      </c>
      <c r="U1483">
        <f>MONTH(Table1[[#This Row],[Launched]])</f>
        <v>10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8220</v>
      </c>
      <c r="G1484" t="s">
        <v>8223</v>
      </c>
      <c r="H1484" t="s">
        <v>8245</v>
      </c>
      <c r="I1484" s="8">
        <v>1347004260</v>
      </c>
      <c r="J1484">
        <v>1345062936</v>
      </c>
      <c r="K1484" t="b">
        <v>0</v>
      </c>
      <c r="L1484" s="10">
        <v>1</v>
      </c>
      <c r="M1484" t="b">
        <v>0</v>
      </c>
      <c r="N1484" t="s">
        <v>8273</v>
      </c>
      <c r="O1484" s="11">
        <f t="shared" si="96"/>
        <v>0</v>
      </c>
      <c r="P1484" s="12">
        <f t="shared" si="97"/>
        <v>5</v>
      </c>
      <c r="Q1484" s="14" t="s">
        <v>8319</v>
      </c>
      <c r="R1484" t="s">
        <v>8321</v>
      </c>
      <c r="S1484" s="17">
        <f t="shared" si="98"/>
        <v>41136.85805555556</v>
      </c>
      <c r="T1484" s="17">
        <f t="shared" si="99"/>
        <v>41159.32708333333</v>
      </c>
      <c r="U1484">
        <f>MONTH(Table1[[#This Row],[Launched]])</f>
        <v>8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8220</v>
      </c>
      <c r="G1485" t="s">
        <v>8223</v>
      </c>
      <c r="H1485" t="s">
        <v>8245</v>
      </c>
      <c r="I1485" s="8">
        <v>1469162275</v>
      </c>
      <c r="J1485">
        <v>1467002275</v>
      </c>
      <c r="K1485" t="b">
        <v>0</v>
      </c>
      <c r="L1485" s="10">
        <v>2</v>
      </c>
      <c r="M1485" t="b">
        <v>0</v>
      </c>
      <c r="N1485" t="s">
        <v>8273</v>
      </c>
      <c r="O1485" s="11">
        <f t="shared" si="96"/>
        <v>1</v>
      </c>
      <c r="P1485" s="12">
        <f t="shared" si="97"/>
        <v>25</v>
      </c>
      <c r="Q1485" s="14" t="s">
        <v>8319</v>
      </c>
      <c r="R1485" t="s">
        <v>8321</v>
      </c>
      <c r="S1485" s="17">
        <f t="shared" si="98"/>
        <v>42548.192997685182</v>
      </c>
      <c r="T1485" s="17">
        <f t="shared" si="99"/>
        <v>42573.192997685182</v>
      </c>
      <c r="U1485">
        <f>MONTH(Table1[[#This Row],[Launched]])</f>
        <v>6</v>
      </c>
    </row>
    <row r="1486" spans="1:21" ht="15.6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8220</v>
      </c>
      <c r="G1486" t="s">
        <v>8223</v>
      </c>
      <c r="H1486" t="s">
        <v>8245</v>
      </c>
      <c r="I1486" s="8">
        <v>1342882260</v>
      </c>
      <c r="J1486">
        <v>1337834963</v>
      </c>
      <c r="K1486" t="b">
        <v>0</v>
      </c>
      <c r="L1486" s="10">
        <v>0</v>
      </c>
      <c r="M1486" t="b">
        <v>0</v>
      </c>
      <c r="N1486" t="s">
        <v>8273</v>
      </c>
      <c r="O1486" s="11">
        <f t="shared" si="96"/>
        <v>0</v>
      </c>
      <c r="P1486" s="12" t="str">
        <f t="shared" si="97"/>
        <v>No Backers</v>
      </c>
      <c r="Q1486" s="14" t="s">
        <v>8319</v>
      </c>
      <c r="R1486" t="s">
        <v>8321</v>
      </c>
      <c r="S1486" s="17">
        <f t="shared" si="98"/>
        <v>41053.200960648144</v>
      </c>
      <c r="T1486" s="17">
        <f t="shared" si="99"/>
        <v>41111.618750000001</v>
      </c>
      <c r="U1486">
        <f>MONTH(Table1[[#This Row],[Launched]])</f>
        <v>5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8220</v>
      </c>
      <c r="G1487" t="s">
        <v>8223</v>
      </c>
      <c r="H1487" t="s">
        <v>8245</v>
      </c>
      <c r="I1487" s="8">
        <v>1434827173</v>
      </c>
      <c r="J1487">
        <v>1430939173</v>
      </c>
      <c r="K1487" t="b">
        <v>0</v>
      </c>
      <c r="L1487" s="10">
        <v>3</v>
      </c>
      <c r="M1487" t="b">
        <v>0</v>
      </c>
      <c r="N1487" t="s">
        <v>8273</v>
      </c>
      <c r="O1487" s="11">
        <f t="shared" si="96"/>
        <v>2</v>
      </c>
      <c r="P1487" s="12">
        <f t="shared" si="97"/>
        <v>50</v>
      </c>
      <c r="Q1487" s="14" t="s">
        <v>8319</v>
      </c>
      <c r="R1487" t="s">
        <v>8321</v>
      </c>
      <c r="S1487" s="17">
        <f t="shared" si="98"/>
        <v>42130.795983796299</v>
      </c>
      <c r="T1487" s="17">
        <f t="shared" si="99"/>
        <v>42175.795983796299</v>
      </c>
      <c r="U1487">
        <f>MONTH(Table1[[#This Row],[Launched]])</f>
        <v>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8220</v>
      </c>
      <c r="G1488" t="s">
        <v>8223</v>
      </c>
      <c r="H1488" t="s">
        <v>8245</v>
      </c>
      <c r="I1488" s="8">
        <v>1425009761</v>
      </c>
      <c r="J1488">
        <v>1422417761</v>
      </c>
      <c r="K1488" t="b">
        <v>0</v>
      </c>
      <c r="L1488" s="10">
        <v>3</v>
      </c>
      <c r="M1488" t="b">
        <v>0</v>
      </c>
      <c r="N1488" t="s">
        <v>8273</v>
      </c>
      <c r="O1488" s="11">
        <f t="shared" si="96"/>
        <v>0</v>
      </c>
      <c r="P1488" s="12">
        <f t="shared" si="97"/>
        <v>16</v>
      </c>
      <c r="Q1488" s="14" t="s">
        <v>8319</v>
      </c>
      <c r="R1488" t="s">
        <v>8321</v>
      </c>
      <c r="S1488" s="17">
        <f t="shared" si="98"/>
        <v>42032.168530092589</v>
      </c>
      <c r="T1488" s="17">
        <f t="shared" si="99"/>
        <v>42062.168530092589</v>
      </c>
      <c r="U1488">
        <f>MONTH(Table1[[#This Row],[Launched]])</f>
        <v>1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8220</v>
      </c>
      <c r="G1489" t="s">
        <v>8223</v>
      </c>
      <c r="H1489" t="s">
        <v>8245</v>
      </c>
      <c r="I1489" s="8">
        <v>1470175271</v>
      </c>
      <c r="J1489">
        <v>1467583271</v>
      </c>
      <c r="K1489" t="b">
        <v>0</v>
      </c>
      <c r="L1489" s="10">
        <v>0</v>
      </c>
      <c r="M1489" t="b">
        <v>0</v>
      </c>
      <c r="N1489" t="s">
        <v>8273</v>
      </c>
      <c r="O1489" s="11">
        <f t="shared" si="96"/>
        <v>0</v>
      </c>
      <c r="P1489" s="12" t="str">
        <f t="shared" si="97"/>
        <v>No Backers</v>
      </c>
      <c r="Q1489" s="14" t="s">
        <v>8319</v>
      </c>
      <c r="R1489" t="s">
        <v>8321</v>
      </c>
      <c r="S1489" s="17">
        <f t="shared" si="98"/>
        <v>42554.917488425926</v>
      </c>
      <c r="T1489" s="17">
        <f t="shared" si="99"/>
        <v>42584.917488425926</v>
      </c>
      <c r="U1489">
        <f>MONTH(Table1[[#This Row],[Launched]])</f>
        <v>7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 s="8">
        <v>1388928660</v>
      </c>
      <c r="J1490">
        <v>1386336660</v>
      </c>
      <c r="K1490" t="b">
        <v>0</v>
      </c>
      <c r="L1490" s="10">
        <v>6</v>
      </c>
      <c r="M1490" t="b">
        <v>0</v>
      </c>
      <c r="N1490" t="s">
        <v>8273</v>
      </c>
      <c r="O1490" s="11">
        <f t="shared" si="96"/>
        <v>2</v>
      </c>
      <c r="P1490" s="12">
        <f t="shared" si="97"/>
        <v>60</v>
      </c>
      <c r="Q1490" s="14" t="s">
        <v>8319</v>
      </c>
      <c r="R1490" t="s">
        <v>8321</v>
      </c>
      <c r="S1490" s="17">
        <f t="shared" si="98"/>
        <v>41614.563194444447</v>
      </c>
      <c r="T1490" s="17">
        <f t="shared" si="99"/>
        <v>41644.563194444447</v>
      </c>
      <c r="U1490">
        <f>MONTH(Table1[[#This Row],[Launched]])</f>
        <v>12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8220</v>
      </c>
      <c r="G1491" t="s">
        <v>8223</v>
      </c>
      <c r="H1491" t="s">
        <v>8245</v>
      </c>
      <c r="I1491" s="8">
        <v>1352994052</v>
      </c>
      <c r="J1491">
        <v>1350398452</v>
      </c>
      <c r="K1491" t="b">
        <v>0</v>
      </c>
      <c r="L1491" s="10">
        <v>0</v>
      </c>
      <c r="M1491" t="b">
        <v>0</v>
      </c>
      <c r="N1491" t="s">
        <v>8273</v>
      </c>
      <c r="O1491" s="11">
        <f t="shared" si="96"/>
        <v>0</v>
      </c>
      <c r="P1491" s="12" t="str">
        <f t="shared" si="97"/>
        <v>No Backers</v>
      </c>
      <c r="Q1491" s="14" t="s">
        <v>8319</v>
      </c>
      <c r="R1491" t="s">
        <v>8321</v>
      </c>
      <c r="S1491" s="17">
        <f t="shared" si="98"/>
        <v>41198.611712962964</v>
      </c>
      <c r="T1491" s="17">
        <f t="shared" si="99"/>
        <v>41228.653379629628</v>
      </c>
      <c r="U1491">
        <f>MONTH(Table1[[#This Row],[Launched]])</f>
        <v>10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8220</v>
      </c>
      <c r="G1492" t="s">
        <v>8223</v>
      </c>
      <c r="H1492" t="s">
        <v>8245</v>
      </c>
      <c r="I1492" s="8">
        <v>1380720474</v>
      </c>
      <c r="J1492">
        <v>1378214874</v>
      </c>
      <c r="K1492" t="b">
        <v>0</v>
      </c>
      <c r="L1492" s="10">
        <v>19</v>
      </c>
      <c r="M1492" t="b">
        <v>0</v>
      </c>
      <c r="N1492" t="s">
        <v>8273</v>
      </c>
      <c r="O1492" s="11">
        <f t="shared" si="96"/>
        <v>31</v>
      </c>
      <c r="P1492" s="12">
        <f t="shared" si="97"/>
        <v>47</v>
      </c>
      <c r="Q1492" s="14" t="s">
        <v>8319</v>
      </c>
      <c r="R1492" t="s">
        <v>8321</v>
      </c>
      <c r="S1492" s="17">
        <f t="shared" si="98"/>
        <v>41520.561041666668</v>
      </c>
      <c r="T1492" s="17">
        <f t="shared" si="99"/>
        <v>41549.561041666668</v>
      </c>
      <c r="U1492">
        <f>MONTH(Table1[[#This Row],[Launched]])</f>
        <v>9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8220</v>
      </c>
      <c r="G1493" t="s">
        <v>8223</v>
      </c>
      <c r="H1493" t="s">
        <v>8245</v>
      </c>
      <c r="I1493" s="8">
        <v>1424014680</v>
      </c>
      <c r="J1493">
        <v>1418922443</v>
      </c>
      <c r="K1493" t="b">
        <v>0</v>
      </c>
      <c r="L1493" s="10">
        <v>1</v>
      </c>
      <c r="M1493" t="b">
        <v>0</v>
      </c>
      <c r="N1493" t="s">
        <v>8273</v>
      </c>
      <c r="O1493" s="11">
        <f t="shared" si="96"/>
        <v>8</v>
      </c>
      <c r="P1493" s="12">
        <f t="shared" si="97"/>
        <v>100</v>
      </c>
      <c r="Q1493" s="14" t="s">
        <v>8319</v>
      </c>
      <c r="R1493" t="s">
        <v>8321</v>
      </c>
      <c r="S1493" s="17">
        <f t="shared" si="98"/>
        <v>41991.713460648149</v>
      </c>
      <c r="T1493" s="17">
        <f t="shared" si="99"/>
        <v>42050.651388888888</v>
      </c>
      <c r="U1493">
        <f>MONTH(Table1[[#This Row],[Launched]])</f>
        <v>12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8220</v>
      </c>
      <c r="G1494" t="s">
        <v>8223</v>
      </c>
      <c r="H1494" t="s">
        <v>8245</v>
      </c>
      <c r="I1494" s="8">
        <v>1308431646</v>
      </c>
      <c r="J1494">
        <v>1305839646</v>
      </c>
      <c r="K1494" t="b">
        <v>0</v>
      </c>
      <c r="L1494" s="10">
        <v>2</v>
      </c>
      <c r="M1494" t="b">
        <v>0</v>
      </c>
      <c r="N1494" t="s">
        <v>8273</v>
      </c>
      <c r="O1494" s="11">
        <f t="shared" si="96"/>
        <v>1</v>
      </c>
      <c r="P1494" s="12">
        <f t="shared" si="97"/>
        <v>15</v>
      </c>
      <c r="Q1494" s="14" t="s">
        <v>8319</v>
      </c>
      <c r="R1494" t="s">
        <v>8321</v>
      </c>
      <c r="S1494" s="17">
        <f t="shared" si="98"/>
        <v>40682.884791666671</v>
      </c>
      <c r="T1494" s="17">
        <f t="shared" si="99"/>
        <v>40712.884791666671</v>
      </c>
      <c r="U1494">
        <f>MONTH(Table1[[#This Row],[Launched]])</f>
        <v>5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8220</v>
      </c>
      <c r="G1495" t="s">
        <v>8223</v>
      </c>
      <c r="H1495" t="s">
        <v>8245</v>
      </c>
      <c r="I1495" s="8">
        <v>1371415675</v>
      </c>
      <c r="J1495">
        <v>1368823675</v>
      </c>
      <c r="K1495" t="b">
        <v>0</v>
      </c>
      <c r="L1495" s="10">
        <v>0</v>
      </c>
      <c r="M1495" t="b">
        <v>0</v>
      </c>
      <c r="N1495" t="s">
        <v>8273</v>
      </c>
      <c r="O1495" s="11">
        <f t="shared" si="96"/>
        <v>0</v>
      </c>
      <c r="P1495" s="12" t="str">
        <f t="shared" si="97"/>
        <v>No Backers</v>
      </c>
      <c r="Q1495" s="14" t="s">
        <v>8319</v>
      </c>
      <c r="R1495" t="s">
        <v>8321</v>
      </c>
      <c r="S1495" s="17">
        <f t="shared" si="98"/>
        <v>41411.866608796299</v>
      </c>
      <c r="T1495" s="17">
        <f t="shared" si="99"/>
        <v>41441.866608796299</v>
      </c>
      <c r="U1495">
        <f>MONTH(Table1[[#This Row],[Launched]])</f>
        <v>5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8220</v>
      </c>
      <c r="G1496" t="s">
        <v>8223</v>
      </c>
      <c r="H1496" t="s">
        <v>8245</v>
      </c>
      <c r="I1496" s="8">
        <v>1428075480</v>
      </c>
      <c r="J1496">
        <v>1425489613</v>
      </c>
      <c r="K1496" t="b">
        <v>0</v>
      </c>
      <c r="L1496" s="10">
        <v>11</v>
      </c>
      <c r="M1496" t="b">
        <v>0</v>
      </c>
      <c r="N1496" t="s">
        <v>8273</v>
      </c>
      <c r="O1496" s="11">
        <f t="shared" si="96"/>
        <v>9</v>
      </c>
      <c r="P1496" s="12">
        <f t="shared" si="97"/>
        <v>40</v>
      </c>
      <c r="Q1496" s="14" t="s">
        <v>8319</v>
      </c>
      <c r="R1496" t="s">
        <v>8321</v>
      </c>
      <c r="S1496" s="17">
        <f t="shared" si="98"/>
        <v>42067.722372685181</v>
      </c>
      <c r="T1496" s="17">
        <f t="shared" si="99"/>
        <v>42097.651388888888</v>
      </c>
      <c r="U1496">
        <f>MONTH(Table1[[#This Row],[Launched]])</f>
        <v>3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8220</v>
      </c>
      <c r="G1497" t="s">
        <v>8223</v>
      </c>
      <c r="H1497" t="s">
        <v>8245</v>
      </c>
      <c r="I1497" s="8">
        <v>1314471431</v>
      </c>
      <c r="J1497">
        <v>1311879431</v>
      </c>
      <c r="K1497" t="b">
        <v>0</v>
      </c>
      <c r="L1497" s="10">
        <v>0</v>
      </c>
      <c r="M1497" t="b">
        <v>0</v>
      </c>
      <c r="N1497" t="s">
        <v>8273</v>
      </c>
      <c r="O1497" s="11">
        <f t="shared" si="96"/>
        <v>0</v>
      </c>
      <c r="P1497" s="12" t="str">
        <f t="shared" si="97"/>
        <v>No Backers</v>
      </c>
      <c r="Q1497" s="14" t="s">
        <v>8319</v>
      </c>
      <c r="R1497" t="s">
        <v>8321</v>
      </c>
      <c r="S1497" s="17">
        <f t="shared" si="98"/>
        <v>40752.789710648147</v>
      </c>
      <c r="T1497" s="17">
        <f t="shared" si="99"/>
        <v>40782.789710648147</v>
      </c>
      <c r="U1497">
        <f>MONTH(Table1[[#This Row],[Launched]])</f>
        <v>7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8220</v>
      </c>
      <c r="G1498" t="s">
        <v>8223</v>
      </c>
      <c r="H1498" t="s">
        <v>8245</v>
      </c>
      <c r="I1498" s="8">
        <v>1410866659</v>
      </c>
      <c r="J1498">
        <v>1405682659</v>
      </c>
      <c r="K1498" t="b">
        <v>0</v>
      </c>
      <c r="L1498" s="10">
        <v>0</v>
      </c>
      <c r="M1498" t="b">
        <v>0</v>
      </c>
      <c r="N1498" t="s">
        <v>8273</v>
      </c>
      <c r="O1498" s="11">
        <f t="shared" si="96"/>
        <v>0</v>
      </c>
      <c r="P1498" s="12" t="str">
        <f t="shared" si="97"/>
        <v>No Backers</v>
      </c>
      <c r="Q1498" s="14" t="s">
        <v>8319</v>
      </c>
      <c r="R1498" t="s">
        <v>8321</v>
      </c>
      <c r="S1498" s="17">
        <f t="shared" si="98"/>
        <v>41838.475219907406</v>
      </c>
      <c r="T1498" s="17">
        <f t="shared" si="99"/>
        <v>41898.475219907406</v>
      </c>
      <c r="U1498">
        <f>MONTH(Table1[[#This Row],[Launched]])</f>
        <v>7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8220</v>
      </c>
      <c r="G1499" t="s">
        <v>8223</v>
      </c>
      <c r="H1499" t="s">
        <v>8245</v>
      </c>
      <c r="I1499" s="8">
        <v>1375299780</v>
      </c>
      <c r="J1499">
        <v>1371655522</v>
      </c>
      <c r="K1499" t="b">
        <v>0</v>
      </c>
      <c r="L1499" s="10">
        <v>1</v>
      </c>
      <c r="M1499" t="b">
        <v>0</v>
      </c>
      <c r="N1499" t="s">
        <v>8273</v>
      </c>
      <c r="O1499" s="11">
        <f t="shared" si="96"/>
        <v>0</v>
      </c>
      <c r="P1499" s="12">
        <f t="shared" si="97"/>
        <v>1</v>
      </c>
      <c r="Q1499" s="14" t="s">
        <v>8319</v>
      </c>
      <c r="R1499" t="s">
        <v>8321</v>
      </c>
      <c r="S1499" s="17">
        <f t="shared" si="98"/>
        <v>41444.64261574074</v>
      </c>
      <c r="T1499" s="17">
        <f t="shared" si="99"/>
        <v>41486.821527777778</v>
      </c>
      <c r="U1499">
        <f>MONTH(Table1[[#This Row],[Launched]])</f>
        <v>6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8220</v>
      </c>
      <c r="G1500" t="s">
        <v>8223</v>
      </c>
      <c r="H1500" t="s">
        <v>8245</v>
      </c>
      <c r="I1500" s="8">
        <v>1409787378</v>
      </c>
      <c r="J1500">
        <v>1405899378</v>
      </c>
      <c r="K1500" t="b">
        <v>0</v>
      </c>
      <c r="L1500" s="10">
        <v>3</v>
      </c>
      <c r="M1500" t="b">
        <v>0</v>
      </c>
      <c r="N1500" t="s">
        <v>8273</v>
      </c>
      <c r="O1500" s="11">
        <f t="shared" si="96"/>
        <v>2</v>
      </c>
      <c r="P1500" s="12">
        <f t="shared" si="97"/>
        <v>19</v>
      </c>
      <c r="Q1500" s="14" t="s">
        <v>8319</v>
      </c>
      <c r="R1500" t="s">
        <v>8321</v>
      </c>
      <c r="S1500" s="17">
        <f t="shared" si="98"/>
        <v>41840.983541666668</v>
      </c>
      <c r="T1500" s="17">
        <f t="shared" si="99"/>
        <v>41885.983541666668</v>
      </c>
      <c r="U1500">
        <f>MONTH(Table1[[#This Row],[Launched]])</f>
        <v>7</v>
      </c>
    </row>
    <row r="1501" spans="1:21" ht="57.6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8220</v>
      </c>
      <c r="G1501" t="s">
        <v>8223</v>
      </c>
      <c r="H1501" t="s">
        <v>8245</v>
      </c>
      <c r="I1501" s="8">
        <v>1470355833</v>
      </c>
      <c r="J1501">
        <v>1465171833</v>
      </c>
      <c r="K1501" t="b">
        <v>0</v>
      </c>
      <c r="L1501" s="10">
        <v>1</v>
      </c>
      <c r="M1501" t="b">
        <v>0</v>
      </c>
      <c r="N1501" t="s">
        <v>8273</v>
      </c>
      <c r="O1501" s="11">
        <f t="shared" si="96"/>
        <v>0</v>
      </c>
      <c r="P1501" s="12">
        <f t="shared" si="97"/>
        <v>5</v>
      </c>
      <c r="Q1501" s="14" t="s">
        <v>8319</v>
      </c>
      <c r="R1501" t="s">
        <v>8321</v>
      </c>
      <c r="S1501" s="17">
        <f t="shared" si="98"/>
        <v>42527.007326388892</v>
      </c>
      <c r="T1501" s="17">
        <f t="shared" si="99"/>
        <v>42587.007326388892</v>
      </c>
      <c r="U1501">
        <f>MONTH(Table1[[#This Row],[Launched]])</f>
        <v>6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8220</v>
      </c>
      <c r="G1502" t="s">
        <v>8223</v>
      </c>
      <c r="H1502" t="s">
        <v>8245</v>
      </c>
      <c r="I1502" s="8">
        <v>1367444557</v>
      </c>
      <c r="J1502">
        <v>1364852557</v>
      </c>
      <c r="K1502" t="b">
        <v>0</v>
      </c>
      <c r="L1502" s="10">
        <v>15</v>
      </c>
      <c r="M1502" t="b">
        <v>0</v>
      </c>
      <c r="N1502" t="s">
        <v>8273</v>
      </c>
      <c r="O1502" s="11">
        <f t="shared" si="96"/>
        <v>25</v>
      </c>
      <c r="P1502" s="12">
        <f t="shared" si="97"/>
        <v>47</v>
      </c>
      <c r="Q1502" s="14" t="s">
        <v>8319</v>
      </c>
      <c r="R1502" t="s">
        <v>8321</v>
      </c>
      <c r="S1502" s="17">
        <f t="shared" si="98"/>
        <v>41365.904594907406</v>
      </c>
      <c r="T1502" s="17">
        <f t="shared" si="99"/>
        <v>41395.904594907406</v>
      </c>
      <c r="U1502">
        <f>MONTH(Table1[[#This Row],[Launched]])</f>
        <v>4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 s="8">
        <v>1436364023</v>
      </c>
      <c r="J1503">
        <v>1433772023</v>
      </c>
      <c r="K1503" t="b">
        <v>1</v>
      </c>
      <c r="L1503" s="10">
        <v>885</v>
      </c>
      <c r="M1503" t="b">
        <v>1</v>
      </c>
      <c r="N1503" t="s">
        <v>8283</v>
      </c>
      <c r="O1503" s="11">
        <f t="shared" si="96"/>
        <v>166</v>
      </c>
      <c r="P1503" s="12">
        <f t="shared" si="97"/>
        <v>98</v>
      </c>
      <c r="Q1503" s="14" t="s">
        <v>8335</v>
      </c>
      <c r="R1503" t="s">
        <v>8336</v>
      </c>
      <c r="S1503" s="17">
        <f t="shared" si="98"/>
        <v>42163.583599537036</v>
      </c>
      <c r="T1503" s="17">
        <f t="shared" si="99"/>
        <v>42193.583599537036</v>
      </c>
      <c r="U1503">
        <f>MONTH(Table1[[#This Row],[Launched]])</f>
        <v>6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 s="8">
        <v>1458943200</v>
      </c>
      <c r="J1504">
        <v>1456491680</v>
      </c>
      <c r="K1504" t="b">
        <v>1</v>
      </c>
      <c r="L1504" s="10">
        <v>329</v>
      </c>
      <c r="M1504" t="b">
        <v>1</v>
      </c>
      <c r="N1504" t="s">
        <v>8283</v>
      </c>
      <c r="O1504" s="11">
        <f t="shared" si="96"/>
        <v>101</v>
      </c>
      <c r="P1504" s="12">
        <f t="shared" si="97"/>
        <v>68</v>
      </c>
      <c r="Q1504" s="14" t="s">
        <v>8335</v>
      </c>
      <c r="R1504" t="s">
        <v>8336</v>
      </c>
      <c r="S1504" s="17">
        <f t="shared" si="98"/>
        <v>42426.542592592596</v>
      </c>
      <c r="T1504" s="17">
        <f t="shared" si="99"/>
        <v>42454.916666666672</v>
      </c>
      <c r="U1504">
        <f>MONTH(Table1[[#This Row],[Launched]])</f>
        <v>2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 s="8">
        <v>1477210801</v>
      </c>
      <c r="J1505">
        <v>1472026801</v>
      </c>
      <c r="K1505" t="b">
        <v>1</v>
      </c>
      <c r="L1505" s="10">
        <v>71</v>
      </c>
      <c r="M1505" t="b">
        <v>1</v>
      </c>
      <c r="N1505" t="s">
        <v>8283</v>
      </c>
      <c r="O1505" s="11">
        <f t="shared" si="96"/>
        <v>108</v>
      </c>
      <c r="P1505" s="12">
        <f t="shared" si="97"/>
        <v>57</v>
      </c>
      <c r="Q1505" s="14" t="s">
        <v>8335</v>
      </c>
      <c r="R1505" t="s">
        <v>8336</v>
      </c>
      <c r="S1505" s="17">
        <f t="shared" si="98"/>
        <v>42606.347233796296</v>
      </c>
      <c r="T1505" s="17">
        <f t="shared" si="99"/>
        <v>42666.347233796296</v>
      </c>
      <c r="U1505">
        <f>MONTH(Table1[[#This Row],[Launched]])</f>
        <v>8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 s="8">
        <v>1402389180</v>
      </c>
      <c r="J1506">
        <v>1399996024</v>
      </c>
      <c r="K1506" t="b">
        <v>1</v>
      </c>
      <c r="L1506" s="10">
        <v>269</v>
      </c>
      <c r="M1506" t="b">
        <v>1</v>
      </c>
      <c r="N1506" t="s">
        <v>8283</v>
      </c>
      <c r="O1506" s="11">
        <f t="shared" si="96"/>
        <v>278</v>
      </c>
      <c r="P1506" s="12">
        <f t="shared" si="97"/>
        <v>67</v>
      </c>
      <c r="Q1506" s="14" t="s">
        <v>8335</v>
      </c>
      <c r="R1506" t="s">
        <v>8336</v>
      </c>
      <c r="S1506" s="17">
        <f t="shared" si="98"/>
        <v>41772.657685185186</v>
      </c>
      <c r="T1506" s="17">
        <f t="shared" si="99"/>
        <v>41800.356249999997</v>
      </c>
      <c r="U1506">
        <f>MONTH(Table1[[#This Row],[Launched]])</f>
        <v>5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 s="8">
        <v>1458676860</v>
      </c>
      <c r="J1507">
        <v>1455446303</v>
      </c>
      <c r="K1507" t="b">
        <v>1</v>
      </c>
      <c r="L1507" s="10">
        <v>345</v>
      </c>
      <c r="M1507" t="b">
        <v>1</v>
      </c>
      <c r="N1507" t="s">
        <v>8283</v>
      </c>
      <c r="O1507" s="11">
        <f t="shared" si="96"/>
        <v>104</v>
      </c>
      <c r="P1507" s="12">
        <f t="shared" si="97"/>
        <v>48</v>
      </c>
      <c r="Q1507" s="14" t="s">
        <v>8335</v>
      </c>
      <c r="R1507" t="s">
        <v>8336</v>
      </c>
      <c r="S1507" s="17">
        <f t="shared" si="98"/>
        <v>42414.44332175926</v>
      </c>
      <c r="T1507" s="17">
        <f t="shared" si="99"/>
        <v>42451.834027777775</v>
      </c>
      <c r="U1507">
        <f>MONTH(Table1[[#This Row],[Launched]])</f>
        <v>2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 s="8">
        <v>1406227904</v>
      </c>
      <c r="J1508">
        <v>1403635904</v>
      </c>
      <c r="K1508" t="b">
        <v>1</v>
      </c>
      <c r="L1508" s="10">
        <v>43</v>
      </c>
      <c r="M1508" t="b">
        <v>1</v>
      </c>
      <c r="N1508" t="s">
        <v>8283</v>
      </c>
      <c r="O1508" s="11">
        <f t="shared" si="96"/>
        <v>111</v>
      </c>
      <c r="P1508" s="12">
        <f t="shared" si="97"/>
        <v>39</v>
      </c>
      <c r="Q1508" s="14" t="s">
        <v>8335</v>
      </c>
      <c r="R1508" t="s">
        <v>8336</v>
      </c>
      <c r="S1508" s="17">
        <f t="shared" si="98"/>
        <v>41814.785925925928</v>
      </c>
      <c r="T1508" s="17">
        <f t="shared" si="99"/>
        <v>41844.785925925928</v>
      </c>
      <c r="U1508">
        <f>MONTH(Table1[[#This Row],[Launched]])</f>
        <v>6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 s="8">
        <v>1273911000</v>
      </c>
      <c r="J1509">
        <v>1268822909</v>
      </c>
      <c r="K1509" t="b">
        <v>1</v>
      </c>
      <c r="L1509" s="10">
        <v>33</v>
      </c>
      <c r="M1509" t="b">
        <v>1</v>
      </c>
      <c r="N1509" t="s">
        <v>8283</v>
      </c>
      <c r="O1509" s="11">
        <f t="shared" si="96"/>
        <v>215</v>
      </c>
      <c r="P1509" s="12">
        <f t="shared" si="97"/>
        <v>78</v>
      </c>
      <c r="Q1509" s="14" t="s">
        <v>8335</v>
      </c>
      <c r="R1509" t="s">
        <v>8336</v>
      </c>
      <c r="S1509" s="17">
        <f t="shared" si="98"/>
        <v>40254.450335648151</v>
      </c>
      <c r="T1509" s="17">
        <f t="shared" si="99"/>
        <v>40313.340277777781</v>
      </c>
      <c r="U1509">
        <f>MONTH(Table1[[#This Row],[Launched]])</f>
        <v>3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 s="8">
        <v>1403880281</v>
      </c>
      <c r="J1510">
        <v>1401201881</v>
      </c>
      <c r="K1510" t="b">
        <v>1</v>
      </c>
      <c r="L1510" s="10">
        <v>211</v>
      </c>
      <c r="M1510" t="b">
        <v>1</v>
      </c>
      <c r="N1510" t="s">
        <v>8283</v>
      </c>
      <c r="O1510" s="11">
        <f t="shared" si="96"/>
        <v>111</v>
      </c>
      <c r="P1510" s="12">
        <f t="shared" si="97"/>
        <v>97</v>
      </c>
      <c r="Q1510" s="14" t="s">
        <v>8335</v>
      </c>
      <c r="R1510" t="s">
        <v>8336</v>
      </c>
      <c r="S1510" s="17">
        <f t="shared" si="98"/>
        <v>41786.614363425928</v>
      </c>
      <c r="T1510" s="17">
        <f t="shared" si="99"/>
        <v>41817.614363425928</v>
      </c>
      <c r="U1510">
        <f>MONTH(Table1[[#This Row],[Launched]])</f>
        <v>5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 s="8">
        <v>1487113140</v>
      </c>
      <c r="J1511">
        <v>1484570885</v>
      </c>
      <c r="K1511" t="b">
        <v>1</v>
      </c>
      <c r="L1511" s="10">
        <v>196</v>
      </c>
      <c r="M1511" t="b">
        <v>1</v>
      </c>
      <c r="N1511" t="s">
        <v>8283</v>
      </c>
      <c r="O1511" s="11">
        <f t="shared" si="96"/>
        <v>124</v>
      </c>
      <c r="P1511" s="12">
        <f t="shared" si="97"/>
        <v>110</v>
      </c>
      <c r="Q1511" s="14" t="s">
        <v>8335</v>
      </c>
      <c r="R1511" t="s">
        <v>8336</v>
      </c>
      <c r="S1511" s="17">
        <f t="shared" si="98"/>
        <v>42751.533391203702</v>
      </c>
      <c r="T1511" s="17">
        <f t="shared" si="99"/>
        <v>42780.957638888889</v>
      </c>
      <c r="U1511">
        <f>MONTH(Table1[[#This Row],[Launched]])</f>
        <v>1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 s="8">
        <v>1405761278</v>
      </c>
      <c r="J1512">
        <v>1403169278</v>
      </c>
      <c r="K1512" t="b">
        <v>1</v>
      </c>
      <c r="L1512" s="10">
        <v>405</v>
      </c>
      <c r="M1512" t="b">
        <v>1</v>
      </c>
      <c r="N1512" t="s">
        <v>8283</v>
      </c>
      <c r="O1512" s="11">
        <f t="shared" si="96"/>
        <v>101</v>
      </c>
      <c r="P1512" s="12">
        <f t="shared" si="97"/>
        <v>40</v>
      </c>
      <c r="Q1512" s="14" t="s">
        <v>8335</v>
      </c>
      <c r="R1512" t="s">
        <v>8336</v>
      </c>
      <c r="S1512" s="17">
        <f t="shared" si="98"/>
        <v>41809.385162037033</v>
      </c>
      <c r="T1512" s="17">
        <f t="shared" si="99"/>
        <v>41839.385162037033</v>
      </c>
      <c r="U1512">
        <f>MONTH(Table1[[#This Row],[Launched]])</f>
        <v>6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 s="8">
        <v>1447858804</v>
      </c>
      <c r="J1513">
        <v>1445263204</v>
      </c>
      <c r="K1513" t="b">
        <v>1</v>
      </c>
      <c r="L1513" s="10">
        <v>206</v>
      </c>
      <c r="M1513" t="b">
        <v>1</v>
      </c>
      <c r="N1513" t="s">
        <v>8283</v>
      </c>
      <c r="O1513" s="11">
        <f t="shared" si="96"/>
        <v>112</v>
      </c>
      <c r="P1513" s="12">
        <f t="shared" si="97"/>
        <v>76</v>
      </c>
      <c r="Q1513" s="14" t="s">
        <v>8335</v>
      </c>
      <c r="R1513" t="s">
        <v>8336</v>
      </c>
      <c r="S1513" s="17">
        <f t="shared" si="98"/>
        <v>42296.583379629628</v>
      </c>
      <c r="T1513" s="17">
        <f t="shared" si="99"/>
        <v>42326.625046296293</v>
      </c>
      <c r="U1513">
        <f>MONTH(Table1[[#This Row],[Launched]])</f>
        <v>10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 s="8">
        <v>1486311939</v>
      </c>
      <c r="J1514">
        <v>1483719939</v>
      </c>
      <c r="K1514" t="b">
        <v>1</v>
      </c>
      <c r="L1514" s="10">
        <v>335</v>
      </c>
      <c r="M1514" t="b">
        <v>1</v>
      </c>
      <c r="N1514" t="s">
        <v>8283</v>
      </c>
      <c r="O1514" s="11">
        <f t="shared" si="96"/>
        <v>559</v>
      </c>
      <c r="P1514" s="12">
        <f t="shared" si="97"/>
        <v>58</v>
      </c>
      <c r="Q1514" s="14" t="s">
        <v>8335</v>
      </c>
      <c r="R1514" t="s">
        <v>8336</v>
      </c>
      <c r="S1514" s="17">
        <f t="shared" si="98"/>
        <v>42741.684479166666</v>
      </c>
      <c r="T1514" s="17">
        <f t="shared" si="99"/>
        <v>42771.684479166666</v>
      </c>
      <c r="U1514">
        <f>MONTH(Table1[[#This Row],[Launched]])</f>
        <v>1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 s="8">
        <v>1405523866</v>
      </c>
      <c r="J1515">
        <v>1402931866</v>
      </c>
      <c r="K1515" t="b">
        <v>1</v>
      </c>
      <c r="L1515" s="10">
        <v>215</v>
      </c>
      <c r="M1515" t="b">
        <v>1</v>
      </c>
      <c r="N1515" t="s">
        <v>8283</v>
      </c>
      <c r="O1515" s="11">
        <f t="shared" si="96"/>
        <v>150</v>
      </c>
      <c r="P1515" s="12">
        <f t="shared" si="97"/>
        <v>56</v>
      </c>
      <c r="Q1515" s="14" t="s">
        <v>8335</v>
      </c>
      <c r="R1515" t="s">
        <v>8336</v>
      </c>
      <c r="S1515" s="17">
        <f t="shared" si="98"/>
        <v>41806.637337962966</v>
      </c>
      <c r="T1515" s="17">
        <f t="shared" si="99"/>
        <v>41836.637337962966</v>
      </c>
      <c r="U1515">
        <f>MONTH(Table1[[#This Row],[Launched]])</f>
        <v>6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 s="8">
        <v>1443363640</v>
      </c>
      <c r="J1516">
        <v>1439907640</v>
      </c>
      <c r="K1516" t="b">
        <v>1</v>
      </c>
      <c r="L1516" s="10">
        <v>176</v>
      </c>
      <c r="M1516" t="b">
        <v>1</v>
      </c>
      <c r="N1516" t="s">
        <v>8283</v>
      </c>
      <c r="O1516" s="11">
        <f t="shared" si="96"/>
        <v>106</v>
      </c>
      <c r="P1516" s="12">
        <f t="shared" si="97"/>
        <v>151</v>
      </c>
      <c r="Q1516" s="14" t="s">
        <v>8335</v>
      </c>
      <c r="R1516" t="s">
        <v>8336</v>
      </c>
      <c r="S1516" s="17">
        <f t="shared" si="98"/>
        <v>42234.597685185188</v>
      </c>
      <c r="T1516" s="17">
        <f t="shared" si="99"/>
        <v>42274.597685185188</v>
      </c>
      <c r="U1516">
        <f>MONTH(Table1[[#This Row],[Launched]])</f>
        <v>8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 s="8">
        <v>1458104697</v>
      </c>
      <c r="J1517">
        <v>1455516297</v>
      </c>
      <c r="K1517" t="b">
        <v>1</v>
      </c>
      <c r="L1517" s="10">
        <v>555</v>
      </c>
      <c r="M1517" t="b">
        <v>1</v>
      </c>
      <c r="N1517" t="s">
        <v>8283</v>
      </c>
      <c r="O1517" s="11">
        <f t="shared" si="96"/>
        <v>157</v>
      </c>
      <c r="P1517" s="12">
        <f t="shared" si="97"/>
        <v>850</v>
      </c>
      <c r="Q1517" s="14" t="s">
        <v>8335</v>
      </c>
      <c r="R1517" t="s">
        <v>8336</v>
      </c>
      <c r="S1517" s="17">
        <f t="shared" si="98"/>
        <v>42415.253437499996</v>
      </c>
      <c r="T1517" s="17">
        <f t="shared" si="99"/>
        <v>42445.211770833332</v>
      </c>
      <c r="U1517">
        <f>MONTH(Table1[[#This Row],[Launched]])</f>
        <v>2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 s="8">
        <v>1475762400</v>
      </c>
      <c r="J1518">
        <v>1473160292</v>
      </c>
      <c r="K1518" t="b">
        <v>1</v>
      </c>
      <c r="L1518" s="10">
        <v>116</v>
      </c>
      <c r="M1518" t="b">
        <v>1</v>
      </c>
      <c r="N1518" t="s">
        <v>8283</v>
      </c>
      <c r="O1518" s="11">
        <f t="shared" si="96"/>
        <v>109</v>
      </c>
      <c r="P1518" s="12">
        <f t="shared" si="97"/>
        <v>159</v>
      </c>
      <c r="Q1518" s="14" t="s">
        <v>8335</v>
      </c>
      <c r="R1518" t="s">
        <v>8336</v>
      </c>
      <c r="S1518" s="17">
        <f t="shared" si="98"/>
        <v>42619.466342592597</v>
      </c>
      <c r="T1518" s="17">
        <f t="shared" si="99"/>
        <v>42649.583333333328</v>
      </c>
      <c r="U1518">
        <f>MONTH(Table1[[#This Row],[Launched]])</f>
        <v>9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 s="8">
        <v>1417845600</v>
      </c>
      <c r="J1519">
        <v>1415194553</v>
      </c>
      <c r="K1519" t="b">
        <v>1</v>
      </c>
      <c r="L1519" s="10">
        <v>615</v>
      </c>
      <c r="M1519" t="b">
        <v>1</v>
      </c>
      <c r="N1519" t="s">
        <v>8283</v>
      </c>
      <c r="O1519" s="11">
        <f t="shared" si="96"/>
        <v>162</v>
      </c>
      <c r="P1519" s="12">
        <f t="shared" si="97"/>
        <v>40</v>
      </c>
      <c r="Q1519" s="14" t="s">
        <v>8335</v>
      </c>
      <c r="R1519" t="s">
        <v>8336</v>
      </c>
      <c r="S1519" s="17">
        <f t="shared" si="98"/>
        <v>41948.56658564815</v>
      </c>
      <c r="T1519" s="17">
        <f t="shared" si="99"/>
        <v>41979.25</v>
      </c>
      <c r="U1519">
        <f>MONTH(Table1[[#This Row],[Launched]])</f>
        <v>11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 s="8">
        <v>1401565252</v>
      </c>
      <c r="J1520">
        <v>1398973252</v>
      </c>
      <c r="K1520" t="b">
        <v>1</v>
      </c>
      <c r="L1520" s="10">
        <v>236</v>
      </c>
      <c r="M1520" t="b">
        <v>1</v>
      </c>
      <c r="N1520" t="s">
        <v>8283</v>
      </c>
      <c r="O1520" s="11">
        <f t="shared" si="96"/>
        <v>205</v>
      </c>
      <c r="P1520" s="12">
        <f t="shared" si="97"/>
        <v>131</v>
      </c>
      <c r="Q1520" s="14" t="s">
        <v>8335</v>
      </c>
      <c r="R1520" t="s">
        <v>8336</v>
      </c>
      <c r="S1520" s="17">
        <f t="shared" si="98"/>
        <v>41760.8200462963</v>
      </c>
      <c r="T1520" s="17">
        <f t="shared" si="99"/>
        <v>41790.8200462963</v>
      </c>
      <c r="U1520">
        <f>MONTH(Table1[[#This Row],[Launched]])</f>
        <v>5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 s="8">
        <v>1403301540</v>
      </c>
      <c r="J1521">
        <v>1400867283</v>
      </c>
      <c r="K1521" t="b">
        <v>1</v>
      </c>
      <c r="L1521" s="10">
        <v>145</v>
      </c>
      <c r="M1521" t="b">
        <v>1</v>
      </c>
      <c r="N1521" t="s">
        <v>8283</v>
      </c>
      <c r="O1521" s="11">
        <f t="shared" si="96"/>
        <v>103</v>
      </c>
      <c r="P1521" s="12">
        <f t="shared" si="97"/>
        <v>64</v>
      </c>
      <c r="Q1521" s="14" t="s">
        <v>8335</v>
      </c>
      <c r="R1521" t="s">
        <v>8336</v>
      </c>
      <c r="S1521" s="17">
        <f t="shared" si="98"/>
        <v>41782.741701388892</v>
      </c>
      <c r="T1521" s="17">
        <f t="shared" si="99"/>
        <v>41810.915972222225</v>
      </c>
      <c r="U1521">
        <f>MONTH(Table1[[#This Row],[Launched]])</f>
        <v>5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 s="8">
        <v>1418961600</v>
      </c>
      <c r="J1522">
        <v>1415824513</v>
      </c>
      <c r="K1522" t="b">
        <v>1</v>
      </c>
      <c r="L1522" s="10">
        <v>167</v>
      </c>
      <c r="M1522" t="b">
        <v>1</v>
      </c>
      <c r="N1522" t="s">
        <v>8283</v>
      </c>
      <c r="O1522" s="11">
        <f t="shared" si="96"/>
        <v>103</v>
      </c>
      <c r="P1522" s="12">
        <f t="shared" si="97"/>
        <v>112</v>
      </c>
      <c r="Q1522" s="14" t="s">
        <v>8335</v>
      </c>
      <c r="R1522" t="s">
        <v>8336</v>
      </c>
      <c r="S1522" s="17">
        <f t="shared" si="98"/>
        <v>41955.857789351852</v>
      </c>
      <c r="T1522" s="17">
        <f t="shared" si="99"/>
        <v>41992.166666666672</v>
      </c>
      <c r="U1522">
        <f>MONTH(Table1[[#This Row],[Launched]])</f>
        <v>11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 s="8">
        <v>1465272091</v>
      </c>
      <c r="J1523">
        <v>1462248091</v>
      </c>
      <c r="K1523" t="b">
        <v>1</v>
      </c>
      <c r="L1523" s="10">
        <v>235</v>
      </c>
      <c r="M1523" t="b">
        <v>1</v>
      </c>
      <c r="N1523" t="s">
        <v>8283</v>
      </c>
      <c r="O1523" s="11">
        <f t="shared" si="96"/>
        <v>107</v>
      </c>
      <c r="P1523" s="12">
        <f t="shared" si="97"/>
        <v>170</v>
      </c>
      <c r="Q1523" s="14" t="s">
        <v>8335</v>
      </c>
      <c r="R1523" t="s">
        <v>8336</v>
      </c>
      <c r="S1523" s="17">
        <f t="shared" si="98"/>
        <v>42493.167719907404</v>
      </c>
      <c r="T1523" s="17">
        <f t="shared" si="99"/>
        <v>42528.167719907404</v>
      </c>
      <c r="U1523">
        <f>MONTH(Table1[[#This Row],[Launched]])</f>
        <v>5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 s="8">
        <v>1413575739</v>
      </c>
      <c r="J1524">
        <v>1410983739</v>
      </c>
      <c r="K1524" t="b">
        <v>1</v>
      </c>
      <c r="L1524" s="10">
        <v>452</v>
      </c>
      <c r="M1524" t="b">
        <v>1</v>
      </c>
      <c r="N1524" t="s">
        <v>8283</v>
      </c>
      <c r="O1524" s="11">
        <f t="shared" si="96"/>
        <v>139</v>
      </c>
      <c r="P1524" s="12">
        <f t="shared" si="97"/>
        <v>134</v>
      </c>
      <c r="Q1524" s="14" t="s">
        <v>8335</v>
      </c>
      <c r="R1524" t="s">
        <v>8336</v>
      </c>
      <c r="S1524" s="17">
        <f t="shared" si="98"/>
        <v>41899.830312500002</v>
      </c>
      <c r="T1524" s="17">
        <f t="shared" si="99"/>
        <v>41929.830312500002</v>
      </c>
      <c r="U1524">
        <f>MONTH(Table1[[#This Row],[Launched]])</f>
        <v>9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 s="8">
        <v>1419292800</v>
      </c>
      <c r="J1525">
        <v>1416592916</v>
      </c>
      <c r="K1525" t="b">
        <v>1</v>
      </c>
      <c r="L1525" s="10">
        <v>241</v>
      </c>
      <c r="M1525" t="b">
        <v>1</v>
      </c>
      <c r="N1525" t="s">
        <v>8283</v>
      </c>
      <c r="O1525" s="11">
        <f t="shared" si="96"/>
        <v>125</v>
      </c>
      <c r="P1525" s="12">
        <f t="shared" si="97"/>
        <v>96</v>
      </c>
      <c r="Q1525" s="14" t="s">
        <v>8335</v>
      </c>
      <c r="R1525" t="s">
        <v>8336</v>
      </c>
      <c r="S1525" s="17">
        <f t="shared" si="98"/>
        <v>41964.751342592594</v>
      </c>
      <c r="T1525" s="17">
        <f t="shared" si="99"/>
        <v>41996</v>
      </c>
      <c r="U1525">
        <f>MONTH(Table1[[#This Row],[Launched]])</f>
        <v>11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 s="8">
        <v>1487592090</v>
      </c>
      <c r="J1526">
        <v>1485000090</v>
      </c>
      <c r="K1526" t="b">
        <v>1</v>
      </c>
      <c r="L1526" s="10">
        <v>28</v>
      </c>
      <c r="M1526" t="b">
        <v>1</v>
      </c>
      <c r="N1526" t="s">
        <v>8283</v>
      </c>
      <c r="O1526" s="11">
        <f t="shared" si="96"/>
        <v>207</v>
      </c>
      <c r="P1526" s="12">
        <f t="shared" si="97"/>
        <v>222</v>
      </c>
      <c r="Q1526" s="14" t="s">
        <v>8335</v>
      </c>
      <c r="R1526" t="s">
        <v>8336</v>
      </c>
      <c r="S1526" s="17">
        <f t="shared" si="98"/>
        <v>42756.501041666663</v>
      </c>
      <c r="T1526" s="17">
        <f t="shared" si="99"/>
        <v>42786.501041666663</v>
      </c>
      <c r="U1526">
        <f>MONTH(Table1[[#This Row],[Launched]])</f>
        <v>1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 s="8">
        <v>1471539138</v>
      </c>
      <c r="J1527">
        <v>1468947138</v>
      </c>
      <c r="K1527" t="b">
        <v>1</v>
      </c>
      <c r="L1527" s="10">
        <v>140</v>
      </c>
      <c r="M1527" t="b">
        <v>1</v>
      </c>
      <c r="N1527" t="s">
        <v>8283</v>
      </c>
      <c r="O1527" s="11">
        <f t="shared" si="96"/>
        <v>174</v>
      </c>
      <c r="P1527" s="12">
        <f t="shared" si="97"/>
        <v>32</v>
      </c>
      <c r="Q1527" s="14" t="s">
        <v>8335</v>
      </c>
      <c r="R1527" t="s">
        <v>8336</v>
      </c>
      <c r="S1527" s="17">
        <f t="shared" si="98"/>
        <v>42570.702986111108</v>
      </c>
      <c r="T1527" s="17">
        <f t="shared" si="99"/>
        <v>42600.702986111108</v>
      </c>
      <c r="U1527">
        <f>MONTH(Table1[[#This Row],[Launched]])</f>
        <v>7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 s="8">
        <v>1453185447</v>
      </c>
      <c r="J1528">
        <v>1448951847</v>
      </c>
      <c r="K1528" t="b">
        <v>1</v>
      </c>
      <c r="L1528" s="10">
        <v>280</v>
      </c>
      <c r="M1528" t="b">
        <v>1</v>
      </c>
      <c r="N1528" t="s">
        <v>8283</v>
      </c>
      <c r="O1528" s="11">
        <f t="shared" si="96"/>
        <v>120</v>
      </c>
      <c r="P1528" s="12">
        <f t="shared" si="97"/>
        <v>99</v>
      </c>
      <c r="Q1528" s="14" t="s">
        <v>8335</v>
      </c>
      <c r="R1528" t="s">
        <v>8336</v>
      </c>
      <c r="S1528" s="17">
        <f t="shared" si="98"/>
        <v>42339.276006944448</v>
      </c>
      <c r="T1528" s="17">
        <f t="shared" si="99"/>
        <v>42388.276006944448</v>
      </c>
      <c r="U1528">
        <f>MONTH(Table1[[#This Row],[Launched]])</f>
        <v>12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 s="8">
        <v>1489497886</v>
      </c>
      <c r="J1529">
        <v>1487082286</v>
      </c>
      <c r="K1529" t="b">
        <v>1</v>
      </c>
      <c r="L1529" s="10">
        <v>70</v>
      </c>
      <c r="M1529" t="b">
        <v>1</v>
      </c>
      <c r="N1529" t="s">
        <v>8283</v>
      </c>
      <c r="O1529" s="11">
        <f t="shared" si="96"/>
        <v>110</v>
      </c>
      <c r="P1529" s="12">
        <f t="shared" si="97"/>
        <v>55</v>
      </c>
      <c r="Q1529" s="14" t="s">
        <v>8335</v>
      </c>
      <c r="R1529" t="s">
        <v>8336</v>
      </c>
      <c r="S1529" s="17">
        <f t="shared" si="98"/>
        <v>42780.600532407407</v>
      </c>
      <c r="T1529" s="17">
        <f t="shared" si="99"/>
        <v>42808.558865740735</v>
      </c>
      <c r="U1529">
        <f>MONTH(Table1[[#This Row],[Launched]])</f>
        <v>2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 s="8">
        <v>1485907200</v>
      </c>
      <c r="J1530">
        <v>1483292122</v>
      </c>
      <c r="K1530" t="b">
        <v>1</v>
      </c>
      <c r="L1530" s="10">
        <v>160</v>
      </c>
      <c r="M1530" t="b">
        <v>1</v>
      </c>
      <c r="N1530" t="s">
        <v>8283</v>
      </c>
      <c r="O1530" s="11">
        <f t="shared" si="96"/>
        <v>282</v>
      </c>
      <c r="P1530" s="12">
        <f t="shared" si="97"/>
        <v>53</v>
      </c>
      <c r="Q1530" s="14" t="s">
        <v>8335</v>
      </c>
      <c r="R1530" t="s">
        <v>8336</v>
      </c>
      <c r="S1530" s="17">
        <f t="shared" si="98"/>
        <v>42736.732893518521</v>
      </c>
      <c r="T1530" s="17">
        <f t="shared" si="99"/>
        <v>42767</v>
      </c>
      <c r="U1530">
        <f>MONTH(Table1[[#This Row],[Launched]])</f>
        <v>1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 s="8">
        <v>1426773920</v>
      </c>
      <c r="J1531">
        <v>1424185520</v>
      </c>
      <c r="K1531" t="b">
        <v>1</v>
      </c>
      <c r="L1531" s="10">
        <v>141</v>
      </c>
      <c r="M1531" t="b">
        <v>1</v>
      </c>
      <c r="N1531" t="s">
        <v>8283</v>
      </c>
      <c r="O1531" s="11">
        <f t="shared" si="96"/>
        <v>101</v>
      </c>
      <c r="P1531" s="12">
        <f t="shared" si="97"/>
        <v>136</v>
      </c>
      <c r="Q1531" s="14" t="s">
        <v>8335</v>
      </c>
      <c r="R1531" t="s">
        <v>8336</v>
      </c>
      <c r="S1531" s="17">
        <f t="shared" si="98"/>
        <v>42052.628703703704</v>
      </c>
      <c r="T1531" s="17">
        <f t="shared" si="99"/>
        <v>42082.587037037039</v>
      </c>
      <c r="U1531">
        <f>MONTH(Table1[[#This Row],[Launched]])</f>
        <v>2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 s="8">
        <v>1445624695</v>
      </c>
      <c r="J1532">
        <v>1443464695</v>
      </c>
      <c r="K1532" t="b">
        <v>1</v>
      </c>
      <c r="L1532" s="10">
        <v>874</v>
      </c>
      <c r="M1532" t="b">
        <v>1</v>
      </c>
      <c r="N1532" t="s">
        <v>8283</v>
      </c>
      <c r="O1532" s="11">
        <f t="shared" si="96"/>
        <v>135</v>
      </c>
      <c r="P1532" s="12">
        <f t="shared" si="97"/>
        <v>54</v>
      </c>
      <c r="Q1532" s="14" t="s">
        <v>8335</v>
      </c>
      <c r="R1532" t="s">
        <v>8336</v>
      </c>
      <c r="S1532" s="17">
        <f t="shared" si="98"/>
        <v>42275.767303240747</v>
      </c>
      <c r="T1532" s="17">
        <f t="shared" si="99"/>
        <v>42300.767303240747</v>
      </c>
      <c r="U1532">
        <f>MONTH(Table1[[#This Row],[Launched]])</f>
        <v>9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 s="8">
        <v>1417402800</v>
      </c>
      <c r="J1533">
        <v>1414610126</v>
      </c>
      <c r="K1533" t="b">
        <v>1</v>
      </c>
      <c r="L1533" s="10">
        <v>73</v>
      </c>
      <c r="M1533" t="b">
        <v>1</v>
      </c>
      <c r="N1533" t="s">
        <v>8283</v>
      </c>
      <c r="O1533" s="11">
        <f t="shared" si="96"/>
        <v>176</v>
      </c>
      <c r="P1533" s="12">
        <f t="shared" si="97"/>
        <v>57</v>
      </c>
      <c r="Q1533" s="14" t="s">
        <v>8335</v>
      </c>
      <c r="R1533" t="s">
        <v>8336</v>
      </c>
      <c r="S1533" s="17">
        <f t="shared" si="98"/>
        <v>41941.802384259259</v>
      </c>
      <c r="T1533" s="17">
        <f t="shared" si="99"/>
        <v>41974.125</v>
      </c>
      <c r="U1533">
        <f>MONTH(Table1[[#This Row],[Launched]])</f>
        <v>10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 s="8">
        <v>1455548400</v>
      </c>
      <c r="J1534">
        <v>1453461865</v>
      </c>
      <c r="K1534" t="b">
        <v>1</v>
      </c>
      <c r="L1534" s="10">
        <v>294</v>
      </c>
      <c r="M1534" t="b">
        <v>1</v>
      </c>
      <c r="N1534" t="s">
        <v>8283</v>
      </c>
      <c r="O1534" s="11">
        <f t="shared" si="96"/>
        <v>484</v>
      </c>
      <c r="P1534" s="12">
        <f t="shared" si="97"/>
        <v>82</v>
      </c>
      <c r="Q1534" s="14" t="s">
        <v>8335</v>
      </c>
      <c r="R1534" t="s">
        <v>8336</v>
      </c>
      <c r="S1534" s="17">
        <f t="shared" si="98"/>
        <v>42391.475289351853</v>
      </c>
      <c r="T1534" s="17">
        <f t="shared" si="99"/>
        <v>42415.625</v>
      </c>
      <c r="U1534">
        <f>MONTH(Table1[[#This Row],[Launched]])</f>
        <v>1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 s="8">
        <v>1462161540</v>
      </c>
      <c r="J1535">
        <v>1457913777</v>
      </c>
      <c r="K1535" t="b">
        <v>1</v>
      </c>
      <c r="L1535" s="10">
        <v>740</v>
      </c>
      <c r="M1535" t="b">
        <v>1</v>
      </c>
      <c r="N1535" t="s">
        <v>8283</v>
      </c>
      <c r="O1535" s="11">
        <f t="shared" si="96"/>
        <v>145</v>
      </c>
      <c r="P1535" s="12">
        <f t="shared" si="97"/>
        <v>88</v>
      </c>
      <c r="Q1535" s="14" t="s">
        <v>8335</v>
      </c>
      <c r="R1535" t="s">
        <v>8336</v>
      </c>
      <c r="S1535" s="17">
        <f t="shared" si="98"/>
        <v>42443.00204861111</v>
      </c>
      <c r="T1535" s="17">
        <f t="shared" si="99"/>
        <v>42492.165972222225</v>
      </c>
      <c r="U1535">
        <f>MONTH(Table1[[#This Row],[Launched]])</f>
        <v>3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 s="8">
        <v>1441383062</v>
      </c>
      <c r="J1536">
        <v>1438791062</v>
      </c>
      <c r="K1536" t="b">
        <v>1</v>
      </c>
      <c r="L1536" s="10">
        <v>369</v>
      </c>
      <c r="M1536" t="b">
        <v>1</v>
      </c>
      <c r="N1536" t="s">
        <v>8283</v>
      </c>
      <c r="O1536" s="11">
        <f t="shared" si="96"/>
        <v>418</v>
      </c>
      <c r="P1536" s="12">
        <f t="shared" si="97"/>
        <v>85</v>
      </c>
      <c r="Q1536" s="14" t="s">
        <v>8335</v>
      </c>
      <c r="R1536" t="s">
        <v>8336</v>
      </c>
      <c r="S1536" s="17">
        <f t="shared" si="98"/>
        <v>42221.67432870371</v>
      </c>
      <c r="T1536" s="17">
        <f t="shared" si="99"/>
        <v>42251.67432870371</v>
      </c>
      <c r="U1536">
        <f>MONTH(Table1[[#This Row],[Launched]])</f>
        <v>8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 s="8">
        <v>1464040800</v>
      </c>
      <c r="J1537">
        <v>1461527631</v>
      </c>
      <c r="K1537" t="b">
        <v>1</v>
      </c>
      <c r="L1537" s="10">
        <v>110</v>
      </c>
      <c r="M1537" t="b">
        <v>1</v>
      </c>
      <c r="N1537" t="s">
        <v>8283</v>
      </c>
      <c r="O1537" s="11">
        <f t="shared" si="96"/>
        <v>132</v>
      </c>
      <c r="P1537" s="12">
        <f t="shared" si="97"/>
        <v>48</v>
      </c>
      <c r="Q1537" s="14" t="s">
        <v>8335</v>
      </c>
      <c r="R1537" t="s">
        <v>8336</v>
      </c>
      <c r="S1537" s="17">
        <f t="shared" si="98"/>
        <v>42484.829062500001</v>
      </c>
      <c r="T1537" s="17">
        <f t="shared" si="99"/>
        <v>42513.916666666672</v>
      </c>
      <c r="U1537">
        <f>MONTH(Table1[[#This Row],[Launched]])</f>
        <v>4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 s="8">
        <v>1440702910</v>
      </c>
      <c r="J1538">
        <v>1438110910</v>
      </c>
      <c r="K1538" t="b">
        <v>1</v>
      </c>
      <c r="L1538" s="10">
        <v>455</v>
      </c>
      <c r="M1538" t="b">
        <v>1</v>
      </c>
      <c r="N1538" t="s">
        <v>8283</v>
      </c>
      <c r="O1538" s="11">
        <f t="shared" ref="O1538:O1601" si="100">ROUND(E1538/D1538*100,0)</f>
        <v>250</v>
      </c>
      <c r="P1538" s="12">
        <f t="shared" si="97"/>
        <v>66</v>
      </c>
      <c r="Q1538" s="14" t="s">
        <v>8335</v>
      </c>
      <c r="R1538" t="s">
        <v>8336</v>
      </c>
      <c r="S1538" s="17">
        <f t="shared" si="98"/>
        <v>42213.802199074074</v>
      </c>
      <c r="T1538" s="17">
        <f t="shared" si="99"/>
        <v>42243.802199074074</v>
      </c>
      <c r="U1538">
        <f>MONTH(Table1[[#This Row],[Launched]])</f>
        <v>7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 s="8">
        <v>1470506400</v>
      </c>
      <c r="J1539">
        <v>1467358427</v>
      </c>
      <c r="K1539" t="b">
        <v>1</v>
      </c>
      <c r="L1539" s="10">
        <v>224</v>
      </c>
      <c r="M1539" t="b">
        <v>1</v>
      </c>
      <c r="N1539" t="s">
        <v>8283</v>
      </c>
      <c r="O1539" s="11">
        <f t="shared" si="100"/>
        <v>180</v>
      </c>
      <c r="P1539" s="12">
        <f t="shared" ref="P1539:P1602" si="101">IFERROR(ROUND(E1539/L1539,),"No Backers")</f>
        <v>96</v>
      </c>
      <c r="Q1539" s="14" t="s">
        <v>8335</v>
      </c>
      <c r="R1539" t="s">
        <v>8336</v>
      </c>
      <c r="S1539" s="17">
        <f t="shared" ref="S1539:S1602" si="102">(((J1539/60)/60)/24)+DATE(1970,1,1)</f>
        <v>42552.315127314811</v>
      </c>
      <c r="T1539" s="17">
        <f t="shared" ref="T1539:T1602" si="103">(((I1539/60)/60)/24)+DATE(1970,1,1)</f>
        <v>42588.75</v>
      </c>
      <c r="U1539">
        <f>MONTH(Table1[[#This Row],[Launched]])</f>
        <v>7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 s="8">
        <v>1421952370</v>
      </c>
      <c r="J1540">
        <v>1418064370</v>
      </c>
      <c r="K1540" t="b">
        <v>1</v>
      </c>
      <c r="L1540" s="10">
        <v>46</v>
      </c>
      <c r="M1540" t="b">
        <v>1</v>
      </c>
      <c r="N1540" t="s">
        <v>8283</v>
      </c>
      <c r="O1540" s="11">
        <f t="shared" si="100"/>
        <v>103</v>
      </c>
      <c r="P1540" s="12">
        <f t="shared" si="101"/>
        <v>156</v>
      </c>
      <c r="Q1540" s="14" t="s">
        <v>8335</v>
      </c>
      <c r="R1540" t="s">
        <v>8336</v>
      </c>
      <c r="S1540" s="17">
        <f t="shared" si="102"/>
        <v>41981.782060185185</v>
      </c>
      <c r="T1540" s="17">
        <f t="shared" si="103"/>
        <v>42026.782060185185</v>
      </c>
      <c r="U1540">
        <f>MONTH(Table1[[#This Row],[Launched]])</f>
        <v>12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 s="8">
        <v>1483481019</v>
      </c>
      <c r="J1541">
        <v>1480629819</v>
      </c>
      <c r="K1541" t="b">
        <v>0</v>
      </c>
      <c r="L1541" s="10">
        <v>284</v>
      </c>
      <c r="M1541" t="b">
        <v>1</v>
      </c>
      <c r="N1541" t="s">
        <v>8283</v>
      </c>
      <c r="O1541" s="11">
        <f t="shared" si="100"/>
        <v>136</v>
      </c>
      <c r="P1541" s="12">
        <f t="shared" si="101"/>
        <v>96</v>
      </c>
      <c r="Q1541" s="14" t="s">
        <v>8335</v>
      </c>
      <c r="R1541" t="s">
        <v>8336</v>
      </c>
      <c r="S1541" s="17">
        <f t="shared" si="102"/>
        <v>42705.919201388882</v>
      </c>
      <c r="T1541" s="17">
        <f t="shared" si="103"/>
        <v>42738.919201388882</v>
      </c>
      <c r="U1541">
        <f>MONTH(Table1[[#This Row],[Launched]])</f>
        <v>12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 s="8">
        <v>1416964500</v>
      </c>
      <c r="J1542">
        <v>1414368616</v>
      </c>
      <c r="K1542" t="b">
        <v>1</v>
      </c>
      <c r="L1542" s="10">
        <v>98</v>
      </c>
      <c r="M1542" t="b">
        <v>1</v>
      </c>
      <c r="N1542" t="s">
        <v>8283</v>
      </c>
      <c r="O1542" s="11">
        <f t="shared" si="100"/>
        <v>118</v>
      </c>
      <c r="P1542" s="12">
        <f t="shared" si="101"/>
        <v>180</v>
      </c>
      <c r="Q1542" s="14" t="s">
        <v>8335</v>
      </c>
      <c r="R1542" t="s">
        <v>8336</v>
      </c>
      <c r="S1542" s="17">
        <f t="shared" si="102"/>
        <v>41939.00712962963</v>
      </c>
      <c r="T1542" s="17">
        <f t="shared" si="103"/>
        <v>41969.052083333328</v>
      </c>
      <c r="U1542">
        <f>MONTH(Table1[[#This Row],[Launched]])</f>
        <v>10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8220</v>
      </c>
      <c r="G1543" t="s">
        <v>8223</v>
      </c>
      <c r="H1543" t="s">
        <v>8245</v>
      </c>
      <c r="I1543" s="8">
        <v>1420045538</v>
      </c>
      <c r="J1543">
        <v>1417453538</v>
      </c>
      <c r="K1543" t="b">
        <v>0</v>
      </c>
      <c r="L1543" s="10">
        <v>2</v>
      </c>
      <c r="M1543" t="b">
        <v>0</v>
      </c>
      <c r="N1543" t="s">
        <v>8287</v>
      </c>
      <c r="O1543" s="11">
        <f t="shared" si="100"/>
        <v>0</v>
      </c>
      <c r="P1543" s="12">
        <f t="shared" si="101"/>
        <v>3</v>
      </c>
      <c r="Q1543" s="14" t="s">
        <v>8335</v>
      </c>
      <c r="R1543" t="s">
        <v>8340</v>
      </c>
      <c r="S1543" s="17">
        <f t="shared" si="102"/>
        <v>41974.712245370371</v>
      </c>
      <c r="T1543" s="17">
        <f t="shared" si="103"/>
        <v>42004.712245370371</v>
      </c>
      <c r="U1543">
        <f>MONTH(Table1[[#This Row],[Launched]])</f>
        <v>12</v>
      </c>
    </row>
    <row r="1544" spans="1:21" ht="57.6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8220</v>
      </c>
      <c r="G1544" t="s">
        <v>8228</v>
      </c>
      <c r="H1544" t="s">
        <v>8250</v>
      </c>
      <c r="I1544" s="8">
        <v>1435708500</v>
      </c>
      <c r="J1544">
        <v>1434412500</v>
      </c>
      <c r="K1544" t="b">
        <v>0</v>
      </c>
      <c r="L1544" s="10">
        <v>1</v>
      </c>
      <c r="M1544" t="b">
        <v>0</v>
      </c>
      <c r="N1544" t="s">
        <v>8287</v>
      </c>
      <c r="O1544" s="11">
        <f t="shared" si="100"/>
        <v>4</v>
      </c>
      <c r="P1544" s="12">
        <f t="shared" si="101"/>
        <v>20</v>
      </c>
      <c r="Q1544" s="14" t="s">
        <v>8335</v>
      </c>
      <c r="R1544" t="s">
        <v>8340</v>
      </c>
      <c r="S1544" s="17">
        <f t="shared" si="102"/>
        <v>42170.996527777781</v>
      </c>
      <c r="T1544" s="17">
        <f t="shared" si="103"/>
        <v>42185.996527777781</v>
      </c>
      <c r="U1544">
        <f>MONTH(Table1[[#This Row],[Launched]])</f>
        <v>6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8220</v>
      </c>
      <c r="G1545" t="s">
        <v>8223</v>
      </c>
      <c r="H1545" t="s">
        <v>8245</v>
      </c>
      <c r="I1545" s="8">
        <v>1416662034</v>
      </c>
      <c r="J1545">
        <v>1414066434</v>
      </c>
      <c r="K1545" t="b">
        <v>0</v>
      </c>
      <c r="L1545" s="10">
        <v>1</v>
      </c>
      <c r="M1545" t="b">
        <v>0</v>
      </c>
      <c r="N1545" t="s">
        <v>8287</v>
      </c>
      <c r="O1545" s="11">
        <f t="shared" si="100"/>
        <v>0</v>
      </c>
      <c r="P1545" s="12">
        <f t="shared" si="101"/>
        <v>10</v>
      </c>
      <c r="Q1545" s="14" t="s">
        <v>8335</v>
      </c>
      <c r="R1545" t="s">
        <v>8340</v>
      </c>
      <c r="S1545" s="17">
        <f t="shared" si="102"/>
        <v>41935.509652777779</v>
      </c>
      <c r="T1545" s="17">
        <f t="shared" si="103"/>
        <v>41965.551319444443</v>
      </c>
      <c r="U1545">
        <f>MONTH(Table1[[#This Row],[Launched]])</f>
        <v>10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8220</v>
      </c>
      <c r="G1546" t="s">
        <v>8223</v>
      </c>
      <c r="H1546" t="s">
        <v>8245</v>
      </c>
      <c r="I1546" s="8">
        <v>1427847480</v>
      </c>
      <c r="J1546">
        <v>1424222024</v>
      </c>
      <c r="K1546" t="b">
        <v>0</v>
      </c>
      <c r="L1546" s="10">
        <v>0</v>
      </c>
      <c r="M1546" t="b">
        <v>0</v>
      </c>
      <c r="N1546" t="s">
        <v>8287</v>
      </c>
      <c r="O1546" s="11">
        <f t="shared" si="100"/>
        <v>0</v>
      </c>
      <c r="P1546" s="12" t="str">
        <f t="shared" si="101"/>
        <v>No Backers</v>
      </c>
      <c r="Q1546" s="14" t="s">
        <v>8335</v>
      </c>
      <c r="R1546" t="s">
        <v>8340</v>
      </c>
      <c r="S1546" s="17">
        <f t="shared" si="102"/>
        <v>42053.051203703704</v>
      </c>
      <c r="T1546" s="17">
        <f t="shared" si="103"/>
        <v>42095.012499999997</v>
      </c>
      <c r="U1546">
        <f>MONTH(Table1[[#This Row],[Launched]])</f>
        <v>2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8220</v>
      </c>
      <c r="G1547" t="s">
        <v>8223</v>
      </c>
      <c r="H1547" t="s">
        <v>8245</v>
      </c>
      <c r="I1547" s="8">
        <v>1425330960</v>
      </c>
      <c r="J1547">
        <v>1422393234</v>
      </c>
      <c r="K1547" t="b">
        <v>0</v>
      </c>
      <c r="L1547" s="10">
        <v>1</v>
      </c>
      <c r="M1547" t="b">
        <v>0</v>
      </c>
      <c r="N1547" t="s">
        <v>8287</v>
      </c>
      <c r="O1547" s="11">
        <f t="shared" si="100"/>
        <v>0</v>
      </c>
      <c r="P1547" s="12">
        <f t="shared" si="101"/>
        <v>1</v>
      </c>
      <c r="Q1547" s="14" t="s">
        <v>8335</v>
      </c>
      <c r="R1547" t="s">
        <v>8340</v>
      </c>
      <c r="S1547" s="17">
        <f t="shared" si="102"/>
        <v>42031.884652777779</v>
      </c>
      <c r="T1547" s="17">
        <f t="shared" si="103"/>
        <v>42065.886111111111</v>
      </c>
      <c r="U1547">
        <f>MONTH(Table1[[#This Row],[Launched]])</f>
        <v>1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8220</v>
      </c>
      <c r="G1548" t="s">
        <v>8224</v>
      </c>
      <c r="H1548" t="s">
        <v>8246</v>
      </c>
      <c r="I1548" s="8">
        <v>1410930399</v>
      </c>
      <c r="J1548">
        <v>1405746399</v>
      </c>
      <c r="K1548" t="b">
        <v>0</v>
      </c>
      <c r="L1548" s="10">
        <v>11</v>
      </c>
      <c r="M1548" t="b">
        <v>0</v>
      </c>
      <c r="N1548" t="s">
        <v>8287</v>
      </c>
      <c r="O1548" s="11">
        <f t="shared" si="100"/>
        <v>29</v>
      </c>
      <c r="P1548" s="12">
        <f t="shared" si="101"/>
        <v>26</v>
      </c>
      <c r="Q1548" s="14" t="s">
        <v>8335</v>
      </c>
      <c r="R1548" t="s">
        <v>8340</v>
      </c>
      <c r="S1548" s="17">
        <f t="shared" si="102"/>
        <v>41839.212951388887</v>
      </c>
      <c r="T1548" s="17">
        <f t="shared" si="103"/>
        <v>41899.212951388887</v>
      </c>
      <c r="U1548">
        <f>MONTH(Table1[[#This Row],[Launched]])</f>
        <v>7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8220</v>
      </c>
      <c r="G1549" t="s">
        <v>8223</v>
      </c>
      <c r="H1549" t="s">
        <v>8245</v>
      </c>
      <c r="I1549" s="8">
        <v>1487844882</v>
      </c>
      <c r="J1549">
        <v>1487240082</v>
      </c>
      <c r="K1549" t="b">
        <v>0</v>
      </c>
      <c r="L1549" s="10">
        <v>0</v>
      </c>
      <c r="M1549" t="b">
        <v>0</v>
      </c>
      <c r="N1549" t="s">
        <v>8287</v>
      </c>
      <c r="O1549" s="11">
        <f t="shared" si="100"/>
        <v>0</v>
      </c>
      <c r="P1549" s="12" t="str">
        <f t="shared" si="101"/>
        <v>No Backers</v>
      </c>
      <c r="Q1549" s="14" t="s">
        <v>8335</v>
      </c>
      <c r="R1549" t="s">
        <v>8340</v>
      </c>
      <c r="S1549" s="17">
        <f t="shared" si="102"/>
        <v>42782.426875000005</v>
      </c>
      <c r="T1549" s="17">
        <f t="shared" si="103"/>
        <v>42789.426875000005</v>
      </c>
      <c r="U1549">
        <f>MONTH(Table1[[#This Row],[Launched]])</f>
        <v>2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8220</v>
      </c>
      <c r="G1550" t="s">
        <v>8223</v>
      </c>
      <c r="H1550" t="s">
        <v>8245</v>
      </c>
      <c r="I1550" s="8">
        <v>1447020620</v>
      </c>
      <c r="J1550">
        <v>1444425020</v>
      </c>
      <c r="K1550" t="b">
        <v>0</v>
      </c>
      <c r="L1550" s="10">
        <v>1</v>
      </c>
      <c r="M1550" t="b">
        <v>0</v>
      </c>
      <c r="N1550" t="s">
        <v>8287</v>
      </c>
      <c r="O1550" s="11">
        <f t="shared" si="100"/>
        <v>9</v>
      </c>
      <c r="P1550" s="12">
        <f t="shared" si="101"/>
        <v>60</v>
      </c>
      <c r="Q1550" s="14" t="s">
        <v>8335</v>
      </c>
      <c r="R1550" t="s">
        <v>8340</v>
      </c>
      <c r="S1550" s="17">
        <f t="shared" si="102"/>
        <v>42286.88217592593</v>
      </c>
      <c r="T1550" s="17">
        <f t="shared" si="103"/>
        <v>42316.923842592587</v>
      </c>
      <c r="U1550">
        <f>MONTH(Table1[[#This Row],[Launched]])</f>
        <v>10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8220</v>
      </c>
      <c r="G1551" t="s">
        <v>8223</v>
      </c>
      <c r="H1551" t="s">
        <v>8245</v>
      </c>
      <c r="I1551" s="8">
        <v>1446524159</v>
      </c>
      <c r="J1551">
        <v>1443928559</v>
      </c>
      <c r="K1551" t="b">
        <v>0</v>
      </c>
      <c r="L1551" s="10">
        <v>6</v>
      </c>
      <c r="M1551" t="b">
        <v>0</v>
      </c>
      <c r="N1551" t="s">
        <v>8287</v>
      </c>
      <c r="O1551" s="11">
        <f t="shared" si="100"/>
        <v>34</v>
      </c>
      <c r="P1551" s="12">
        <f t="shared" si="101"/>
        <v>28</v>
      </c>
      <c r="Q1551" s="14" t="s">
        <v>8335</v>
      </c>
      <c r="R1551" t="s">
        <v>8340</v>
      </c>
      <c r="S1551" s="17">
        <f t="shared" si="102"/>
        <v>42281.136099537034</v>
      </c>
      <c r="T1551" s="17">
        <f t="shared" si="103"/>
        <v>42311.177766203706</v>
      </c>
      <c r="U1551">
        <f>MONTH(Table1[[#This Row],[Launched]])</f>
        <v>10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8220</v>
      </c>
      <c r="G1552" t="s">
        <v>8224</v>
      </c>
      <c r="H1552" t="s">
        <v>8246</v>
      </c>
      <c r="I1552" s="8">
        <v>1463050034</v>
      </c>
      <c r="J1552">
        <v>1460458034</v>
      </c>
      <c r="K1552" t="b">
        <v>0</v>
      </c>
      <c r="L1552" s="10">
        <v>7</v>
      </c>
      <c r="M1552" t="b">
        <v>0</v>
      </c>
      <c r="N1552" t="s">
        <v>8287</v>
      </c>
      <c r="O1552" s="11">
        <f t="shared" si="100"/>
        <v>13</v>
      </c>
      <c r="P1552" s="12">
        <f t="shared" si="101"/>
        <v>14</v>
      </c>
      <c r="Q1552" s="14" t="s">
        <v>8335</v>
      </c>
      <c r="R1552" t="s">
        <v>8340</v>
      </c>
      <c r="S1552" s="17">
        <f t="shared" si="102"/>
        <v>42472.449467592596</v>
      </c>
      <c r="T1552" s="17">
        <f t="shared" si="103"/>
        <v>42502.449467592596</v>
      </c>
      <c r="U1552">
        <f>MONTH(Table1[[#This Row],[Launched]])</f>
        <v>4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8220</v>
      </c>
      <c r="G1553" t="s">
        <v>8223</v>
      </c>
      <c r="H1553" t="s">
        <v>8245</v>
      </c>
      <c r="I1553" s="8">
        <v>1432756039</v>
      </c>
      <c r="J1553">
        <v>1430164039</v>
      </c>
      <c r="K1553" t="b">
        <v>0</v>
      </c>
      <c r="L1553" s="10">
        <v>0</v>
      </c>
      <c r="M1553" t="b">
        <v>0</v>
      </c>
      <c r="N1553" t="s">
        <v>8287</v>
      </c>
      <c r="O1553" s="11">
        <f t="shared" si="100"/>
        <v>0</v>
      </c>
      <c r="P1553" s="12" t="str">
        <f t="shared" si="101"/>
        <v>No Backers</v>
      </c>
      <c r="Q1553" s="14" t="s">
        <v>8335</v>
      </c>
      <c r="R1553" t="s">
        <v>8340</v>
      </c>
      <c r="S1553" s="17">
        <f t="shared" si="102"/>
        <v>42121.824525462958</v>
      </c>
      <c r="T1553" s="17">
        <f t="shared" si="103"/>
        <v>42151.824525462958</v>
      </c>
      <c r="U1553">
        <f>MONTH(Table1[[#This Row],[Launched]])</f>
        <v>4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 s="8">
        <v>1412135940</v>
      </c>
      <c r="J1554">
        <v>1410366708</v>
      </c>
      <c r="K1554" t="b">
        <v>0</v>
      </c>
      <c r="L1554" s="10">
        <v>16</v>
      </c>
      <c r="M1554" t="b">
        <v>0</v>
      </c>
      <c r="N1554" t="s">
        <v>8287</v>
      </c>
      <c r="O1554" s="11">
        <f t="shared" si="100"/>
        <v>49</v>
      </c>
      <c r="P1554" s="12">
        <f t="shared" si="101"/>
        <v>132</v>
      </c>
      <c r="Q1554" s="14" t="s">
        <v>8335</v>
      </c>
      <c r="R1554" t="s">
        <v>8340</v>
      </c>
      <c r="S1554" s="17">
        <f t="shared" si="102"/>
        <v>41892.688750000001</v>
      </c>
      <c r="T1554" s="17">
        <f t="shared" si="103"/>
        <v>41913.165972222225</v>
      </c>
      <c r="U1554">
        <f>MONTH(Table1[[#This Row],[Launched]])</f>
        <v>9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8220</v>
      </c>
      <c r="G1555" t="s">
        <v>8223</v>
      </c>
      <c r="H1555" t="s">
        <v>8245</v>
      </c>
      <c r="I1555" s="8">
        <v>1441176447</v>
      </c>
      <c r="J1555">
        <v>1438584447</v>
      </c>
      <c r="K1555" t="b">
        <v>0</v>
      </c>
      <c r="L1555" s="10">
        <v>0</v>
      </c>
      <c r="M1555" t="b">
        <v>0</v>
      </c>
      <c r="N1555" t="s">
        <v>8287</v>
      </c>
      <c r="O1555" s="11">
        <f t="shared" si="100"/>
        <v>0</v>
      </c>
      <c r="P1555" s="12" t="str">
        <f t="shared" si="101"/>
        <v>No Backers</v>
      </c>
      <c r="Q1555" s="14" t="s">
        <v>8335</v>
      </c>
      <c r="R1555" t="s">
        <v>8340</v>
      </c>
      <c r="S1555" s="17">
        <f t="shared" si="102"/>
        <v>42219.282951388886</v>
      </c>
      <c r="T1555" s="17">
        <f t="shared" si="103"/>
        <v>42249.282951388886</v>
      </c>
      <c r="U1555">
        <f>MONTH(Table1[[#This Row],[Launched]])</f>
        <v>8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8220</v>
      </c>
      <c r="G1556" t="s">
        <v>8225</v>
      </c>
      <c r="H1556" t="s">
        <v>8247</v>
      </c>
      <c r="I1556" s="8">
        <v>1438495390</v>
      </c>
      <c r="J1556">
        <v>1435903390</v>
      </c>
      <c r="K1556" t="b">
        <v>0</v>
      </c>
      <c r="L1556" s="10">
        <v>0</v>
      </c>
      <c r="M1556" t="b">
        <v>0</v>
      </c>
      <c r="N1556" t="s">
        <v>8287</v>
      </c>
      <c r="O1556" s="11">
        <f t="shared" si="100"/>
        <v>0</v>
      </c>
      <c r="P1556" s="12" t="str">
        <f t="shared" si="101"/>
        <v>No Backers</v>
      </c>
      <c r="Q1556" s="14" t="s">
        <v>8335</v>
      </c>
      <c r="R1556" t="s">
        <v>8340</v>
      </c>
      <c r="S1556" s="17">
        <f t="shared" si="102"/>
        <v>42188.252199074079</v>
      </c>
      <c r="T1556" s="17">
        <f t="shared" si="103"/>
        <v>42218.252199074079</v>
      </c>
      <c r="U1556">
        <f>MONTH(Table1[[#This Row],[Launched]])</f>
        <v>7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8220</v>
      </c>
      <c r="G1557" t="s">
        <v>8223</v>
      </c>
      <c r="H1557" t="s">
        <v>8245</v>
      </c>
      <c r="I1557" s="8">
        <v>1442509200</v>
      </c>
      <c r="J1557">
        <v>1440513832</v>
      </c>
      <c r="K1557" t="b">
        <v>0</v>
      </c>
      <c r="L1557" s="10">
        <v>0</v>
      </c>
      <c r="M1557" t="b">
        <v>0</v>
      </c>
      <c r="N1557" t="s">
        <v>8287</v>
      </c>
      <c r="O1557" s="11">
        <f t="shared" si="100"/>
        <v>0</v>
      </c>
      <c r="P1557" s="12" t="str">
        <f t="shared" si="101"/>
        <v>No Backers</v>
      </c>
      <c r="Q1557" s="14" t="s">
        <v>8335</v>
      </c>
      <c r="R1557" t="s">
        <v>8340</v>
      </c>
      <c r="S1557" s="17">
        <f t="shared" si="102"/>
        <v>42241.613796296297</v>
      </c>
      <c r="T1557" s="17">
        <f t="shared" si="103"/>
        <v>42264.708333333328</v>
      </c>
      <c r="U1557">
        <f>MONTH(Table1[[#This Row],[Launched]])</f>
        <v>8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8220</v>
      </c>
      <c r="G1558" t="s">
        <v>8228</v>
      </c>
      <c r="H1558" t="s">
        <v>8250</v>
      </c>
      <c r="I1558" s="8">
        <v>1467603624</v>
      </c>
      <c r="J1558">
        <v>1465011624</v>
      </c>
      <c r="K1558" t="b">
        <v>0</v>
      </c>
      <c r="L1558" s="10">
        <v>12</v>
      </c>
      <c r="M1558" t="b">
        <v>0</v>
      </c>
      <c r="N1558" t="s">
        <v>8287</v>
      </c>
      <c r="O1558" s="11">
        <f t="shared" si="100"/>
        <v>45</v>
      </c>
      <c r="P1558" s="12">
        <f t="shared" si="101"/>
        <v>56</v>
      </c>
      <c r="Q1558" s="14" t="s">
        <v>8335</v>
      </c>
      <c r="R1558" t="s">
        <v>8340</v>
      </c>
      <c r="S1558" s="17">
        <f t="shared" si="102"/>
        <v>42525.153055555551</v>
      </c>
      <c r="T1558" s="17">
        <f t="shared" si="103"/>
        <v>42555.153055555551</v>
      </c>
      <c r="U1558">
        <f>MONTH(Table1[[#This Row],[Launched]])</f>
        <v>6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8220</v>
      </c>
      <c r="G1559" t="s">
        <v>8223</v>
      </c>
      <c r="H1559" t="s">
        <v>8245</v>
      </c>
      <c r="I1559" s="8">
        <v>1411227633</v>
      </c>
      <c r="J1559">
        <v>1408549233</v>
      </c>
      <c r="K1559" t="b">
        <v>0</v>
      </c>
      <c r="L1559" s="10">
        <v>1</v>
      </c>
      <c r="M1559" t="b">
        <v>0</v>
      </c>
      <c r="N1559" t="s">
        <v>8287</v>
      </c>
      <c r="O1559" s="11">
        <f t="shared" si="100"/>
        <v>4</v>
      </c>
      <c r="P1559" s="12">
        <f t="shared" si="101"/>
        <v>100</v>
      </c>
      <c r="Q1559" s="14" t="s">
        <v>8335</v>
      </c>
      <c r="R1559" t="s">
        <v>8340</v>
      </c>
      <c r="S1559" s="17">
        <f t="shared" si="102"/>
        <v>41871.65315972222</v>
      </c>
      <c r="T1559" s="17">
        <f t="shared" si="103"/>
        <v>41902.65315972222</v>
      </c>
      <c r="U1559">
        <f>MONTH(Table1[[#This Row],[Launched]])</f>
        <v>8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8220</v>
      </c>
      <c r="G1560" t="s">
        <v>8224</v>
      </c>
      <c r="H1560" t="s">
        <v>8246</v>
      </c>
      <c r="I1560" s="8">
        <v>1440763920</v>
      </c>
      <c r="J1560">
        <v>1435656759</v>
      </c>
      <c r="K1560" t="b">
        <v>0</v>
      </c>
      <c r="L1560" s="10">
        <v>3</v>
      </c>
      <c r="M1560" t="b">
        <v>0</v>
      </c>
      <c r="N1560" t="s">
        <v>8287</v>
      </c>
      <c r="O1560" s="11">
        <f t="shared" si="100"/>
        <v>5</v>
      </c>
      <c r="P1560" s="12">
        <f t="shared" si="101"/>
        <v>12</v>
      </c>
      <c r="Q1560" s="14" t="s">
        <v>8335</v>
      </c>
      <c r="R1560" t="s">
        <v>8340</v>
      </c>
      <c r="S1560" s="17">
        <f t="shared" si="102"/>
        <v>42185.397673611107</v>
      </c>
      <c r="T1560" s="17">
        <f t="shared" si="103"/>
        <v>42244.508333333331</v>
      </c>
      <c r="U1560">
        <f>MONTH(Table1[[#This Row],[Launched]])</f>
        <v>6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8220</v>
      </c>
      <c r="G1561" t="s">
        <v>8223</v>
      </c>
      <c r="H1561" t="s">
        <v>8245</v>
      </c>
      <c r="I1561" s="8">
        <v>1430270199</v>
      </c>
      <c r="J1561">
        <v>1428974199</v>
      </c>
      <c r="K1561" t="b">
        <v>0</v>
      </c>
      <c r="L1561" s="10">
        <v>1</v>
      </c>
      <c r="M1561" t="b">
        <v>0</v>
      </c>
      <c r="N1561" t="s">
        <v>8287</v>
      </c>
      <c r="O1561" s="11">
        <f t="shared" si="100"/>
        <v>0</v>
      </c>
      <c r="P1561" s="12">
        <f t="shared" si="101"/>
        <v>50</v>
      </c>
      <c r="Q1561" s="14" t="s">
        <v>8335</v>
      </c>
      <c r="R1561" t="s">
        <v>8340</v>
      </c>
      <c r="S1561" s="17">
        <f t="shared" si="102"/>
        <v>42108.05322916666</v>
      </c>
      <c r="T1561" s="17">
        <f t="shared" si="103"/>
        <v>42123.05322916666</v>
      </c>
      <c r="U1561">
        <f>MONTH(Table1[[#This Row],[Launched]])</f>
        <v>4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8220</v>
      </c>
      <c r="G1562" t="s">
        <v>8223</v>
      </c>
      <c r="H1562" t="s">
        <v>8245</v>
      </c>
      <c r="I1562" s="8">
        <v>1415842193</v>
      </c>
      <c r="J1562">
        <v>1414110593</v>
      </c>
      <c r="K1562" t="b">
        <v>0</v>
      </c>
      <c r="L1562" s="10">
        <v>4</v>
      </c>
      <c r="M1562" t="b">
        <v>0</v>
      </c>
      <c r="N1562" t="s">
        <v>8287</v>
      </c>
      <c r="O1562" s="11">
        <f t="shared" si="100"/>
        <v>4</v>
      </c>
      <c r="P1562" s="12">
        <f t="shared" si="101"/>
        <v>24</v>
      </c>
      <c r="Q1562" s="14" t="s">
        <v>8335</v>
      </c>
      <c r="R1562" t="s">
        <v>8340</v>
      </c>
      <c r="S1562" s="17">
        <f t="shared" si="102"/>
        <v>41936.020752314813</v>
      </c>
      <c r="T1562" s="17">
        <f t="shared" si="103"/>
        <v>41956.062418981484</v>
      </c>
      <c r="U1562">
        <f>MONTH(Table1[[#This Row],[Launched]])</f>
        <v>10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8219</v>
      </c>
      <c r="G1563" t="s">
        <v>8223</v>
      </c>
      <c r="H1563" t="s">
        <v>8245</v>
      </c>
      <c r="I1563" s="8">
        <v>1383789603</v>
      </c>
      <c r="J1563">
        <v>1381194003</v>
      </c>
      <c r="K1563" t="b">
        <v>0</v>
      </c>
      <c r="L1563" s="10">
        <v>1</v>
      </c>
      <c r="M1563" t="b">
        <v>0</v>
      </c>
      <c r="N1563" t="s">
        <v>8288</v>
      </c>
      <c r="O1563" s="11">
        <f t="shared" si="100"/>
        <v>1</v>
      </c>
      <c r="P1563" s="12">
        <f t="shared" si="101"/>
        <v>67</v>
      </c>
      <c r="Q1563" s="14" t="s">
        <v>8319</v>
      </c>
      <c r="R1563" t="s">
        <v>8341</v>
      </c>
      <c r="S1563" s="17">
        <f t="shared" si="102"/>
        <v>41555.041701388887</v>
      </c>
      <c r="T1563" s="17">
        <f t="shared" si="103"/>
        <v>41585.083368055559</v>
      </c>
      <c r="U1563">
        <f>MONTH(Table1[[#This Row],[Launched]])</f>
        <v>10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8219</v>
      </c>
      <c r="G1564" t="s">
        <v>8223</v>
      </c>
      <c r="H1564" t="s">
        <v>8245</v>
      </c>
      <c r="I1564" s="8">
        <v>1259715000</v>
      </c>
      <c r="J1564">
        <v>1253712916</v>
      </c>
      <c r="K1564" t="b">
        <v>0</v>
      </c>
      <c r="L1564" s="10">
        <v>0</v>
      </c>
      <c r="M1564" t="b">
        <v>0</v>
      </c>
      <c r="N1564" t="s">
        <v>8288</v>
      </c>
      <c r="O1564" s="11">
        <f t="shared" si="100"/>
        <v>0</v>
      </c>
      <c r="P1564" s="12" t="str">
        <f t="shared" si="101"/>
        <v>No Backers</v>
      </c>
      <c r="Q1564" s="14" t="s">
        <v>8319</v>
      </c>
      <c r="R1564" t="s">
        <v>8341</v>
      </c>
      <c r="S1564" s="17">
        <f t="shared" si="102"/>
        <v>40079.566157407404</v>
      </c>
      <c r="T1564" s="17">
        <f t="shared" si="103"/>
        <v>40149.034722222219</v>
      </c>
      <c r="U1564">
        <f>MONTH(Table1[[#This Row],[Launched]])</f>
        <v>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8219</v>
      </c>
      <c r="G1565" t="s">
        <v>8224</v>
      </c>
      <c r="H1565" t="s">
        <v>8246</v>
      </c>
      <c r="I1565" s="8">
        <v>1394815751</v>
      </c>
      <c r="J1565">
        <v>1389635351</v>
      </c>
      <c r="K1565" t="b">
        <v>0</v>
      </c>
      <c r="L1565" s="10">
        <v>2</v>
      </c>
      <c r="M1565" t="b">
        <v>0</v>
      </c>
      <c r="N1565" t="s">
        <v>8288</v>
      </c>
      <c r="O1565" s="11">
        <f t="shared" si="100"/>
        <v>1</v>
      </c>
      <c r="P1565" s="12">
        <f t="shared" si="101"/>
        <v>43</v>
      </c>
      <c r="Q1565" s="14" t="s">
        <v>8319</v>
      </c>
      <c r="R1565" t="s">
        <v>8341</v>
      </c>
      <c r="S1565" s="17">
        <f t="shared" si="102"/>
        <v>41652.742488425924</v>
      </c>
      <c r="T1565" s="17">
        <f t="shared" si="103"/>
        <v>41712.700821759259</v>
      </c>
      <c r="U1565">
        <f>MONTH(Table1[[#This Row],[Launched]])</f>
        <v>1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8219</v>
      </c>
      <c r="G1566" t="s">
        <v>8223</v>
      </c>
      <c r="H1566" t="s">
        <v>8245</v>
      </c>
      <c r="I1566" s="8">
        <v>1432843500</v>
      </c>
      <c r="J1566">
        <v>1430124509</v>
      </c>
      <c r="K1566" t="b">
        <v>0</v>
      </c>
      <c r="L1566" s="10">
        <v>1</v>
      </c>
      <c r="M1566" t="b">
        <v>0</v>
      </c>
      <c r="N1566" t="s">
        <v>8288</v>
      </c>
      <c r="O1566" s="11">
        <f t="shared" si="100"/>
        <v>0</v>
      </c>
      <c r="P1566" s="12">
        <f t="shared" si="101"/>
        <v>10</v>
      </c>
      <c r="Q1566" s="14" t="s">
        <v>8319</v>
      </c>
      <c r="R1566" t="s">
        <v>8341</v>
      </c>
      <c r="S1566" s="17">
        <f t="shared" si="102"/>
        <v>42121.367002314815</v>
      </c>
      <c r="T1566" s="17">
        <f t="shared" si="103"/>
        <v>42152.836805555555</v>
      </c>
      <c r="U1566">
        <f>MONTH(Table1[[#This Row],[Launched]])</f>
        <v>4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8219</v>
      </c>
      <c r="G1567" t="s">
        <v>8223</v>
      </c>
      <c r="H1567" t="s">
        <v>8245</v>
      </c>
      <c r="I1567" s="8">
        <v>1307554261</v>
      </c>
      <c r="J1567">
        <v>1304962261</v>
      </c>
      <c r="K1567" t="b">
        <v>0</v>
      </c>
      <c r="L1567" s="10">
        <v>1</v>
      </c>
      <c r="M1567" t="b">
        <v>0</v>
      </c>
      <c r="N1567" t="s">
        <v>8288</v>
      </c>
      <c r="O1567" s="11">
        <f t="shared" si="100"/>
        <v>3</v>
      </c>
      <c r="P1567" s="12">
        <f t="shared" si="101"/>
        <v>100</v>
      </c>
      <c r="Q1567" s="14" t="s">
        <v>8319</v>
      </c>
      <c r="R1567" t="s">
        <v>8341</v>
      </c>
      <c r="S1567" s="17">
        <f t="shared" si="102"/>
        <v>40672.729872685188</v>
      </c>
      <c r="T1567" s="17">
        <f t="shared" si="103"/>
        <v>40702.729872685188</v>
      </c>
      <c r="U1567">
        <f>MONTH(Table1[[#This Row],[Launched]])</f>
        <v>5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 s="8">
        <v>1469656800</v>
      </c>
      <c r="J1568">
        <v>1467151204</v>
      </c>
      <c r="K1568" t="b">
        <v>0</v>
      </c>
      <c r="L1568" s="10">
        <v>59</v>
      </c>
      <c r="M1568" t="b">
        <v>0</v>
      </c>
      <c r="N1568" t="s">
        <v>8288</v>
      </c>
      <c r="O1568" s="11">
        <f t="shared" si="100"/>
        <v>21</v>
      </c>
      <c r="P1568" s="12">
        <f t="shared" si="101"/>
        <v>108</v>
      </c>
      <c r="Q1568" s="14" t="s">
        <v>8319</v>
      </c>
      <c r="R1568" t="s">
        <v>8341</v>
      </c>
      <c r="S1568" s="17">
        <f t="shared" si="102"/>
        <v>42549.916712962964</v>
      </c>
      <c r="T1568" s="17">
        <f t="shared" si="103"/>
        <v>42578.916666666672</v>
      </c>
      <c r="U1568">
        <f>MONTH(Table1[[#This Row],[Launched]])</f>
        <v>6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8219</v>
      </c>
      <c r="G1569" t="s">
        <v>8223</v>
      </c>
      <c r="H1569" t="s">
        <v>8245</v>
      </c>
      <c r="I1569" s="8">
        <v>1392595200</v>
      </c>
      <c r="J1569">
        <v>1391293745</v>
      </c>
      <c r="K1569" t="b">
        <v>0</v>
      </c>
      <c r="L1569" s="10">
        <v>13</v>
      </c>
      <c r="M1569" t="b">
        <v>0</v>
      </c>
      <c r="N1569" t="s">
        <v>8288</v>
      </c>
      <c r="O1569" s="11">
        <f t="shared" si="100"/>
        <v>4</v>
      </c>
      <c r="P1569" s="12">
        <f t="shared" si="101"/>
        <v>27</v>
      </c>
      <c r="Q1569" s="14" t="s">
        <v>8319</v>
      </c>
      <c r="R1569" t="s">
        <v>8341</v>
      </c>
      <c r="S1569" s="17">
        <f t="shared" si="102"/>
        <v>41671.936863425923</v>
      </c>
      <c r="T1569" s="17">
        <f t="shared" si="103"/>
        <v>41687</v>
      </c>
      <c r="U1569">
        <f>MONTH(Table1[[#This Row],[Launched]])</f>
        <v>2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 s="8">
        <v>1419384585</v>
      </c>
      <c r="J1570">
        <v>1416360585</v>
      </c>
      <c r="K1570" t="b">
        <v>0</v>
      </c>
      <c r="L1570" s="10">
        <v>22</v>
      </c>
      <c r="M1570" t="b">
        <v>0</v>
      </c>
      <c r="N1570" t="s">
        <v>8288</v>
      </c>
      <c r="O1570" s="11">
        <f t="shared" si="100"/>
        <v>14</v>
      </c>
      <c r="P1570" s="12">
        <f t="shared" si="101"/>
        <v>155</v>
      </c>
      <c r="Q1570" s="14" t="s">
        <v>8319</v>
      </c>
      <c r="R1570" t="s">
        <v>8341</v>
      </c>
      <c r="S1570" s="17">
        <f t="shared" si="102"/>
        <v>41962.062326388885</v>
      </c>
      <c r="T1570" s="17">
        <f t="shared" si="103"/>
        <v>41997.062326388885</v>
      </c>
      <c r="U1570">
        <f>MONTH(Table1[[#This Row],[Launched]])</f>
        <v>11</v>
      </c>
    </row>
    <row r="1571" spans="1:21" ht="15.6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8219</v>
      </c>
      <c r="G1571" t="s">
        <v>8223</v>
      </c>
      <c r="H1571" t="s">
        <v>8245</v>
      </c>
      <c r="I1571" s="8">
        <v>1369498714</v>
      </c>
      <c r="J1571">
        <v>1366906714</v>
      </c>
      <c r="K1571" t="b">
        <v>0</v>
      </c>
      <c r="L1571" s="10">
        <v>0</v>
      </c>
      <c r="M1571" t="b">
        <v>0</v>
      </c>
      <c r="N1571" t="s">
        <v>8288</v>
      </c>
      <c r="O1571" s="11">
        <f t="shared" si="100"/>
        <v>0</v>
      </c>
      <c r="P1571" s="12" t="str">
        <f t="shared" si="101"/>
        <v>No Backers</v>
      </c>
      <c r="Q1571" s="14" t="s">
        <v>8319</v>
      </c>
      <c r="R1571" t="s">
        <v>8341</v>
      </c>
      <c r="S1571" s="17">
        <f t="shared" si="102"/>
        <v>41389.679560185185</v>
      </c>
      <c r="T1571" s="17">
        <f t="shared" si="103"/>
        <v>41419.679560185185</v>
      </c>
      <c r="U1571">
        <f>MONTH(Table1[[#This Row],[Launched]])</f>
        <v>4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 s="8">
        <v>1460140282</v>
      </c>
      <c r="J1572">
        <v>1457551882</v>
      </c>
      <c r="K1572" t="b">
        <v>0</v>
      </c>
      <c r="L1572" s="10">
        <v>52</v>
      </c>
      <c r="M1572" t="b">
        <v>0</v>
      </c>
      <c r="N1572" t="s">
        <v>8288</v>
      </c>
      <c r="O1572" s="11">
        <f t="shared" si="100"/>
        <v>41</v>
      </c>
      <c r="P1572" s="12">
        <f t="shared" si="101"/>
        <v>48</v>
      </c>
      <c r="Q1572" s="14" t="s">
        <v>8319</v>
      </c>
      <c r="R1572" t="s">
        <v>8341</v>
      </c>
      <c r="S1572" s="17">
        <f t="shared" si="102"/>
        <v>42438.813449074078</v>
      </c>
      <c r="T1572" s="17">
        <f t="shared" si="103"/>
        <v>42468.771782407406</v>
      </c>
      <c r="U1572">
        <f>MONTH(Table1[[#This Row],[Launched]])</f>
        <v>3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8219</v>
      </c>
      <c r="G1573" t="s">
        <v>8224</v>
      </c>
      <c r="H1573" t="s">
        <v>8246</v>
      </c>
      <c r="I1573" s="8">
        <v>1434738483</v>
      </c>
      <c r="J1573">
        <v>1432146483</v>
      </c>
      <c r="K1573" t="b">
        <v>0</v>
      </c>
      <c r="L1573" s="10">
        <v>4</v>
      </c>
      <c r="M1573" t="b">
        <v>0</v>
      </c>
      <c r="N1573" t="s">
        <v>8288</v>
      </c>
      <c r="O1573" s="11">
        <f t="shared" si="100"/>
        <v>1</v>
      </c>
      <c r="P1573" s="12">
        <f t="shared" si="101"/>
        <v>20</v>
      </c>
      <c r="Q1573" s="14" t="s">
        <v>8319</v>
      </c>
      <c r="R1573" t="s">
        <v>8341</v>
      </c>
      <c r="S1573" s="17">
        <f t="shared" si="102"/>
        <v>42144.769479166673</v>
      </c>
      <c r="T1573" s="17">
        <f t="shared" si="103"/>
        <v>42174.769479166673</v>
      </c>
      <c r="U1573">
        <f>MONTH(Table1[[#This Row],[Launched]])</f>
        <v>5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8219</v>
      </c>
      <c r="G1574" t="s">
        <v>8224</v>
      </c>
      <c r="H1574" t="s">
        <v>8246</v>
      </c>
      <c r="I1574" s="8">
        <v>1456703940</v>
      </c>
      <c r="J1574">
        <v>1454546859</v>
      </c>
      <c r="K1574" t="b">
        <v>0</v>
      </c>
      <c r="L1574" s="10">
        <v>3</v>
      </c>
      <c r="M1574" t="b">
        <v>0</v>
      </c>
      <c r="N1574" t="s">
        <v>8288</v>
      </c>
      <c r="O1574" s="11">
        <f t="shared" si="100"/>
        <v>5</v>
      </c>
      <c r="P1574" s="12">
        <f t="shared" si="101"/>
        <v>42</v>
      </c>
      <c r="Q1574" s="14" t="s">
        <v>8319</v>
      </c>
      <c r="R1574" t="s">
        <v>8341</v>
      </c>
      <c r="S1574" s="17">
        <f t="shared" si="102"/>
        <v>42404.033090277779</v>
      </c>
      <c r="T1574" s="17">
        <f t="shared" si="103"/>
        <v>42428.999305555553</v>
      </c>
      <c r="U1574">
        <f>MONTH(Table1[[#This Row],[Launched]])</f>
        <v>2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8219</v>
      </c>
      <c r="G1575" t="s">
        <v>8228</v>
      </c>
      <c r="H1575" t="s">
        <v>8250</v>
      </c>
      <c r="I1575" s="8">
        <v>1491019140</v>
      </c>
      <c r="J1575">
        <v>1487548802</v>
      </c>
      <c r="K1575" t="b">
        <v>0</v>
      </c>
      <c r="L1575" s="10">
        <v>3</v>
      </c>
      <c r="M1575" t="b">
        <v>0</v>
      </c>
      <c r="N1575" t="s">
        <v>8288</v>
      </c>
      <c r="O1575" s="11">
        <f t="shared" si="100"/>
        <v>2</v>
      </c>
      <c r="P1575" s="12">
        <f t="shared" si="101"/>
        <v>74</v>
      </c>
      <c r="Q1575" s="14" t="s">
        <v>8319</v>
      </c>
      <c r="R1575" t="s">
        <v>8341</v>
      </c>
      <c r="S1575" s="17">
        <f t="shared" si="102"/>
        <v>42786.000023148154</v>
      </c>
      <c r="T1575" s="17">
        <f t="shared" si="103"/>
        <v>42826.165972222225</v>
      </c>
      <c r="U1575">
        <f>MONTH(Table1[[#This Row],[Launched]])</f>
        <v>2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 s="8">
        <v>1424211329</v>
      </c>
      <c r="J1576">
        <v>1421187329</v>
      </c>
      <c r="K1576" t="b">
        <v>0</v>
      </c>
      <c r="L1576" s="10">
        <v>6</v>
      </c>
      <c r="M1576" t="b">
        <v>0</v>
      </c>
      <c r="N1576" t="s">
        <v>8288</v>
      </c>
      <c r="O1576" s="11">
        <f t="shared" si="100"/>
        <v>5</v>
      </c>
      <c r="P1576" s="12">
        <f t="shared" si="101"/>
        <v>84</v>
      </c>
      <c r="Q1576" s="14" t="s">
        <v>8319</v>
      </c>
      <c r="R1576" t="s">
        <v>8341</v>
      </c>
      <c r="S1576" s="17">
        <f t="shared" si="102"/>
        <v>42017.927418981482</v>
      </c>
      <c r="T1576" s="17">
        <f t="shared" si="103"/>
        <v>42052.927418981482</v>
      </c>
      <c r="U1576">
        <f>MONTH(Table1[[#This Row],[Launched]])</f>
        <v>1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 s="8">
        <v>1404909296</v>
      </c>
      <c r="J1577">
        <v>1402317296</v>
      </c>
      <c r="K1577" t="b">
        <v>0</v>
      </c>
      <c r="L1577" s="10">
        <v>35</v>
      </c>
      <c r="M1577" t="b">
        <v>0</v>
      </c>
      <c r="N1577" t="s">
        <v>8288</v>
      </c>
      <c r="O1577" s="11">
        <f t="shared" si="100"/>
        <v>23</v>
      </c>
      <c r="P1577" s="12">
        <f t="shared" si="101"/>
        <v>65</v>
      </c>
      <c r="Q1577" s="14" t="s">
        <v>8319</v>
      </c>
      <c r="R1577" t="s">
        <v>8341</v>
      </c>
      <c r="S1577" s="17">
        <f t="shared" si="102"/>
        <v>41799.524259259262</v>
      </c>
      <c r="T1577" s="17">
        <f t="shared" si="103"/>
        <v>41829.524259259262</v>
      </c>
      <c r="U1577">
        <f>MONTH(Table1[[#This Row],[Launched]])</f>
        <v>6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8219</v>
      </c>
      <c r="G1578" t="s">
        <v>8223</v>
      </c>
      <c r="H1578" t="s">
        <v>8245</v>
      </c>
      <c r="I1578" s="8">
        <v>1435698368</v>
      </c>
      <c r="J1578">
        <v>1431810368</v>
      </c>
      <c r="K1578" t="b">
        <v>0</v>
      </c>
      <c r="L1578" s="10">
        <v>10</v>
      </c>
      <c r="M1578" t="b">
        <v>0</v>
      </c>
      <c r="N1578" t="s">
        <v>8288</v>
      </c>
      <c r="O1578" s="11">
        <f t="shared" si="100"/>
        <v>13</v>
      </c>
      <c r="P1578" s="12">
        <f t="shared" si="101"/>
        <v>65</v>
      </c>
      <c r="Q1578" s="14" t="s">
        <v>8319</v>
      </c>
      <c r="R1578" t="s">
        <v>8341</v>
      </c>
      <c r="S1578" s="17">
        <f t="shared" si="102"/>
        <v>42140.879259259258</v>
      </c>
      <c r="T1578" s="17">
        <f t="shared" si="103"/>
        <v>42185.879259259258</v>
      </c>
      <c r="U1578">
        <f>MONTH(Table1[[#This Row],[Launched]])</f>
        <v>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8219</v>
      </c>
      <c r="G1579" t="s">
        <v>8223</v>
      </c>
      <c r="H1579" t="s">
        <v>8245</v>
      </c>
      <c r="I1579" s="8">
        <v>1343161248</v>
      </c>
      <c r="J1579">
        <v>1337977248</v>
      </c>
      <c r="K1579" t="b">
        <v>0</v>
      </c>
      <c r="L1579" s="10">
        <v>2</v>
      </c>
      <c r="M1579" t="b">
        <v>0</v>
      </c>
      <c r="N1579" t="s">
        <v>8288</v>
      </c>
      <c r="O1579" s="11">
        <f t="shared" si="100"/>
        <v>1</v>
      </c>
      <c r="P1579" s="12">
        <f t="shared" si="101"/>
        <v>28</v>
      </c>
      <c r="Q1579" s="14" t="s">
        <v>8319</v>
      </c>
      <c r="R1579" t="s">
        <v>8341</v>
      </c>
      <c r="S1579" s="17">
        <f t="shared" si="102"/>
        <v>41054.847777777781</v>
      </c>
      <c r="T1579" s="17">
        <f t="shared" si="103"/>
        <v>41114.847777777781</v>
      </c>
      <c r="U1579">
        <f>MONTH(Table1[[#This Row],[Launched]])</f>
        <v>5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8219</v>
      </c>
      <c r="G1580" t="s">
        <v>8223</v>
      </c>
      <c r="H1580" t="s">
        <v>8245</v>
      </c>
      <c r="I1580" s="8">
        <v>1283392800</v>
      </c>
      <c r="J1580">
        <v>1281317691</v>
      </c>
      <c r="K1580" t="b">
        <v>0</v>
      </c>
      <c r="L1580" s="10">
        <v>4</v>
      </c>
      <c r="M1580" t="b">
        <v>0</v>
      </c>
      <c r="N1580" t="s">
        <v>8288</v>
      </c>
      <c r="O1580" s="11">
        <f t="shared" si="100"/>
        <v>11</v>
      </c>
      <c r="P1580" s="12">
        <f t="shared" si="101"/>
        <v>51</v>
      </c>
      <c r="Q1580" s="14" t="s">
        <v>8319</v>
      </c>
      <c r="R1580" t="s">
        <v>8341</v>
      </c>
      <c r="S1580" s="17">
        <f t="shared" si="102"/>
        <v>40399.065868055557</v>
      </c>
      <c r="T1580" s="17">
        <f t="shared" si="103"/>
        <v>40423.083333333336</v>
      </c>
      <c r="U1580">
        <f>MONTH(Table1[[#This Row],[Launched]])</f>
        <v>8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8219</v>
      </c>
      <c r="G1581" t="s">
        <v>8223</v>
      </c>
      <c r="H1581" t="s">
        <v>8245</v>
      </c>
      <c r="I1581" s="8">
        <v>1377734091</v>
      </c>
      <c r="J1581">
        <v>1374882891</v>
      </c>
      <c r="K1581" t="b">
        <v>0</v>
      </c>
      <c r="L1581" s="10">
        <v>2</v>
      </c>
      <c r="M1581" t="b">
        <v>0</v>
      </c>
      <c r="N1581" t="s">
        <v>8288</v>
      </c>
      <c r="O1581" s="11">
        <f t="shared" si="100"/>
        <v>1</v>
      </c>
      <c r="P1581" s="12">
        <f t="shared" si="101"/>
        <v>14</v>
      </c>
      <c r="Q1581" s="14" t="s">
        <v>8319</v>
      </c>
      <c r="R1581" t="s">
        <v>8341</v>
      </c>
      <c r="S1581" s="17">
        <f t="shared" si="102"/>
        <v>41481.996423611112</v>
      </c>
      <c r="T1581" s="17">
        <f t="shared" si="103"/>
        <v>41514.996423611112</v>
      </c>
      <c r="U1581">
        <f>MONTH(Table1[[#This Row],[Launched]])</f>
        <v>7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8219</v>
      </c>
      <c r="G1582" t="s">
        <v>8223</v>
      </c>
      <c r="H1582" t="s">
        <v>8245</v>
      </c>
      <c r="I1582" s="8">
        <v>1337562726</v>
      </c>
      <c r="J1582">
        <v>1332378726</v>
      </c>
      <c r="K1582" t="b">
        <v>0</v>
      </c>
      <c r="L1582" s="10">
        <v>0</v>
      </c>
      <c r="M1582" t="b">
        <v>0</v>
      </c>
      <c r="N1582" t="s">
        <v>8288</v>
      </c>
      <c r="O1582" s="11">
        <f t="shared" si="100"/>
        <v>0</v>
      </c>
      <c r="P1582" s="12" t="str">
        <f t="shared" si="101"/>
        <v>No Backers</v>
      </c>
      <c r="Q1582" s="14" t="s">
        <v>8319</v>
      </c>
      <c r="R1582" t="s">
        <v>8341</v>
      </c>
      <c r="S1582" s="17">
        <f t="shared" si="102"/>
        <v>40990.050069444449</v>
      </c>
      <c r="T1582" s="17">
        <f t="shared" si="103"/>
        <v>41050.050069444449</v>
      </c>
      <c r="U1582">
        <f>MONTH(Table1[[#This Row],[Launched]])</f>
        <v>3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8220</v>
      </c>
      <c r="G1583" t="s">
        <v>8224</v>
      </c>
      <c r="H1583" t="s">
        <v>8246</v>
      </c>
      <c r="I1583" s="8">
        <v>1450521990</v>
      </c>
      <c r="J1583">
        <v>1447757190</v>
      </c>
      <c r="K1583" t="b">
        <v>0</v>
      </c>
      <c r="L1583" s="10">
        <v>1</v>
      </c>
      <c r="M1583" t="b">
        <v>0</v>
      </c>
      <c r="N1583" t="s">
        <v>8289</v>
      </c>
      <c r="O1583" s="11">
        <f t="shared" si="100"/>
        <v>1</v>
      </c>
      <c r="P1583" s="12">
        <f t="shared" si="101"/>
        <v>5</v>
      </c>
      <c r="Q1583" s="14" t="s">
        <v>8335</v>
      </c>
      <c r="R1583" t="s">
        <v>8342</v>
      </c>
      <c r="S1583" s="17">
        <f t="shared" si="102"/>
        <v>42325.448958333334</v>
      </c>
      <c r="T1583" s="17">
        <f t="shared" si="103"/>
        <v>42357.448958333334</v>
      </c>
      <c r="U1583">
        <f>MONTH(Table1[[#This Row],[Launched]])</f>
        <v>11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8220</v>
      </c>
      <c r="G1584" t="s">
        <v>8223</v>
      </c>
      <c r="H1584" t="s">
        <v>8245</v>
      </c>
      <c r="I1584" s="8">
        <v>1445894400</v>
      </c>
      <c r="J1584">
        <v>1440961053</v>
      </c>
      <c r="K1584" t="b">
        <v>0</v>
      </c>
      <c r="L1584" s="10">
        <v>3</v>
      </c>
      <c r="M1584" t="b">
        <v>0</v>
      </c>
      <c r="N1584" t="s">
        <v>8289</v>
      </c>
      <c r="O1584" s="11">
        <f t="shared" si="100"/>
        <v>9</v>
      </c>
      <c r="P1584" s="12">
        <f t="shared" si="101"/>
        <v>31</v>
      </c>
      <c r="Q1584" s="14" t="s">
        <v>8335</v>
      </c>
      <c r="R1584" t="s">
        <v>8342</v>
      </c>
      <c r="S1584" s="17">
        <f t="shared" si="102"/>
        <v>42246.789965277778</v>
      </c>
      <c r="T1584" s="17">
        <f t="shared" si="103"/>
        <v>42303.888888888891</v>
      </c>
      <c r="U1584">
        <f>MONTH(Table1[[#This Row],[Launched]])</f>
        <v>8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8220</v>
      </c>
      <c r="G1585" t="s">
        <v>8224</v>
      </c>
      <c r="H1585" t="s">
        <v>8246</v>
      </c>
      <c r="I1585" s="8">
        <v>1411681391</v>
      </c>
      <c r="J1585">
        <v>1409089391</v>
      </c>
      <c r="K1585" t="b">
        <v>0</v>
      </c>
      <c r="L1585" s="10">
        <v>1</v>
      </c>
      <c r="M1585" t="b">
        <v>0</v>
      </c>
      <c r="N1585" t="s">
        <v>8289</v>
      </c>
      <c r="O1585" s="11">
        <f t="shared" si="100"/>
        <v>0</v>
      </c>
      <c r="P1585" s="12">
        <f t="shared" si="101"/>
        <v>15</v>
      </c>
      <c r="Q1585" s="14" t="s">
        <v>8335</v>
      </c>
      <c r="R1585" t="s">
        <v>8342</v>
      </c>
      <c r="S1585" s="17">
        <f t="shared" si="102"/>
        <v>41877.904988425929</v>
      </c>
      <c r="T1585" s="17">
        <f t="shared" si="103"/>
        <v>41907.904988425929</v>
      </c>
      <c r="U1585">
        <f>MONTH(Table1[[#This Row],[Launched]])</f>
        <v>8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8220</v>
      </c>
      <c r="G1586" t="s">
        <v>8223</v>
      </c>
      <c r="H1586" t="s">
        <v>8245</v>
      </c>
      <c r="I1586" s="8">
        <v>1401464101</v>
      </c>
      <c r="J1586">
        <v>1400600101</v>
      </c>
      <c r="K1586" t="b">
        <v>0</v>
      </c>
      <c r="L1586" s="10">
        <v>0</v>
      </c>
      <c r="M1586" t="b">
        <v>0</v>
      </c>
      <c r="N1586" t="s">
        <v>8289</v>
      </c>
      <c r="O1586" s="11">
        <f t="shared" si="100"/>
        <v>0</v>
      </c>
      <c r="P1586" s="12" t="str">
        <f t="shared" si="101"/>
        <v>No Backers</v>
      </c>
      <c r="Q1586" s="14" t="s">
        <v>8335</v>
      </c>
      <c r="R1586" t="s">
        <v>8342</v>
      </c>
      <c r="S1586" s="17">
        <f t="shared" si="102"/>
        <v>41779.649317129632</v>
      </c>
      <c r="T1586" s="17">
        <f t="shared" si="103"/>
        <v>41789.649317129632</v>
      </c>
      <c r="U1586">
        <f>MONTH(Table1[[#This Row],[Launched]])</f>
        <v>5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 s="8">
        <v>1482663600</v>
      </c>
      <c r="J1587">
        <v>1480800568</v>
      </c>
      <c r="K1587" t="b">
        <v>0</v>
      </c>
      <c r="L1587" s="10">
        <v>12</v>
      </c>
      <c r="M1587" t="b">
        <v>0</v>
      </c>
      <c r="N1587" t="s">
        <v>8289</v>
      </c>
      <c r="O1587" s="11">
        <f t="shared" si="100"/>
        <v>79</v>
      </c>
      <c r="P1587" s="12">
        <f t="shared" si="101"/>
        <v>132</v>
      </c>
      <c r="Q1587" s="14" t="s">
        <v>8335</v>
      </c>
      <c r="R1587" t="s">
        <v>8342</v>
      </c>
      <c r="S1587" s="17">
        <f t="shared" si="102"/>
        <v>42707.895462962959</v>
      </c>
      <c r="T1587" s="17">
        <f t="shared" si="103"/>
        <v>42729.458333333328</v>
      </c>
      <c r="U1587">
        <f>MONTH(Table1[[#This Row],[Launched]])</f>
        <v>12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8220</v>
      </c>
      <c r="G1588" t="s">
        <v>8223</v>
      </c>
      <c r="H1588" t="s">
        <v>8245</v>
      </c>
      <c r="I1588" s="8">
        <v>1428197422</v>
      </c>
      <c r="J1588">
        <v>1425609022</v>
      </c>
      <c r="K1588" t="b">
        <v>0</v>
      </c>
      <c r="L1588" s="10">
        <v>0</v>
      </c>
      <c r="M1588" t="b">
        <v>0</v>
      </c>
      <c r="N1588" t="s">
        <v>8289</v>
      </c>
      <c r="O1588" s="11">
        <f t="shared" si="100"/>
        <v>0</v>
      </c>
      <c r="P1588" s="12" t="str">
        <f t="shared" si="101"/>
        <v>No Backers</v>
      </c>
      <c r="Q1588" s="14" t="s">
        <v>8335</v>
      </c>
      <c r="R1588" t="s">
        <v>8342</v>
      </c>
      <c r="S1588" s="17">
        <f t="shared" si="102"/>
        <v>42069.104421296302</v>
      </c>
      <c r="T1588" s="17">
        <f t="shared" si="103"/>
        <v>42099.062754629631</v>
      </c>
      <c r="U1588">
        <f>MONTH(Table1[[#This Row],[Launched]])</f>
        <v>3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8220</v>
      </c>
      <c r="G1589" t="s">
        <v>8223</v>
      </c>
      <c r="H1589" t="s">
        <v>8245</v>
      </c>
      <c r="I1589" s="8">
        <v>1418510965</v>
      </c>
      <c r="J1589">
        <v>1415918965</v>
      </c>
      <c r="K1589" t="b">
        <v>0</v>
      </c>
      <c r="L1589" s="10">
        <v>1</v>
      </c>
      <c r="M1589" t="b">
        <v>0</v>
      </c>
      <c r="N1589" t="s">
        <v>8289</v>
      </c>
      <c r="O1589" s="11">
        <f t="shared" si="100"/>
        <v>0</v>
      </c>
      <c r="P1589" s="12">
        <f t="shared" si="101"/>
        <v>1</v>
      </c>
      <c r="Q1589" s="14" t="s">
        <v>8335</v>
      </c>
      <c r="R1589" t="s">
        <v>8342</v>
      </c>
      <c r="S1589" s="17">
        <f t="shared" si="102"/>
        <v>41956.950983796298</v>
      </c>
      <c r="T1589" s="17">
        <f t="shared" si="103"/>
        <v>41986.950983796298</v>
      </c>
      <c r="U1589">
        <f>MONTH(Table1[[#This Row],[Launched]])</f>
        <v>11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8220</v>
      </c>
      <c r="G1590" t="s">
        <v>8223</v>
      </c>
      <c r="H1590" t="s">
        <v>8245</v>
      </c>
      <c r="I1590" s="8">
        <v>1422735120</v>
      </c>
      <c r="J1590">
        <v>1420091999</v>
      </c>
      <c r="K1590" t="b">
        <v>0</v>
      </c>
      <c r="L1590" s="10">
        <v>0</v>
      </c>
      <c r="M1590" t="b">
        <v>0</v>
      </c>
      <c r="N1590" t="s">
        <v>8289</v>
      </c>
      <c r="O1590" s="11">
        <f t="shared" si="100"/>
        <v>0</v>
      </c>
      <c r="P1590" s="12" t="str">
        <f t="shared" si="101"/>
        <v>No Backers</v>
      </c>
      <c r="Q1590" s="14" t="s">
        <v>8335</v>
      </c>
      <c r="R1590" t="s">
        <v>8342</v>
      </c>
      <c r="S1590" s="17">
        <f t="shared" si="102"/>
        <v>42005.24998842593</v>
      </c>
      <c r="T1590" s="17">
        <f t="shared" si="103"/>
        <v>42035.841666666667</v>
      </c>
      <c r="U1590">
        <f>MONTH(Table1[[#This Row],[Launched]])</f>
        <v>1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8220</v>
      </c>
      <c r="G1591" t="s">
        <v>8223</v>
      </c>
      <c r="H1591" t="s">
        <v>8245</v>
      </c>
      <c r="I1591" s="8">
        <v>1444433886</v>
      </c>
      <c r="J1591">
        <v>1441841886</v>
      </c>
      <c r="K1591" t="b">
        <v>0</v>
      </c>
      <c r="L1591" s="10">
        <v>0</v>
      </c>
      <c r="M1591" t="b">
        <v>0</v>
      </c>
      <c r="N1591" t="s">
        <v>8289</v>
      </c>
      <c r="O1591" s="11">
        <f t="shared" si="100"/>
        <v>0</v>
      </c>
      <c r="P1591" s="12" t="str">
        <f t="shared" si="101"/>
        <v>No Backers</v>
      </c>
      <c r="Q1591" s="14" t="s">
        <v>8335</v>
      </c>
      <c r="R1591" t="s">
        <v>8342</v>
      </c>
      <c r="S1591" s="17">
        <f t="shared" si="102"/>
        <v>42256.984791666662</v>
      </c>
      <c r="T1591" s="17">
        <f t="shared" si="103"/>
        <v>42286.984791666662</v>
      </c>
      <c r="U1591">
        <f>MONTH(Table1[[#This Row],[Launched]])</f>
        <v>9</v>
      </c>
    </row>
    <row r="1592" spans="1:21" ht="15.6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 s="8">
        <v>1443040464</v>
      </c>
      <c r="J1592">
        <v>1440448464</v>
      </c>
      <c r="K1592" t="b">
        <v>0</v>
      </c>
      <c r="L1592" s="10">
        <v>2</v>
      </c>
      <c r="M1592" t="b">
        <v>0</v>
      </c>
      <c r="N1592" t="s">
        <v>8289</v>
      </c>
      <c r="O1592" s="11">
        <f t="shared" si="100"/>
        <v>2</v>
      </c>
      <c r="P1592" s="12">
        <f t="shared" si="101"/>
        <v>510</v>
      </c>
      <c r="Q1592" s="14" t="s">
        <v>8335</v>
      </c>
      <c r="R1592" t="s">
        <v>8342</v>
      </c>
      <c r="S1592" s="17">
        <f t="shared" si="102"/>
        <v>42240.857222222221</v>
      </c>
      <c r="T1592" s="17">
        <f t="shared" si="103"/>
        <v>42270.857222222221</v>
      </c>
      <c r="U1592">
        <f>MONTH(Table1[[#This Row],[Launched]])</f>
        <v>8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 s="8">
        <v>1459700741</v>
      </c>
      <c r="J1593">
        <v>1457112341</v>
      </c>
      <c r="K1593" t="b">
        <v>0</v>
      </c>
      <c r="L1593" s="10">
        <v>92</v>
      </c>
      <c r="M1593" t="b">
        <v>0</v>
      </c>
      <c r="N1593" t="s">
        <v>8289</v>
      </c>
      <c r="O1593" s="11">
        <f t="shared" si="100"/>
        <v>29</v>
      </c>
      <c r="P1593" s="12">
        <f t="shared" si="101"/>
        <v>44</v>
      </c>
      <c r="Q1593" s="14" t="s">
        <v>8335</v>
      </c>
      <c r="R1593" t="s">
        <v>8342</v>
      </c>
      <c r="S1593" s="17">
        <f t="shared" si="102"/>
        <v>42433.726168981477</v>
      </c>
      <c r="T1593" s="17">
        <f t="shared" si="103"/>
        <v>42463.68450231482</v>
      </c>
      <c r="U1593">
        <f>MONTH(Table1[[#This Row],[Launched]])</f>
        <v>3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8220</v>
      </c>
      <c r="G1594" t="s">
        <v>8223</v>
      </c>
      <c r="H1594" t="s">
        <v>8245</v>
      </c>
      <c r="I1594" s="8">
        <v>1427503485</v>
      </c>
      <c r="J1594">
        <v>1423619085</v>
      </c>
      <c r="K1594" t="b">
        <v>0</v>
      </c>
      <c r="L1594" s="10">
        <v>0</v>
      </c>
      <c r="M1594" t="b">
        <v>0</v>
      </c>
      <c r="N1594" t="s">
        <v>8289</v>
      </c>
      <c r="O1594" s="11">
        <f t="shared" si="100"/>
        <v>0</v>
      </c>
      <c r="P1594" s="12" t="str">
        <f t="shared" si="101"/>
        <v>No Backers</v>
      </c>
      <c r="Q1594" s="14" t="s">
        <v>8335</v>
      </c>
      <c r="R1594" t="s">
        <v>8342</v>
      </c>
      <c r="S1594" s="17">
        <f t="shared" si="102"/>
        <v>42046.072743055556</v>
      </c>
      <c r="T1594" s="17">
        <f t="shared" si="103"/>
        <v>42091.031076388885</v>
      </c>
      <c r="U1594">
        <f>MONTH(Table1[[#This Row],[Launched]])</f>
        <v>2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8220</v>
      </c>
      <c r="G1595" t="s">
        <v>8223</v>
      </c>
      <c r="H1595" t="s">
        <v>8245</v>
      </c>
      <c r="I1595" s="8">
        <v>1425154655</v>
      </c>
      <c r="J1595">
        <v>1422562655</v>
      </c>
      <c r="K1595" t="b">
        <v>0</v>
      </c>
      <c r="L1595" s="10">
        <v>3</v>
      </c>
      <c r="M1595" t="b">
        <v>0</v>
      </c>
      <c r="N1595" t="s">
        <v>8289</v>
      </c>
      <c r="O1595" s="11">
        <f t="shared" si="100"/>
        <v>0</v>
      </c>
      <c r="P1595" s="12">
        <f t="shared" si="101"/>
        <v>1</v>
      </c>
      <c r="Q1595" s="14" t="s">
        <v>8335</v>
      </c>
      <c r="R1595" t="s">
        <v>8342</v>
      </c>
      <c r="S1595" s="17">
        <f t="shared" si="102"/>
        <v>42033.845543981486</v>
      </c>
      <c r="T1595" s="17">
        <f t="shared" si="103"/>
        <v>42063.845543981486</v>
      </c>
      <c r="U1595">
        <f>MONTH(Table1[[#This Row],[Launched]])</f>
        <v>1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8220</v>
      </c>
      <c r="G1596" t="s">
        <v>8223</v>
      </c>
      <c r="H1596" t="s">
        <v>8245</v>
      </c>
      <c r="I1596" s="8">
        <v>1463329260</v>
      </c>
      <c r="J1596">
        <v>1458147982</v>
      </c>
      <c r="K1596" t="b">
        <v>0</v>
      </c>
      <c r="L1596" s="10">
        <v>10</v>
      </c>
      <c r="M1596" t="b">
        <v>0</v>
      </c>
      <c r="N1596" t="s">
        <v>8289</v>
      </c>
      <c r="O1596" s="11">
        <f t="shared" si="100"/>
        <v>21</v>
      </c>
      <c r="P1596" s="12">
        <f t="shared" si="101"/>
        <v>21</v>
      </c>
      <c r="Q1596" s="14" t="s">
        <v>8335</v>
      </c>
      <c r="R1596" t="s">
        <v>8342</v>
      </c>
      <c r="S1596" s="17">
        <f t="shared" si="102"/>
        <v>42445.712754629625</v>
      </c>
      <c r="T1596" s="17">
        <f t="shared" si="103"/>
        <v>42505.681249999994</v>
      </c>
      <c r="U1596">
        <f>MONTH(Table1[[#This Row],[Launched]])</f>
        <v>3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 s="8">
        <v>1403122380</v>
      </c>
      <c r="J1597">
        <v>1400634728</v>
      </c>
      <c r="K1597" t="b">
        <v>0</v>
      </c>
      <c r="L1597" s="10">
        <v>7</v>
      </c>
      <c r="M1597" t="b">
        <v>0</v>
      </c>
      <c r="N1597" t="s">
        <v>8289</v>
      </c>
      <c r="O1597" s="11">
        <f t="shared" si="100"/>
        <v>0</v>
      </c>
      <c r="P1597" s="12">
        <f t="shared" si="101"/>
        <v>40</v>
      </c>
      <c r="Q1597" s="14" t="s">
        <v>8335</v>
      </c>
      <c r="R1597" t="s">
        <v>8342</v>
      </c>
      <c r="S1597" s="17">
        <f t="shared" si="102"/>
        <v>41780.050092592595</v>
      </c>
      <c r="T1597" s="17">
        <f t="shared" si="103"/>
        <v>41808.842361111114</v>
      </c>
      <c r="U1597">
        <f>MONTH(Table1[[#This Row],[Launched]])</f>
        <v>5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8220</v>
      </c>
      <c r="G1598" t="s">
        <v>8224</v>
      </c>
      <c r="H1598" t="s">
        <v>8246</v>
      </c>
      <c r="I1598" s="8">
        <v>1418469569</v>
      </c>
      <c r="J1598">
        <v>1414577969</v>
      </c>
      <c r="K1598" t="b">
        <v>0</v>
      </c>
      <c r="L1598" s="10">
        <v>3</v>
      </c>
      <c r="M1598" t="b">
        <v>0</v>
      </c>
      <c r="N1598" t="s">
        <v>8289</v>
      </c>
      <c r="O1598" s="11">
        <f t="shared" si="100"/>
        <v>2</v>
      </c>
      <c r="P1598" s="12">
        <f t="shared" si="101"/>
        <v>25</v>
      </c>
      <c r="Q1598" s="14" t="s">
        <v>8335</v>
      </c>
      <c r="R1598" t="s">
        <v>8342</v>
      </c>
      <c r="S1598" s="17">
        <f t="shared" si="102"/>
        <v>41941.430196759262</v>
      </c>
      <c r="T1598" s="17">
        <f t="shared" si="103"/>
        <v>41986.471863425926</v>
      </c>
      <c r="U1598">
        <f>MONTH(Table1[[#This Row],[Launched]])</f>
        <v>10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8220</v>
      </c>
      <c r="G1599" t="s">
        <v>8223</v>
      </c>
      <c r="H1599" t="s">
        <v>8245</v>
      </c>
      <c r="I1599" s="8">
        <v>1474360197</v>
      </c>
      <c r="J1599">
        <v>1471768197</v>
      </c>
      <c r="K1599" t="b">
        <v>0</v>
      </c>
      <c r="L1599" s="10">
        <v>0</v>
      </c>
      <c r="M1599" t="b">
        <v>0</v>
      </c>
      <c r="N1599" t="s">
        <v>8289</v>
      </c>
      <c r="O1599" s="11">
        <f t="shared" si="100"/>
        <v>0</v>
      </c>
      <c r="P1599" s="12" t="str">
        <f t="shared" si="101"/>
        <v>No Backers</v>
      </c>
      <c r="Q1599" s="14" t="s">
        <v>8335</v>
      </c>
      <c r="R1599" t="s">
        <v>8342</v>
      </c>
      <c r="S1599" s="17">
        <f t="shared" si="102"/>
        <v>42603.354131944448</v>
      </c>
      <c r="T1599" s="17">
        <f t="shared" si="103"/>
        <v>42633.354131944448</v>
      </c>
      <c r="U1599">
        <f>MONTH(Table1[[#This Row],[Launched]])</f>
        <v>8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8220</v>
      </c>
      <c r="G1600" t="s">
        <v>8223</v>
      </c>
      <c r="H1600" t="s">
        <v>8245</v>
      </c>
      <c r="I1600" s="8">
        <v>1437926458</v>
      </c>
      <c r="J1600">
        <v>1432742458</v>
      </c>
      <c r="K1600" t="b">
        <v>0</v>
      </c>
      <c r="L1600" s="10">
        <v>1</v>
      </c>
      <c r="M1600" t="b">
        <v>0</v>
      </c>
      <c r="N1600" t="s">
        <v>8289</v>
      </c>
      <c r="O1600" s="11">
        <f t="shared" si="100"/>
        <v>0</v>
      </c>
      <c r="P1600" s="12">
        <f t="shared" si="101"/>
        <v>1</v>
      </c>
      <c r="Q1600" s="14" t="s">
        <v>8335</v>
      </c>
      <c r="R1600" t="s">
        <v>8342</v>
      </c>
      <c r="S1600" s="17">
        <f t="shared" si="102"/>
        <v>42151.667337962965</v>
      </c>
      <c r="T1600" s="17">
        <f t="shared" si="103"/>
        <v>42211.667337962965</v>
      </c>
      <c r="U1600">
        <f>MONTH(Table1[[#This Row],[Launched]])</f>
        <v>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8220</v>
      </c>
      <c r="G1601" t="s">
        <v>8224</v>
      </c>
      <c r="H1601" t="s">
        <v>8246</v>
      </c>
      <c r="I1601" s="8">
        <v>1460116576</v>
      </c>
      <c r="J1601">
        <v>1457528176</v>
      </c>
      <c r="K1601" t="b">
        <v>0</v>
      </c>
      <c r="L1601" s="10">
        <v>0</v>
      </c>
      <c r="M1601" t="b">
        <v>0</v>
      </c>
      <c r="N1601" t="s">
        <v>8289</v>
      </c>
      <c r="O1601" s="11">
        <f t="shared" si="100"/>
        <v>0</v>
      </c>
      <c r="P1601" s="12" t="str">
        <f t="shared" si="101"/>
        <v>No Backers</v>
      </c>
      <c r="Q1601" s="14" t="s">
        <v>8335</v>
      </c>
      <c r="R1601" t="s">
        <v>8342</v>
      </c>
      <c r="S1601" s="17">
        <f t="shared" si="102"/>
        <v>42438.53907407407</v>
      </c>
      <c r="T1601" s="17">
        <f t="shared" si="103"/>
        <v>42468.497407407413</v>
      </c>
      <c r="U1601">
        <f>MONTH(Table1[[#This Row],[Launched]])</f>
        <v>3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8220</v>
      </c>
      <c r="G1602" t="s">
        <v>8223</v>
      </c>
      <c r="H1602" t="s">
        <v>8245</v>
      </c>
      <c r="I1602" s="8">
        <v>1405401060</v>
      </c>
      <c r="J1602">
        <v>1401585752</v>
      </c>
      <c r="K1602" t="b">
        <v>0</v>
      </c>
      <c r="L1602" s="10">
        <v>9</v>
      </c>
      <c r="M1602" t="b">
        <v>0</v>
      </c>
      <c r="N1602" t="s">
        <v>8289</v>
      </c>
      <c r="O1602" s="11">
        <f t="shared" ref="O1602:O1665" si="104">ROUND(E1602/D1602*100,0)</f>
        <v>7</v>
      </c>
      <c r="P1602" s="12">
        <f t="shared" si="101"/>
        <v>41</v>
      </c>
      <c r="Q1602" s="14" t="s">
        <v>8335</v>
      </c>
      <c r="R1602" t="s">
        <v>8342</v>
      </c>
      <c r="S1602" s="17">
        <f t="shared" si="102"/>
        <v>41791.057314814818</v>
      </c>
      <c r="T1602" s="17">
        <f t="shared" si="103"/>
        <v>41835.21597222222</v>
      </c>
      <c r="U1602">
        <f>MONTH(Table1[[#This Row],[Launched]])</f>
        <v>6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 s="8">
        <v>1304561633</v>
      </c>
      <c r="J1603">
        <v>1301969633</v>
      </c>
      <c r="K1603" t="b">
        <v>0</v>
      </c>
      <c r="L1603" s="10">
        <v>56</v>
      </c>
      <c r="M1603" t="b">
        <v>1</v>
      </c>
      <c r="N1603" t="s">
        <v>8274</v>
      </c>
      <c r="O1603" s="11">
        <f t="shared" si="104"/>
        <v>108</v>
      </c>
      <c r="P1603" s="12">
        <f t="shared" ref="P1603:P1666" si="105">IFERROR(ROUND(E1603/L1603,),"No Backers")</f>
        <v>48</v>
      </c>
      <c r="Q1603" s="14" t="s">
        <v>8322</v>
      </c>
      <c r="R1603" t="s">
        <v>8323</v>
      </c>
      <c r="S1603" s="17">
        <f t="shared" ref="S1603:S1666" si="106">(((J1603/60)/60)/24)+DATE(1970,1,1)</f>
        <v>40638.092974537038</v>
      </c>
      <c r="T1603" s="17">
        <f t="shared" ref="T1603:T1666" si="107">(((I1603/60)/60)/24)+DATE(1970,1,1)</f>
        <v>40668.092974537038</v>
      </c>
      <c r="U1603">
        <f>MONTH(Table1[[#This Row],[Launched]])</f>
        <v>4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 s="8">
        <v>1318633200</v>
      </c>
      <c r="J1604">
        <v>1314947317</v>
      </c>
      <c r="K1604" t="b">
        <v>0</v>
      </c>
      <c r="L1604" s="10">
        <v>32</v>
      </c>
      <c r="M1604" t="b">
        <v>1</v>
      </c>
      <c r="N1604" t="s">
        <v>8274</v>
      </c>
      <c r="O1604" s="11">
        <f t="shared" si="104"/>
        <v>100</v>
      </c>
      <c r="P1604" s="12">
        <f t="shared" si="105"/>
        <v>47</v>
      </c>
      <c r="Q1604" s="14" t="s">
        <v>8322</v>
      </c>
      <c r="R1604" t="s">
        <v>8323</v>
      </c>
      <c r="S1604" s="17">
        <f t="shared" si="106"/>
        <v>40788.297650462962</v>
      </c>
      <c r="T1604" s="17">
        <f t="shared" si="107"/>
        <v>40830.958333333336</v>
      </c>
      <c r="U1604">
        <f>MONTH(Table1[[#This Row],[Launched]])</f>
        <v>9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 s="8">
        <v>1327723459</v>
      </c>
      <c r="J1605">
        <v>1322539459</v>
      </c>
      <c r="K1605" t="b">
        <v>0</v>
      </c>
      <c r="L1605" s="10">
        <v>30</v>
      </c>
      <c r="M1605" t="b">
        <v>1</v>
      </c>
      <c r="N1605" t="s">
        <v>8274</v>
      </c>
      <c r="O1605" s="11">
        <f t="shared" si="104"/>
        <v>100</v>
      </c>
      <c r="P1605" s="12">
        <f t="shared" si="105"/>
        <v>67</v>
      </c>
      <c r="Q1605" s="14" t="s">
        <v>8322</v>
      </c>
      <c r="R1605" t="s">
        <v>8323</v>
      </c>
      <c r="S1605" s="17">
        <f t="shared" si="106"/>
        <v>40876.169664351852</v>
      </c>
      <c r="T1605" s="17">
        <f t="shared" si="107"/>
        <v>40936.169664351852</v>
      </c>
      <c r="U1605">
        <f>MONTH(Table1[[#This Row],[Launched]])</f>
        <v>11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 s="8">
        <v>1332011835</v>
      </c>
      <c r="J1606">
        <v>1328559435</v>
      </c>
      <c r="K1606" t="b">
        <v>0</v>
      </c>
      <c r="L1606" s="10">
        <v>70</v>
      </c>
      <c r="M1606" t="b">
        <v>1</v>
      </c>
      <c r="N1606" t="s">
        <v>8274</v>
      </c>
      <c r="O1606" s="11">
        <f t="shared" si="104"/>
        <v>122</v>
      </c>
      <c r="P1606" s="12">
        <f t="shared" si="105"/>
        <v>49</v>
      </c>
      <c r="Q1606" s="14" t="s">
        <v>8322</v>
      </c>
      <c r="R1606" t="s">
        <v>8323</v>
      </c>
      <c r="S1606" s="17">
        <f t="shared" si="106"/>
        <v>40945.845312500001</v>
      </c>
      <c r="T1606" s="17">
        <f t="shared" si="107"/>
        <v>40985.80364583333</v>
      </c>
      <c r="U1606">
        <f>MONTH(Table1[[#This Row],[Launched]])</f>
        <v>2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 s="8">
        <v>1312182000</v>
      </c>
      <c r="J1607">
        <v>1311380313</v>
      </c>
      <c r="K1607" t="b">
        <v>0</v>
      </c>
      <c r="L1607" s="10">
        <v>44</v>
      </c>
      <c r="M1607" t="b">
        <v>1</v>
      </c>
      <c r="N1607" t="s">
        <v>8274</v>
      </c>
      <c r="O1607" s="11">
        <f t="shared" si="104"/>
        <v>101</v>
      </c>
      <c r="P1607" s="12">
        <f t="shared" si="105"/>
        <v>137</v>
      </c>
      <c r="Q1607" s="14" t="s">
        <v>8322</v>
      </c>
      <c r="R1607" t="s">
        <v>8323</v>
      </c>
      <c r="S1607" s="17">
        <f t="shared" si="106"/>
        <v>40747.012881944444</v>
      </c>
      <c r="T1607" s="17">
        <f t="shared" si="107"/>
        <v>40756.291666666664</v>
      </c>
      <c r="U1607">
        <f>MONTH(Table1[[#This Row],[Launched]])</f>
        <v>7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 s="8">
        <v>1300930838</v>
      </c>
      <c r="J1608">
        <v>1293158438</v>
      </c>
      <c r="K1608" t="b">
        <v>0</v>
      </c>
      <c r="L1608" s="10">
        <v>92</v>
      </c>
      <c r="M1608" t="b">
        <v>1</v>
      </c>
      <c r="N1608" t="s">
        <v>8274</v>
      </c>
      <c r="O1608" s="11">
        <f t="shared" si="104"/>
        <v>101</v>
      </c>
      <c r="P1608" s="12">
        <f t="shared" si="105"/>
        <v>88</v>
      </c>
      <c r="Q1608" s="14" t="s">
        <v>8322</v>
      </c>
      <c r="R1608" t="s">
        <v>8323</v>
      </c>
      <c r="S1608" s="17">
        <f t="shared" si="106"/>
        <v>40536.111550925925</v>
      </c>
      <c r="T1608" s="17">
        <f t="shared" si="107"/>
        <v>40626.069884259261</v>
      </c>
      <c r="U1608">
        <f>MONTH(Table1[[#This Row],[Launched]])</f>
        <v>12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 s="8">
        <v>1339701851</v>
      </c>
      <c r="J1609">
        <v>1337887451</v>
      </c>
      <c r="K1609" t="b">
        <v>0</v>
      </c>
      <c r="L1609" s="10">
        <v>205</v>
      </c>
      <c r="M1609" t="b">
        <v>1</v>
      </c>
      <c r="N1609" t="s">
        <v>8274</v>
      </c>
      <c r="O1609" s="11">
        <f t="shared" si="104"/>
        <v>145</v>
      </c>
      <c r="P1609" s="12">
        <f t="shared" si="105"/>
        <v>71</v>
      </c>
      <c r="Q1609" s="14" t="s">
        <v>8322</v>
      </c>
      <c r="R1609" t="s">
        <v>8323</v>
      </c>
      <c r="S1609" s="17">
        <f t="shared" si="106"/>
        <v>41053.80846064815</v>
      </c>
      <c r="T1609" s="17">
        <f t="shared" si="107"/>
        <v>41074.80846064815</v>
      </c>
      <c r="U1609">
        <f>MONTH(Table1[[#This Row],[Launched]])</f>
        <v>5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 s="8">
        <v>1388553960</v>
      </c>
      <c r="J1610">
        <v>1385754986</v>
      </c>
      <c r="K1610" t="b">
        <v>0</v>
      </c>
      <c r="L1610" s="10">
        <v>23</v>
      </c>
      <c r="M1610" t="b">
        <v>1</v>
      </c>
      <c r="N1610" t="s">
        <v>8274</v>
      </c>
      <c r="O1610" s="11">
        <f t="shared" si="104"/>
        <v>101</v>
      </c>
      <c r="P1610" s="12">
        <f t="shared" si="105"/>
        <v>53</v>
      </c>
      <c r="Q1610" s="14" t="s">
        <v>8322</v>
      </c>
      <c r="R1610" t="s">
        <v>8323</v>
      </c>
      <c r="S1610" s="17">
        <f t="shared" si="106"/>
        <v>41607.83085648148</v>
      </c>
      <c r="T1610" s="17">
        <f t="shared" si="107"/>
        <v>41640.226388888892</v>
      </c>
      <c r="U1610">
        <f>MONTH(Table1[[#This Row],[Launched]])</f>
        <v>11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 s="8">
        <v>1320220800</v>
      </c>
      <c r="J1611">
        <v>1315612909</v>
      </c>
      <c r="K1611" t="b">
        <v>0</v>
      </c>
      <c r="L1611" s="10">
        <v>4</v>
      </c>
      <c r="M1611" t="b">
        <v>1</v>
      </c>
      <c r="N1611" t="s">
        <v>8274</v>
      </c>
      <c r="O1611" s="11">
        <f t="shared" si="104"/>
        <v>118</v>
      </c>
      <c r="P1611" s="12">
        <f t="shared" si="105"/>
        <v>444</v>
      </c>
      <c r="Q1611" s="14" t="s">
        <v>8322</v>
      </c>
      <c r="R1611" t="s">
        <v>8323</v>
      </c>
      <c r="S1611" s="17">
        <f t="shared" si="106"/>
        <v>40796.001261574071</v>
      </c>
      <c r="T1611" s="17">
        <f t="shared" si="107"/>
        <v>40849.333333333336</v>
      </c>
      <c r="U1611">
        <f>MONTH(Table1[[#This Row],[Launched]])</f>
        <v>9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 s="8">
        <v>1355609510</v>
      </c>
      <c r="J1612">
        <v>1353017510</v>
      </c>
      <c r="K1612" t="b">
        <v>0</v>
      </c>
      <c r="L1612" s="10">
        <v>112</v>
      </c>
      <c r="M1612" t="b">
        <v>1</v>
      </c>
      <c r="N1612" t="s">
        <v>8274</v>
      </c>
      <c r="O1612" s="11">
        <f t="shared" si="104"/>
        <v>272</v>
      </c>
      <c r="P1612" s="12">
        <f t="shared" si="105"/>
        <v>49</v>
      </c>
      <c r="Q1612" s="14" t="s">
        <v>8322</v>
      </c>
      <c r="R1612" t="s">
        <v>8323</v>
      </c>
      <c r="S1612" s="17">
        <f t="shared" si="106"/>
        <v>41228.924884259257</v>
      </c>
      <c r="T1612" s="17">
        <f t="shared" si="107"/>
        <v>41258.924884259257</v>
      </c>
      <c r="U1612">
        <f>MONTH(Table1[[#This Row],[Launched]])</f>
        <v>11</v>
      </c>
    </row>
    <row r="1613" spans="1:21" ht="15.6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8218</v>
      </c>
      <c r="G1613" t="s">
        <v>8223</v>
      </c>
      <c r="H1613" t="s">
        <v>8245</v>
      </c>
      <c r="I1613" s="8">
        <v>1370390432</v>
      </c>
      <c r="J1613">
        <v>1368576032</v>
      </c>
      <c r="K1613" t="b">
        <v>0</v>
      </c>
      <c r="L1613" s="10">
        <v>27</v>
      </c>
      <c r="M1613" t="b">
        <v>1</v>
      </c>
      <c r="N1613" t="s">
        <v>8274</v>
      </c>
      <c r="O1613" s="11">
        <f t="shared" si="104"/>
        <v>125</v>
      </c>
      <c r="P1613" s="12">
        <f t="shared" si="105"/>
        <v>37</v>
      </c>
      <c r="Q1613" s="14" t="s">
        <v>8322</v>
      </c>
      <c r="R1613" t="s">
        <v>8323</v>
      </c>
      <c r="S1613" s="17">
        <f t="shared" si="106"/>
        <v>41409.00037037037</v>
      </c>
      <c r="T1613" s="17">
        <f t="shared" si="107"/>
        <v>41430.00037037037</v>
      </c>
      <c r="U1613">
        <f>MONTH(Table1[[#This Row],[Launched]])</f>
        <v>5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8218</v>
      </c>
      <c r="G1614" t="s">
        <v>8223</v>
      </c>
      <c r="H1614" t="s">
        <v>8245</v>
      </c>
      <c r="I1614" s="8">
        <v>1357160384</v>
      </c>
      <c r="J1614">
        <v>1354568384</v>
      </c>
      <c r="K1614" t="b">
        <v>0</v>
      </c>
      <c r="L1614" s="10">
        <v>11</v>
      </c>
      <c r="M1614" t="b">
        <v>1</v>
      </c>
      <c r="N1614" t="s">
        <v>8274</v>
      </c>
      <c r="O1614" s="11">
        <f t="shared" si="104"/>
        <v>110</v>
      </c>
      <c r="P1614" s="12">
        <f t="shared" si="105"/>
        <v>50</v>
      </c>
      <c r="Q1614" s="14" t="s">
        <v>8322</v>
      </c>
      <c r="R1614" t="s">
        <v>8323</v>
      </c>
      <c r="S1614" s="17">
        <f t="shared" si="106"/>
        <v>41246.874814814815</v>
      </c>
      <c r="T1614" s="17">
        <f t="shared" si="107"/>
        <v>41276.874814814815</v>
      </c>
      <c r="U1614">
        <f>MONTH(Table1[[#This Row],[Launched]])</f>
        <v>12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 s="8">
        <v>1342921202</v>
      </c>
      <c r="J1615">
        <v>1340329202</v>
      </c>
      <c r="K1615" t="b">
        <v>0</v>
      </c>
      <c r="L1615" s="10">
        <v>26</v>
      </c>
      <c r="M1615" t="b">
        <v>1</v>
      </c>
      <c r="N1615" t="s">
        <v>8274</v>
      </c>
      <c r="O1615" s="11">
        <f t="shared" si="104"/>
        <v>102</v>
      </c>
      <c r="P1615" s="12">
        <f t="shared" si="105"/>
        <v>39</v>
      </c>
      <c r="Q1615" s="14" t="s">
        <v>8322</v>
      </c>
      <c r="R1615" t="s">
        <v>8323</v>
      </c>
      <c r="S1615" s="17">
        <f t="shared" si="106"/>
        <v>41082.069467592592</v>
      </c>
      <c r="T1615" s="17">
        <f t="shared" si="107"/>
        <v>41112.069467592592</v>
      </c>
      <c r="U1615">
        <f>MONTH(Table1[[#This Row],[Launched]])</f>
        <v>6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 s="8">
        <v>1407085200</v>
      </c>
      <c r="J1616">
        <v>1401924769</v>
      </c>
      <c r="K1616" t="b">
        <v>0</v>
      </c>
      <c r="L1616" s="10">
        <v>77</v>
      </c>
      <c r="M1616" t="b">
        <v>1</v>
      </c>
      <c r="N1616" t="s">
        <v>8274</v>
      </c>
      <c r="O1616" s="11">
        <f t="shared" si="104"/>
        <v>103</v>
      </c>
      <c r="P1616" s="12">
        <f t="shared" si="105"/>
        <v>67</v>
      </c>
      <c r="Q1616" s="14" t="s">
        <v>8322</v>
      </c>
      <c r="R1616" t="s">
        <v>8323</v>
      </c>
      <c r="S1616" s="17">
        <f t="shared" si="106"/>
        <v>41794.981122685182</v>
      </c>
      <c r="T1616" s="17">
        <f t="shared" si="107"/>
        <v>41854.708333333336</v>
      </c>
      <c r="U1616">
        <f>MONTH(Table1[[#This Row],[Launched]])</f>
        <v>6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 s="8">
        <v>1323742396</v>
      </c>
      <c r="J1617">
        <v>1319850796</v>
      </c>
      <c r="K1617" t="b">
        <v>0</v>
      </c>
      <c r="L1617" s="10">
        <v>136</v>
      </c>
      <c r="M1617" t="b">
        <v>1</v>
      </c>
      <c r="N1617" t="s">
        <v>8274</v>
      </c>
      <c r="O1617" s="11">
        <f t="shared" si="104"/>
        <v>114</v>
      </c>
      <c r="P1617" s="12">
        <f t="shared" si="105"/>
        <v>67</v>
      </c>
      <c r="Q1617" s="14" t="s">
        <v>8322</v>
      </c>
      <c r="R1617" t="s">
        <v>8323</v>
      </c>
      <c r="S1617" s="17">
        <f t="shared" si="106"/>
        <v>40845.050879629627</v>
      </c>
      <c r="T1617" s="17">
        <f t="shared" si="107"/>
        <v>40890.092546296299</v>
      </c>
      <c r="U1617">
        <f>MONTH(Table1[[#This Row],[Launched]])</f>
        <v>10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 s="8">
        <v>1353621600</v>
      </c>
      <c r="J1618">
        <v>1350061821</v>
      </c>
      <c r="K1618" t="b">
        <v>0</v>
      </c>
      <c r="L1618" s="10">
        <v>157</v>
      </c>
      <c r="M1618" t="b">
        <v>1</v>
      </c>
      <c r="N1618" t="s">
        <v>8274</v>
      </c>
      <c r="O1618" s="11">
        <f t="shared" si="104"/>
        <v>104</v>
      </c>
      <c r="P1618" s="12">
        <f t="shared" si="105"/>
        <v>66</v>
      </c>
      <c r="Q1618" s="14" t="s">
        <v>8322</v>
      </c>
      <c r="R1618" t="s">
        <v>8323</v>
      </c>
      <c r="S1618" s="17">
        <f t="shared" si="106"/>
        <v>41194.715520833335</v>
      </c>
      <c r="T1618" s="17">
        <f t="shared" si="107"/>
        <v>41235.916666666664</v>
      </c>
      <c r="U1618">
        <f>MONTH(Table1[[#This Row],[Launched]])</f>
        <v>10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 s="8">
        <v>1383332400</v>
      </c>
      <c r="J1619">
        <v>1380470188</v>
      </c>
      <c r="K1619" t="b">
        <v>0</v>
      </c>
      <c r="L1619" s="10">
        <v>158</v>
      </c>
      <c r="M1619" t="b">
        <v>1</v>
      </c>
      <c r="N1619" t="s">
        <v>8274</v>
      </c>
      <c r="O1619" s="11">
        <f t="shared" si="104"/>
        <v>146</v>
      </c>
      <c r="P1619" s="12">
        <f t="shared" si="105"/>
        <v>65</v>
      </c>
      <c r="Q1619" s="14" t="s">
        <v>8322</v>
      </c>
      <c r="R1619" t="s">
        <v>8323</v>
      </c>
      <c r="S1619" s="17">
        <f t="shared" si="106"/>
        <v>41546.664212962962</v>
      </c>
      <c r="T1619" s="17">
        <f t="shared" si="107"/>
        <v>41579.791666666664</v>
      </c>
      <c r="U1619">
        <f>MONTH(Table1[[#This Row],[Launched]])</f>
        <v>9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 s="8">
        <v>1362757335</v>
      </c>
      <c r="J1620">
        <v>1359301335</v>
      </c>
      <c r="K1620" t="b">
        <v>0</v>
      </c>
      <c r="L1620" s="10">
        <v>27</v>
      </c>
      <c r="M1620" t="b">
        <v>1</v>
      </c>
      <c r="N1620" t="s">
        <v>8274</v>
      </c>
      <c r="O1620" s="11">
        <f t="shared" si="104"/>
        <v>105</v>
      </c>
      <c r="P1620" s="12">
        <f t="shared" si="105"/>
        <v>58</v>
      </c>
      <c r="Q1620" s="14" t="s">
        <v>8322</v>
      </c>
      <c r="R1620" t="s">
        <v>8323</v>
      </c>
      <c r="S1620" s="17">
        <f t="shared" si="106"/>
        <v>41301.654340277775</v>
      </c>
      <c r="T1620" s="17">
        <f t="shared" si="107"/>
        <v>41341.654340277775</v>
      </c>
      <c r="U1620">
        <f>MONTH(Table1[[#This Row],[Launched]])</f>
        <v>1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 s="8">
        <v>1410755286</v>
      </c>
      <c r="J1621">
        <v>1408940886</v>
      </c>
      <c r="K1621" t="b">
        <v>0</v>
      </c>
      <c r="L1621" s="10">
        <v>23</v>
      </c>
      <c r="M1621" t="b">
        <v>1</v>
      </c>
      <c r="N1621" t="s">
        <v>8274</v>
      </c>
      <c r="O1621" s="11">
        <f t="shared" si="104"/>
        <v>133</v>
      </c>
      <c r="P1621" s="12">
        <f t="shared" si="105"/>
        <v>87</v>
      </c>
      <c r="Q1621" s="14" t="s">
        <v>8322</v>
      </c>
      <c r="R1621" t="s">
        <v>8323</v>
      </c>
      <c r="S1621" s="17">
        <f t="shared" si="106"/>
        <v>41876.18618055556</v>
      </c>
      <c r="T1621" s="17">
        <f t="shared" si="107"/>
        <v>41897.18618055556</v>
      </c>
      <c r="U1621">
        <f>MONTH(Table1[[#This Row],[Launched]])</f>
        <v>8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 s="8">
        <v>1361606940</v>
      </c>
      <c r="J1622">
        <v>1361002140</v>
      </c>
      <c r="K1622" t="b">
        <v>0</v>
      </c>
      <c r="L1622" s="10">
        <v>17</v>
      </c>
      <c r="M1622" t="b">
        <v>1</v>
      </c>
      <c r="N1622" t="s">
        <v>8274</v>
      </c>
      <c r="O1622" s="11">
        <f t="shared" si="104"/>
        <v>113</v>
      </c>
      <c r="P1622" s="12">
        <f t="shared" si="105"/>
        <v>66</v>
      </c>
      <c r="Q1622" s="14" t="s">
        <v>8322</v>
      </c>
      <c r="R1622" t="s">
        <v>8323</v>
      </c>
      <c r="S1622" s="17">
        <f t="shared" si="106"/>
        <v>41321.339583333334</v>
      </c>
      <c r="T1622" s="17">
        <f t="shared" si="107"/>
        <v>41328.339583333334</v>
      </c>
      <c r="U1622">
        <f>MONTH(Table1[[#This Row],[Launched]])</f>
        <v>2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 s="8">
        <v>1338177540</v>
      </c>
      <c r="J1623">
        <v>1333550015</v>
      </c>
      <c r="K1623" t="b">
        <v>0</v>
      </c>
      <c r="L1623" s="10">
        <v>37</v>
      </c>
      <c r="M1623" t="b">
        <v>1</v>
      </c>
      <c r="N1623" t="s">
        <v>8274</v>
      </c>
      <c r="O1623" s="11">
        <f t="shared" si="104"/>
        <v>121</v>
      </c>
      <c r="P1623" s="12">
        <f t="shared" si="105"/>
        <v>164</v>
      </c>
      <c r="Q1623" s="14" t="s">
        <v>8322</v>
      </c>
      <c r="R1623" t="s">
        <v>8323</v>
      </c>
      <c r="S1623" s="17">
        <f t="shared" si="106"/>
        <v>41003.60665509259</v>
      </c>
      <c r="T1623" s="17">
        <f t="shared" si="107"/>
        <v>41057.165972222225</v>
      </c>
      <c r="U1623">
        <f>MONTH(Table1[[#This Row],[Launched]])</f>
        <v>4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 s="8">
        <v>1418803140</v>
      </c>
      <c r="J1624">
        <v>1415343874</v>
      </c>
      <c r="K1624" t="b">
        <v>0</v>
      </c>
      <c r="L1624" s="10">
        <v>65</v>
      </c>
      <c r="M1624" t="b">
        <v>1</v>
      </c>
      <c r="N1624" t="s">
        <v>8274</v>
      </c>
      <c r="O1624" s="11">
        <f t="shared" si="104"/>
        <v>102</v>
      </c>
      <c r="P1624" s="12">
        <f t="shared" si="105"/>
        <v>108</v>
      </c>
      <c r="Q1624" s="14" t="s">
        <v>8322</v>
      </c>
      <c r="R1624" t="s">
        <v>8323</v>
      </c>
      <c r="S1624" s="17">
        <f t="shared" si="106"/>
        <v>41950.29483796296</v>
      </c>
      <c r="T1624" s="17">
        <f t="shared" si="107"/>
        <v>41990.332638888889</v>
      </c>
      <c r="U1624">
        <f>MONTH(Table1[[#This Row],[Launched]])</f>
        <v>11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8218</v>
      </c>
      <c r="G1625" t="s">
        <v>8224</v>
      </c>
      <c r="H1625" t="s">
        <v>8246</v>
      </c>
      <c r="I1625" s="8">
        <v>1377621089</v>
      </c>
      <c r="J1625">
        <v>1372437089</v>
      </c>
      <c r="K1625" t="b">
        <v>0</v>
      </c>
      <c r="L1625" s="10">
        <v>18</v>
      </c>
      <c r="M1625" t="b">
        <v>1</v>
      </c>
      <c r="N1625" t="s">
        <v>8274</v>
      </c>
      <c r="O1625" s="11">
        <f t="shared" si="104"/>
        <v>101</v>
      </c>
      <c r="P1625" s="12">
        <f t="shared" si="105"/>
        <v>42</v>
      </c>
      <c r="Q1625" s="14" t="s">
        <v>8322</v>
      </c>
      <c r="R1625" t="s">
        <v>8323</v>
      </c>
      <c r="S1625" s="17">
        <f t="shared" si="106"/>
        <v>41453.688530092593</v>
      </c>
      <c r="T1625" s="17">
        <f t="shared" si="107"/>
        <v>41513.688530092593</v>
      </c>
      <c r="U1625">
        <f>MONTH(Table1[[#This Row],[Launched]])</f>
        <v>6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 s="8">
        <v>1357721335</v>
      </c>
      <c r="J1626">
        <v>1354265335</v>
      </c>
      <c r="K1626" t="b">
        <v>0</v>
      </c>
      <c r="L1626" s="10">
        <v>25</v>
      </c>
      <c r="M1626" t="b">
        <v>1</v>
      </c>
      <c r="N1626" t="s">
        <v>8274</v>
      </c>
      <c r="O1626" s="11">
        <f t="shared" si="104"/>
        <v>118</v>
      </c>
      <c r="P1626" s="12">
        <f t="shared" si="105"/>
        <v>47</v>
      </c>
      <c r="Q1626" s="14" t="s">
        <v>8322</v>
      </c>
      <c r="R1626" t="s">
        <v>8323</v>
      </c>
      <c r="S1626" s="17">
        <f t="shared" si="106"/>
        <v>41243.367303240739</v>
      </c>
      <c r="T1626" s="17">
        <f t="shared" si="107"/>
        <v>41283.367303240739</v>
      </c>
      <c r="U1626">
        <f>MONTH(Table1[[#This Row],[Launched]])</f>
        <v>11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 s="8">
        <v>1347382053</v>
      </c>
      <c r="J1627">
        <v>1344962853</v>
      </c>
      <c r="K1627" t="b">
        <v>0</v>
      </c>
      <c r="L1627" s="10">
        <v>104</v>
      </c>
      <c r="M1627" t="b">
        <v>1</v>
      </c>
      <c r="N1627" t="s">
        <v>8274</v>
      </c>
      <c r="O1627" s="11">
        <f t="shared" si="104"/>
        <v>155</v>
      </c>
      <c r="P1627" s="12">
        <f t="shared" si="105"/>
        <v>112</v>
      </c>
      <c r="Q1627" s="14" t="s">
        <v>8322</v>
      </c>
      <c r="R1627" t="s">
        <v>8323</v>
      </c>
      <c r="S1627" s="17">
        <f t="shared" si="106"/>
        <v>41135.699687500004</v>
      </c>
      <c r="T1627" s="17">
        <f t="shared" si="107"/>
        <v>41163.699687500004</v>
      </c>
      <c r="U1627">
        <f>MONTH(Table1[[#This Row],[Launched]])</f>
        <v>8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 s="8">
        <v>1385932867</v>
      </c>
      <c r="J1628">
        <v>1383337267</v>
      </c>
      <c r="K1628" t="b">
        <v>0</v>
      </c>
      <c r="L1628" s="10">
        <v>108</v>
      </c>
      <c r="M1628" t="b">
        <v>1</v>
      </c>
      <c r="N1628" t="s">
        <v>8274</v>
      </c>
      <c r="O1628" s="11">
        <f t="shared" si="104"/>
        <v>101</v>
      </c>
      <c r="P1628" s="12">
        <f t="shared" si="105"/>
        <v>75</v>
      </c>
      <c r="Q1628" s="14" t="s">
        <v>8322</v>
      </c>
      <c r="R1628" t="s">
        <v>8323</v>
      </c>
      <c r="S1628" s="17">
        <f t="shared" si="106"/>
        <v>41579.847997685189</v>
      </c>
      <c r="T1628" s="17">
        <f t="shared" si="107"/>
        <v>41609.889664351853</v>
      </c>
      <c r="U1628">
        <f>MONTH(Table1[[#This Row],[Launched]])</f>
        <v>11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 s="8">
        <v>1353905940</v>
      </c>
      <c r="J1629">
        <v>1351011489</v>
      </c>
      <c r="K1629" t="b">
        <v>0</v>
      </c>
      <c r="L1629" s="10">
        <v>38</v>
      </c>
      <c r="M1629" t="b">
        <v>1</v>
      </c>
      <c r="N1629" t="s">
        <v>8274</v>
      </c>
      <c r="O1629" s="11">
        <f t="shared" si="104"/>
        <v>117</v>
      </c>
      <c r="P1629" s="12">
        <f t="shared" si="105"/>
        <v>62</v>
      </c>
      <c r="Q1629" s="14" t="s">
        <v>8322</v>
      </c>
      <c r="R1629" t="s">
        <v>8323</v>
      </c>
      <c r="S1629" s="17">
        <f t="shared" si="106"/>
        <v>41205.707048611112</v>
      </c>
      <c r="T1629" s="17">
        <f t="shared" si="107"/>
        <v>41239.207638888889</v>
      </c>
      <c r="U1629">
        <f>MONTH(Table1[[#This Row],[Launched]])</f>
        <v>10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 s="8">
        <v>1403026882</v>
      </c>
      <c r="J1630">
        <v>1400175682</v>
      </c>
      <c r="K1630" t="b">
        <v>0</v>
      </c>
      <c r="L1630" s="10">
        <v>88</v>
      </c>
      <c r="M1630" t="b">
        <v>1</v>
      </c>
      <c r="N1630" t="s">
        <v>8274</v>
      </c>
      <c r="O1630" s="11">
        <f t="shared" si="104"/>
        <v>101</v>
      </c>
      <c r="P1630" s="12">
        <f t="shared" si="105"/>
        <v>46</v>
      </c>
      <c r="Q1630" s="14" t="s">
        <v>8322</v>
      </c>
      <c r="R1630" t="s">
        <v>8323</v>
      </c>
      <c r="S1630" s="17">
        <f t="shared" si="106"/>
        <v>41774.737060185187</v>
      </c>
      <c r="T1630" s="17">
        <f t="shared" si="107"/>
        <v>41807.737060185187</v>
      </c>
      <c r="U1630">
        <f>MONTH(Table1[[#This Row],[Launched]])</f>
        <v>5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 s="8">
        <v>1392929333</v>
      </c>
      <c r="J1631">
        <v>1389041333</v>
      </c>
      <c r="K1631" t="b">
        <v>0</v>
      </c>
      <c r="L1631" s="10">
        <v>82</v>
      </c>
      <c r="M1631" t="b">
        <v>1</v>
      </c>
      <c r="N1631" t="s">
        <v>8274</v>
      </c>
      <c r="O1631" s="11">
        <f t="shared" si="104"/>
        <v>104</v>
      </c>
      <c r="P1631" s="12">
        <f t="shared" si="105"/>
        <v>76</v>
      </c>
      <c r="Q1631" s="14" t="s">
        <v>8322</v>
      </c>
      <c r="R1631" t="s">
        <v>8323</v>
      </c>
      <c r="S1631" s="17">
        <f t="shared" si="106"/>
        <v>41645.867280092592</v>
      </c>
      <c r="T1631" s="17">
        <f t="shared" si="107"/>
        <v>41690.867280092592</v>
      </c>
      <c r="U1631">
        <f>MONTH(Table1[[#This Row],[Launched]])</f>
        <v>1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 s="8">
        <v>1330671540</v>
      </c>
      <c r="J1632">
        <v>1328040375</v>
      </c>
      <c r="K1632" t="b">
        <v>0</v>
      </c>
      <c r="L1632" s="10">
        <v>126</v>
      </c>
      <c r="M1632" t="b">
        <v>1</v>
      </c>
      <c r="N1632" t="s">
        <v>8274</v>
      </c>
      <c r="O1632" s="11">
        <f t="shared" si="104"/>
        <v>265</v>
      </c>
      <c r="P1632" s="12">
        <f t="shared" si="105"/>
        <v>84</v>
      </c>
      <c r="Q1632" s="14" t="s">
        <v>8322</v>
      </c>
      <c r="R1632" t="s">
        <v>8323</v>
      </c>
      <c r="S1632" s="17">
        <f t="shared" si="106"/>
        <v>40939.837673611109</v>
      </c>
      <c r="T1632" s="17">
        <f t="shared" si="107"/>
        <v>40970.290972222225</v>
      </c>
      <c r="U1632">
        <f>MONTH(Table1[[#This Row],[Launched]])</f>
        <v>1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 s="8">
        <v>1350074261</v>
      </c>
      <c r="J1633">
        <v>1347482261</v>
      </c>
      <c r="K1633" t="b">
        <v>0</v>
      </c>
      <c r="L1633" s="10">
        <v>133</v>
      </c>
      <c r="M1633" t="b">
        <v>1</v>
      </c>
      <c r="N1633" t="s">
        <v>8274</v>
      </c>
      <c r="O1633" s="11">
        <f t="shared" si="104"/>
        <v>156</v>
      </c>
      <c r="P1633" s="12">
        <f t="shared" si="105"/>
        <v>117</v>
      </c>
      <c r="Q1633" s="14" t="s">
        <v>8322</v>
      </c>
      <c r="R1633" t="s">
        <v>8323</v>
      </c>
      <c r="S1633" s="17">
        <f t="shared" si="106"/>
        <v>41164.859502314815</v>
      </c>
      <c r="T1633" s="17">
        <f t="shared" si="107"/>
        <v>41194.859502314815</v>
      </c>
      <c r="U1633">
        <f>MONTH(Table1[[#This Row],[Launched]])</f>
        <v>9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 s="8">
        <v>1316851854</v>
      </c>
      <c r="J1634">
        <v>1311667854</v>
      </c>
      <c r="K1634" t="b">
        <v>0</v>
      </c>
      <c r="L1634" s="10">
        <v>47</v>
      </c>
      <c r="M1634" t="b">
        <v>1</v>
      </c>
      <c r="N1634" t="s">
        <v>8274</v>
      </c>
      <c r="O1634" s="11">
        <f t="shared" si="104"/>
        <v>102</v>
      </c>
      <c r="P1634" s="12">
        <f t="shared" si="105"/>
        <v>86</v>
      </c>
      <c r="Q1634" s="14" t="s">
        <v>8322</v>
      </c>
      <c r="R1634" t="s">
        <v>8323</v>
      </c>
      <c r="S1634" s="17">
        <f t="shared" si="106"/>
        <v>40750.340902777774</v>
      </c>
      <c r="T1634" s="17">
        <f t="shared" si="107"/>
        <v>40810.340902777774</v>
      </c>
      <c r="U1634">
        <f>MONTH(Table1[[#This Row],[Launched]])</f>
        <v>7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 s="8">
        <v>1326690000</v>
      </c>
      <c r="J1635">
        <v>1324329156</v>
      </c>
      <c r="K1635" t="b">
        <v>0</v>
      </c>
      <c r="L1635" s="10">
        <v>58</v>
      </c>
      <c r="M1635" t="b">
        <v>1</v>
      </c>
      <c r="N1635" t="s">
        <v>8274</v>
      </c>
      <c r="O1635" s="11">
        <f t="shared" si="104"/>
        <v>100</v>
      </c>
      <c r="P1635" s="12">
        <f t="shared" si="105"/>
        <v>172</v>
      </c>
      <c r="Q1635" s="14" t="s">
        <v>8322</v>
      </c>
      <c r="R1635" t="s">
        <v>8323</v>
      </c>
      <c r="S1635" s="17">
        <f t="shared" si="106"/>
        <v>40896.883750000001</v>
      </c>
      <c r="T1635" s="17">
        <f t="shared" si="107"/>
        <v>40924.208333333336</v>
      </c>
      <c r="U1635">
        <f>MONTH(Table1[[#This Row],[Launched]])</f>
        <v>12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 s="8">
        <v>1306994340</v>
      </c>
      <c r="J1636">
        <v>1303706001</v>
      </c>
      <c r="K1636" t="b">
        <v>0</v>
      </c>
      <c r="L1636" s="10">
        <v>32</v>
      </c>
      <c r="M1636" t="b">
        <v>1</v>
      </c>
      <c r="N1636" t="s">
        <v>8274</v>
      </c>
      <c r="O1636" s="11">
        <f t="shared" si="104"/>
        <v>101</v>
      </c>
      <c r="P1636" s="12">
        <f t="shared" si="105"/>
        <v>63</v>
      </c>
      <c r="Q1636" s="14" t="s">
        <v>8322</v>
      </c>
      <c r="R1636" t="s">
        <v>8323</v>
      </c>
      <c r="S1636" s="17">
        <f t="shared" si="106"/>
        <v>40658.189826388887</v>
      </c>
      <c r="T1636" s="17">
        <f t="shared" si="107"/>
        <v>40696.249305555553</v>
      </c>
      <c r="U1636">
        <f>MONTH(Table1[[#This Row],[Launched]])</f>
        <v>4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 s="8">
        <v>1468270261</v>
      </c>
      <c r="J1637">
        <v>1463086261</v>
      </c>
      <c r="K1637" t="b">
        <v>0</v>
      </c>
      <c r="L1637" s="10">
        <v>37</v>
      </c>
      <c r="M1637" t="b">
        <v>1</v>
      </c>
      <c r="N1637" t="s">
        <v>8274</v>
      </c>
      <c r="O1637" s="11">
        <f t="shared" si="104"/>
        <v>125</v>
      </c>
      <c r="P1637" s="12">
        <f t="shared" si="105"/>
        <v>68</v>
      </c>
      <c r="Q1637" s="14" t="s">
        <v>8322</v>
      </c>
      <c r="R1637" t="s">
        <v>8323</v>
      </c>
      <c r="S1637" s="17">
        <f t="shared" si="106"/>
        <v>42502.868761574078</v>
      </c>
      <c r="T1637" s="17">
        <f t="shared" si="107"/>
        <v>42562.868761574078</v>
      </c>
      <c r="U1637">
        <f>MONTH(Table1[[#This Row],[Launched]])</f>
        <v>5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 s="8">
        <v>1307851200</v>
      </c>
      <c r="J1638">
        <v>1304129088</v>
      </c>
      <c r="K1638" t="b">
        <v>0</v>
      </c>
      <c r="L1638" s="10">
        <v>87</v>
      </c>
      <c r="M1638" t="b">
        <v>1</v>
      </c>
      <c r="N1638" t="s">
        <v>8274</v>
      </c>
      <c r="O1638" s="11">
        <f t="shared" si="104"/>
        <v>104</v>
      </c>
      <c r="P1638" s="12">
        <f t="shared" si="105"/>
        <v>54</v>
      </c>
      <c r="Q1638" s="14" t="s">
        <v>8322</v>
      </c>
      <c r="R1638" t="s">
        <v>8323</v>
      </c>
      <c r="S1638" s="17">
        <f t="shared" si="106"/>
        <v>40663.08666666667</v>
      </c>
      <c r="T1638" s="17">
        <f t="shared" si="107"/>
        <v>40706.166666666664</v>
      </c>
      <c r="U1638">
        <f>MONTH(Table1[[#This Row],[Launched]])</f>
        <v>4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8218</v>
      </c>
      <c r="G1639" t="s">
        <v>8223</v>
      </c>
      <c r="H1639" t="s">
        <v>8245</v>
      </c>
      <c r="I1639" s="8">
        <v>1262302740</v>
      </c>
      <c r="J1639">
        <v>1257444140</v>
      </c>
      <c r="K1639" t="b">
        <v>0</v>
      </c>
      <c r="L1639" s="10">
        <v>15</v>
      </c>
      <c r="M1639" t="b">
        <v>1</v>
      </c>
      <c r="N1639" t="s">
        <v>8274</v>
      </c>
      <c r="O1639" s="11">
        <f t="shared" si="104"/>
        <v>104</v>
      </c>
      <c r="P1639" s="12">
        <f t="shared" si="105"/>
        <v>35</v>
      </c>
      <c r="Q1639" s="14" t="s">
        <v>8322</v>
      </c>
      <c r="R1639" t="s">
        <v>8323</v>
      </c>
      <c r="S1639" s="17">
        <f t="shared" si="106"/>
        <v>40122.751620370371</v>
      </c>
      <c r="T1639" s="17">
        <f t="shared" si="107"/>
        <v>40178.98541666667</v>
      </c>
      <c r="U1639">
        <f>MONTH(Table1[[#This Row],[Launched]])</f>
        <v>11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 s="8">
        <v>1362086700</v>
      </c>
      <c r="J1640">
        <v>1358180968</v>
      </c>
      <c r="K1640" t="b">
        <v>0</v>
      </c>
      <c r="L1640" s="10">
        <v>27</v>
      </c>
      <c r="M1640" t="b">
        <v>1</v>
      </c>
      <c r="N1640" t="s">
        <v>8274</v>
      </c>
      <c r="O1640" s="11">
        <f t="shared" si="104"/>
        <v>105</v>
      </c>
      <c r="P1640" s="12">
        <f t="shared" si="105"/>
        <v>39</v>
      </c>
      <c r="Q1640" s="14" t="s">
        <v>8322</v>
      </c>
      <c r="R1640" t="s">
        <v>8323</v>
      </c>
      <c r="S1640" s="17">
        <f t="shared" si="106"/>
        <v>41288.68712962963</v>
      </c>
      <c r="T1640" s="17">
        <f t="shared" si="107"/>
        <v>41333.892361111109</v>
      </c>
      <c r="U1640">
        <f>MONTH(Table1[[#This Row],[Launched]])</f>
        <v>1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 s="8">
        <v>1330789165</v>
      </c>
      <c r="J1641">
        <v>1328197165</v>
      </c>
      <c r="K1641" t="b">
        <v>0</v>
      </c>
      <c r="L1641" s="10">
        <v>19</v>
      </c>
      <c r="M1641" t="b">
        <v>1</v>
      </c>
      <c r="N1641" t="s">
        <v>8274</v>
      </c>
      <c r="O1641" s="11">
        <f t="shared" si="104"/>
        <v>100</v>
      </c>
      <c r="P1641" s="12">
        <f t="shared" si="105"/>
        <v>95</v>
      </c>
      <c r="Q1641" s="14" t="s">
        <v>8322</v>
      </c>
      <c r="R1641" t="s">
        <v>8323</v>
      </c>
      <c r="S1641" s="17">
        <f t="shared" si="106"/>
        <v>40941.652372685188</v>
      </c>
      <c r="T1641" s="17">
        <f t="shared" si="107"/>
        <v>40971.652372685188</v>
      </c>
      <c r="U1641">
        <f>MONTH(Table1[[#This Row],[Launched]])</f>
        <v>2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 s="8">
        <v>1280800740</v>
      </c>
      <c r="J1642">
        <v>1279603955</v>
      </c>
      <c r="K1642" t="b">
        <v>0</v>
      </c>
      <c r="L1642" s="10">
        <v>17</v>
      </c>
      <c r="M1642" t="b">
        <v>1</v>
      </c>
      <c r="N1642" t="s">
        <v>8274</v>
      </c>
      <c r="O1642" s="11">
        <f t="shared" si="104"/>
        <v>170</v>
      </c>
      <c r="P1642" s="12">
        <f t="shared" si="105"/>
        <v>40</v>
      </c>
      <c r="Q1642" s="14" t="s">
        <v>8322</v>
      </c>
      <c r="R1642" t="s">
        <v>8323</v>
      </c>
      <c r="S1642" s="17">
        <f t="shared" si="106"/>
        <v>40379.23096064815</v>
      </c>
      <c r="T1642" s="17">
        <f t="shared" si="107"/>
        <v>40393.082638888889</v>
      </c>
      <c r="U1642">
        <f>MONTH(Table1[[#This Row],[Launched]])</f>
        <v>7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 s="8">
        <v>1418998744</v>
      </c>
      <c r="J1643">
        <v>1416406744</v>
      </c>
      <c r="K1643" t="b">
        <v>0</v>
      </c>
      <c r="L1643" s="10">
        <v>26</v>
      </c>
      <c r="M1643" t="b">
        <v>1</v>
      </c>
      <c r="N1643" t="s">
        <v>8290</v>
      </c>
      <c r="O1643" s="11">
        <f t="shared" si="104"/>
        <v>101</v>
      </c>
      <c r="P1643" s="12">
        <f t="shared" si="105"/>
        <v>98</v>
      </c>
      <c r="Q1643" s="14" t="s">
        <v>8322</v>
      </c>
      <c r="R1643" t="s">
        <v>8343</v>
      </c>
      <c r="S1643" s="17">
        <f t="shared" si="106"/>
        <v>41962.596574074079</v>
      </c>
      <c r="T1643" s="17">
        <f t="shared" si="107"/>
        <v>41992.596574074079</v>
      </c>
      <c r="U1643">
        <f>MONTH(Table1[[#This Row],[Launched]])</f>
        <v>11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 s="8">
        <v>1308011727</v>
      </c>
      <c r="J1644">
        <v>1306283727</v>
      </c>
      <c r="K1644" t="b">
        <v>0</v>
      </c>
      <c r="L1644" s="10">
        <v>28</v>
      </c>
      <c r="M1644" t="b">
        <v>1</v>
      </c>
      <c r="N1644" t="s">
        <v>8290</v>
      </c>
      <c r="O1644" s="11">
        <f t="shared" si="104"/>
        <v>100</v>
      </c>
      <c r="P1644" s="12">
        <f t="shared" si="105"/>
        <v>43</v>
      </c>
      <c r="Q1644" s="14" t="s">
        <v>8322</v>
      </c>
      <c r="R1644" t="s">
        <v>8343</v>
      </c>
      <c r="S1644" s="17">
        <f t="shared" si="106"/>
        <v>40688.024618055555</v>
      </c>
      <c r="T1644" s="17">
        <f t="shared" si="107"/>
        <v>40708.024618055555</v>
      </c>
      <c r="U1644">
        <f>MONTH(Table1[[#This Row],[Launched]])</f>
        <v>5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 s="8">
        <v>1348516012</v>
      </c>
      <c r="J1645">
        <v>1345924012</v>
      </c>
      <c r="K1645" t="b">
        <v>0</v>
      </c>
      <c r="L1645" s="10">
        <v>37</v>
      </c>
      <c r="M1645" t="b">
        <v>1</v>
      </c>
      <c r="N1645" t="s">
        <v>8290</v>
      </c>
      <c r="O1645" s="11">
        <f t="shared" si="104"/>
        <v>125</v>
      </c>
      <c r="P1645" s="12">
        <f t="shared" si="105"/>
        <v>169</v>
      </c>
      <c r="Q1645" s="14" t="s">
        <v>8322</v>
      </c>
      <c r="R1645" t="s">
        <v>8343</v>
      </c>
      <c r="S1645" s="17">
        <f t="shared" si="106"/>
        <v>41146.824212962965</v>
      </c>
      <c r="T1645" s="17">
        <f t="shared" si="107"/>
        <v>41176.824212962965</v>
      </c>
      <c r="U1645">
        <f>MONTH(Table1[[#This Row],[Launched]])</f>
        <v>8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 s="8">
        <v>1353551160</v>
      </c>
      <c r="J1646">
        <v>1348363560</v>
      </c>
      <c r="K1646" t="b">
        <v>0</v>
      </c>
      <c r="L1646" s="10">
        <v>128</v>
      </c>
      <c r="M1646" t="b">
        <v>1</v>
      </c>
      <c r="N1646" t="s">
        <v>8290</v>
      </c>
      <c r="O1646" s="11">
        <f t="shared" si="104"/>
        <v>110</v>
      </c>
      <c r="P1646" s="12">
        <f t="shared" si="105"/>
        <v>86</v>
      </c>
      <c r="Q1646" s="14" t="s">
        <v>8322</v>
      </c>
      <c r="R1646" t="s">
        <v>8343</v>
      </c>
      <c r="S1646" s="17">
        <f t="shared" si="106"/>
        <v>41175.05972222222</v>
      </c>
      <c r="T1646" s="17">
        <f t="shared" si="107"/>
        <v>41235.101388888892</v>
      </c>
      <c r="U1646">
        <f>MONTH(Table1[[#This Row],[Launched]])</f>
        <v>9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 s="8">
        <v>1379515740</v>
      </c>
      <c r="J1647">
        <v>1378306140</v>
      </c>
      <c r="K1647" t="b">
        <v>0</v>
      </c>
      <c r="L1647" s="10">
        <v>10</v>
      </c>
      <c r="M1647" t="b">
        <v>1</v>
      </c>
      <c r="N1647" t="s">
        <v>8290</v>
      </c>
      <c r="O1647" s="11">
        <f t="shared" si="104"/>
        <v>111</v>
      </c>
      <c r="P1647" s="12">
        <f t="shared" si="105"/>
        <v>554</v>
      </c>
      <c r="Q1647" s="14" t="s">
        <v>8322</v>
      </c>
      <c r="R1647" t="s">
        <v>8343</v>
      </c>
      <c r="S1647" s="17">
        <f t="shared" si="106"/>
        <v>41521.617361111108</v>
      </c>
      <c r="T1647" s="17">
        <f t="shared" si="107"/>
        <v>41535.617361111108</v>
      </c>
      <c r="U1647">
        <f>MONTH(Table1[[#This Row],[Launched]])</f>
        <v>9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 s="8">
        <v>1408039860</v>
      </c>
      <c r="J1648">
        <v>1405248503</v>
      </c>
      <c r="K1648" t="b">
        <v>0</v>
      </c>
      <c r="L1648" s="10">
        <v>83</v>
      </c>
      <c r="M1648" t="b">
        <v>1</v>
      </c>
      <c r="N1648" t="s">
        <v>8290</v>
      </c>
      <c r="O1648" s="11">
        <f t="shared" si="104"/>
        <v>110</v>
      </c>
      <c r="P1648" s="12">
        <f t="shared" si="105"/>
        <v>27</v>
      </c>
      <c r="Q1648" s="14" t="s">
        <v>8322</v>
      </c>
      <c r="R1648" t="s">
        <v>8343</v>
      </c>
      <c r="S1648" s="17">
        <f t="shared" si="106"/>
        <v>41833.450266203705</v>
      </c>
      <c r="T1648" s="17">
        <f t="shared" si="107"/>
        <v>41865.757638888892</v>
      </c>
      <c r="U1648">
        <f>MONTH(Table1[[#This Row],[Launched]])</f>
        <v>7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 s="8">
        <v>1339235377</v>
      </c>
      <c r="J1649">
        <v>1336643377</v>
      </c>
      <c r="K1649" t="b">
        <v>0</v>
      </c>
      <c r="L1649" s="10">
        <v>46</v>
      </c>
      <c r="M1649" t="b">
        <v>1</v>
      </c>
      <c r="N1649" t="s">
        <v>8290</v>
      </c>
      <c r="O1649" s="11">
        <f t="shared" si="104"/>
        <v>105</v>
      </c>
      <c r="P1649" s="12">
        <f t="shared" si="105"/>
        <v>114</v>
      </c>
      <c r="Q1649" s="14" t="s">
        <v>8322</v>
      </c>
      <c r="R1649" t="s">
        <v>8343</v>
      </c>
      <c r="S1649" s="17">
        <f t="shared" si="106"/>
        <v>41039.409456018519</v>
      </c>
      <c r="T1649" s="17">
        <f t="shared" si="107"/>
        <v>41069.409456018519</v>
      </c>
      <c r="U1649">
        <f>MONTH(Table1[[#This Row],[Launched]])</f>
        <v>5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 s="8">
        <v>1300636482</v>
      </c>
      <c r="J1650">
        <v>1298048082</v>
      </c>
      <c r="K1650" t="b">
        <v>0</v>
      </c>
      <c r="L1650" s="10">
        <v>90</v>
      </c>
      <c r="M1650" t="b">
        <v>1</v>
      </c>
      <c r="N1650" t="s">
        <v>8290</v>
      </c>
      <c r="O1650" s="11">
        <f t="shared" si="104"/>
        <v>125</v>
      </c>
      <c r="P1650" s="12">
        <f t="shared" si="105"/>
        <v>32</v>
      </c>
      <c r="Q1650" s="14" t="s">
        <v>8322</v>
      </c>
      <c r="R1650" t="s">
        <v>8343</v>
      </c>
      <c r="S1650" s="17">
        <f t="shared" si="106"/>
        <v>40592.704652777778</v>
      </c>
      <c r="T1650" s="17">
        <f t="shared" si="107"/>
        <v>40622.662986111114</v>
      </c>
      <c r="U1650">
        <f>MONTH(Table1[[#This Row],[Launched]])</f>
        <v>2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 s="8">
        <v>1400862355</v>
      </c>
      <c r="J1651">
        <v>1396974355</v>
      </c>
      <c r="K1651" t="b">
        <v>0</v>
      </c>
      <c r="L1651" s="10">
        <v>81</v>
      </c>
      <c r="M1651" t="b">
        <v>1</v>
      </c>
      <c r="N1651" t="s">
        <v>8290</v>
      </c>
      <c r="O1651" s="11">
        <f t="shared" si="104"/>
        <v>101</v>
      </c>
      <c r="P1651" s="12">
        <f t="shared" si="105"/>
        <v>47</v>
      </c>
      <c r="Q1651" s="14" t="s">
        <v>8322</v>
      </c>
      <c r="R1651" t="s">
        <v>8343</v>
      </c>
      <c r="S1651" s="17">
        <f t="shared" si="106"/>
        <v>41737.684664351851</v>
      </c>
      <c r="T1651" s="17">
        <f t="shared" si="107"/>
        <v>41782.684664351851</v>
      </c>
      <c r="U1651">
        <f>MONTH(Table1[[#This Row],[Launched]])</f>
        <v>4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 s="8">
        <v>1381314437</v>
      </c>
      <c r="J1652">
        <v>1378722437</v>
      </c>
      <c r="K1652" t="b">
        <v>0</v>
      </c>
      <c r="L1652" s="10">
        <v>32</v>
      </c>
      <c r="M1652" t="b">
        <v>1</v>
      </c>
      <c r="N1652" t="s">
        <v>8290</v>
      </c>
      <c r="O1652" s="11">
        <f t="shared" si="104"/>
        <v>142</v>
      </c>
      <c r="P1652" s="12">
        <f t="shared" si="105"/>
        <v>88</v>
      </c>
      <c r="Q1652" s="14" t="s">
        <v>8322</v>
      </c>
      <c r="R1652" t="s">
        <v>8343</v>
      </c>
      <c r="S1652" s="17">
        <f t="shared" si="106"/>
        <v>41526.435613425929</v>
      </c>
      <c r="T1652" s="17">
        <f t="shared" si="107"/>
        <v>41556.435613425929</v>
      </c>
      <c r="U1652">
        <f>MONTH(Table1[[#This Row],[Launched]])</f>
        <v>9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 s="8">
        <v>1303801140</v>
      </c>
      <c r="J1653">
        <v>1300916220</v>
      </c>
      <c r="K1653" t="b">
        <v>0</v>
      </c>
      <c r="L1653" s="10">
        <v>20</v>
      </c>
      <c r="M1653" t="b">
        <v>1</v>
      </c>
      <c r="N1653" t="s">
        <v>8290</v>
      </c>
      <c r="O1653" s="11">
        <f t="shared" si="104"/>
        <v>101</v>
      </c>
      <c r="P1653" s="12">
        <f t="shared" si="105"/>
        <v>101</v>
      </c>
      <c r="Q1653" s="14" t="s">
        <v>8322</v>
      </c>
      <c r="R1653" t="s">
        <v>8343</v>
      </c>
      <c r="S1653" s="17">
        <f t="shared" si="106"/>
        <v>40625.900694444441</v>
      </c>
      <c r="T1653" s="17">
        <f t="shared" si="107"/>
        <v>40659.290972222225</v>
      </c>
      <c r="U1653">
        <f>MONTH(Table1[[#This Row],[Launched]])</f>
        <v>3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 s="8">
        <v>1385297393</v>
      </c>
      <c r="J1654">
        <v>1382701793</v>
      </c>
      <c r="K1654" t="b">
        <v>0</v>
      </c>
      <c r="L1654" s="10">
        <v>70</v>
      </c>
      <c r="M1654" t="b">
        <v>1</v>
      </c>
      <c r="N1654" t="s">
        <v>8290</v>
      </c>
      <c r="O1654" s="11">
        <f t="shared" si="104"/>
        <v>101</v>
      </c>
      <c r="P1654" s="12">
        <f t="shared" si="105"/>
        <v>65</v>
      </c>
      <c r="Q1654" s="14" t="s">
        <v>8322</v>
      </c>
      <c r="R1654" t="s">
        <v>8343</v>
      </c>
      <c r="S1654" s="17">
        <f t="shared" si="106"/>
        <v>41572.492974537039</v>
      </c>
      <c r="T1654" s="17">
        <f t="shared" si="107"/>
        <v>41602.534641203703</v>
      </c>
      <c r="U1654">
        <f>MONTH(Table1[[#This Row],[Launched]])</f>
        <v>10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 s="8">
        <v>1303675296</v>
      </c>
      <c r="J1655">
        <v>1300996896</v>
      </c>
      <c r="K1655" t="b">
        <v>0</v>
      </c>
      <c r="L1655" s="10">
        <v>168</v>
      </c>
      <c r="M1655" t="b">
        <v>1</v>
      </c>
      <c r="N1655" t="s">
        <v>8290</v>
      </c>
      <c r="O1655" s="11">
        <f t="shared" si="104"/>
        <v>174</v>
      </c>
      <c r="P1655" s="12">
        <f t="shared" si="105"/>
        <v>52</v>
      </c>
      <c r="Q1655" s="14" t="s">
        <v>8322</v>
      </c>
      <c r="R1655" t="s">
        <v>8343</v>
      </c>
      <c r="S1655" s="17">
        <f t="shared" si="106"/>
        <v>40626.834444444445</v>
      </c>
      <c r="T1655" s="17">
        <f t="shared" si="107"/>
        <v>40657.834444444445</v>
      </c>
      <c r="U1655">
        <f>MONTH(Table1[[#This Row],[Launched]])</f>
        <v>3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 s="8">
        <v>1334784160</v>
      </c>
      <c r="J1656">
        <v>1332192160</v>
      </c>
      <c r="K1656" t="b">
        <v>0</v>
      </c>
      <c r="L1656" s="10">
        <v>34</v>
      </c>
      <c r="M1656" t="b">
        <v>1</v>
      </c>
      <c r="N1656" t="s">
        <v>8290</v>
      </c>
      <c r="O1656" s="11">
        <f t="shared" si="104"/>
        <v>120</v>
      </c>
      <c r="P1656" s="12">
        <f t="shared" si="105"/>
        <v>39</v>
      </c>
      <c r="Q1656" s="14" t="s">
        <v>8322</v>
      </c>
      <c r="R1656" t="s">
        <v>8343</v>
      </c>
      <c r="S1656" s="17">
        <f t="shared" si="106"/>
        <v>40987.890740740739</v>
      </c>
      <c r="T1656" s="17">
        <f t="shared" si="107"/>
        <v>41017.890740740739</v>
      </c>
      <c r="U1656">
        <f>MONTH(Table1[[#This Row],[Launched]])</f>
        <v>3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 s="8">
        <v>1333648820</v>
      </c>
      <c r="J1657">
        <v>1331060420</v>
      </c>
      <c r="K1657" t="b">
        <v>0</v>
      </c>
      <c r="L1657" s="10">
        <v>48</v>
      </c>
      <c r="M1657" t="b">
        <v>1</v>
      </c>
      <c r="N1657" t="s">
        <v>8290</v>
      </c>
      <c r="O1657" s="11">
        <f t="shared" si="104"/>
        <v>143</v>
      </c>
      <c r="P1657" s="12">
        <f t="shared" si="105"/>
        <v>45</v>
      </c>
      <c r="Q1657" s="14" t="s">
        <v>8322</v>
      </c>
      <c r="R1657" t="s">
        <v>8343</v>
      </c>
      <c r="S1657" s="17">
        <f t="shared" si="106"/>
        <v>40974.791898148149</v>
      </c>
      <c r="T1657" s="17">
        <f t="shared" si="107"/>
        <v>41004.750231481477</v>
      </c>
      <c r="U1657">
        <f>MONTH(Table1[[#This Row],[Launched]])</f>
        <v>3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 s="8">
        <v>1355437052</v>
      </c>
      <c r="J1658">
        <v>1352845052</v>
      </c>
      <c r="K1658" t="b">
        <v>0</v>
      </c>
      <c r="L1658" s="10">
        <v>48</v>
      </c>
      <c r="M1658" t="b">
        <v>1</v>
      </c>
      <c r="N1658" t="s">
        <v>8290</v>
      </c>
      <c r="O1658" s="11">
        <f t="shared" si="104"/>
        <v>100</v>
      </c>
      <c r="P1658" s="12">
        <f t="shared" si="105"/>
        <v>157</v>
      </c>
      <c r="Q1658" s="14" t="s">
        <v>8322</v>
      </c>
      <c r="R1658" t="s">
        <v>8343</v>
      </c>
      <c r="S1658" s="17">
        <f t="shared" si="106"/>
        <v>41226.928842592592</v>
      </c>
      <c r="T1658" s="17">
        <f t="shared" si="107"/>
        <v>41256.928842592592</v>
      </c>
      <c r="U1658">
        <f>MONTH(Table1[[#This Row],[Launched]])</f>
        <v>11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 s="8">
        <v>1337885168</v>
      </c>
      <c r="J1659">
        <v>1335293168</v>
      </c>
      <c r="K1659" t="b">
        <v>0</v>
      </c>
      <c r="L1659" s="10">
        <v>221</v>
      </c>
      <c r="M1659" t="b">
        <v>1</v>
      </c>
      <c r="N1659" t="s">
        <v>8290</v>
      </c>
      <c r="O1659" s="11">
        <f t="shared" si="104"/>
        <v>105</v>
      </c>
      <c r="P1659" s="12">
        <f t="shared" si="105"/>
        <v>119</v>
      </c>
      <c r="Q1659" s="14" t="s">
        <v>8322</v>
      </c>
      <c r="R1659" t="s">
        <v>8343</v>
      </c>
      <c r="S1659" s="17">
        <f t="shared" si="106"/>
        <v>41023.782037037039</v>
      </c>
      <c r="T1659" s="17">
        <f t="shared" si="107"/>
        <v>41053.782037037039</v>
      </c>
      <c r="U1659">
        <f>MONTH(Table1[[#This Row],[Launched]])</f>
        <v>4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 s="8">
        <v>1355840400</v>
      </c>
      <c r="J1660">
        <v>1352524767</v>
      </c>
      <c r="K1660" t="b">
        <v>0</v>
      </c>
      <c r="L1660" s="10">
        <v>107</v>
      </c>
      <c r="M1660" t="b">
        <v>1</v>
      </c>
      <c r="N1660" t="s">
        <v>8290</v>
      </c>
      <c r="O1660" s="11">
        <f t="shared" si="104"/>
        <v>132</v>
      </c>
      <c r="P1660" s="12">
        <f t="shared" si="105"/>
        <v>74</v>
      </c>
      <c r="Q1660" s="14" t="s">
        <v>8322</v>
      </c>
      <c r="R1660" t="s">
        <v>8343</v>
      </c>
      <c r="S1660" s="17">
        <f t="shared" si="106"/>
        <v>41223.22184027778</v>
      </c>
      <c r="T1660" s="17">
        <f t="shared" si="107"/>
        <v>41261.597222222219</v>
      </c>
      <c r="U1660">
        <f>MONTH(Table1[[#This Row],[Launched]])</f>
        <v>11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8218</v>
      </c>
      <c r="G1661" t="s">
        <v>8224</v>
      </c>
      <c r="H1661" t="s">
        <v>8246</v>
      </c>
      <c r="I1661" s="8">
        <v>1387281600</v>
      </c>
      <c r="J1661">
        <v>1384811721</v>
      </c>
      <c r="K1661" t="b">
        <v>0</v>
      </c>
      <c r="L1661" s="10">
        <v>45</v>
      </c>
      <c r="M1661" t="b">
        <v>1</v>
      </c>
      <c r="N1661" t="s">
        <v>8290</v>
      </c>
      <c r="O1661" s="11">
        <f t="shared" si="104"/>
        <v>113</v>
      </c>
      <c r="P1661" s="12">
        <f t="shared" si="105"/>
        <v>13</v>
      </c>
      <c r="Q1661" s="14" t="s">
        <v>8322</v>
      </c>
      <c r="R1661" t="s">
        <v>8343</v>
      </c>
      <c r="S1661" s="17">
        <f t="shared" si="106"/>
        <v>41596.913437499999</v>
      </c>
      <c r="T1661" s="17">
        <f t="shared" si="107"/>
        <v>41625.5</v>
      </c>
      <c r="U1661">
        <f>MONTH(Table1[[#This Row],[Launched]])</f>
        <v>11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8218</v>
      </c>
      <c r="G1662" t="s">
        <v>8236</v>
      </c>
      <c r="H1662" t="s">
        <v>8248</v>
      </c>
      <c r="I1662" s="8">
        <v>1462053540</v>
      </c>
      <c r="J1662">
        <v>1459355950</v>
      </c>
      <c r="K1662" t="b">
        <v>0</v>
      </c>
      <c r="L1662" s="10">
        <v>36</v>
      </c>
      <c r="M1662" t="b">
        <v>1</v>
      </c>
      <c r="N1662" t="s">
        <v>8290</v>
      </c>
      <c r="O1662" s="11">
        <f t="shared" si="104"/>
        <v>1254</v>
      </c>
      <c r="P1662" s="12">
        <f t="shared" si="105"/>
        <v>28</v>
      </c>
      <c r="Q1662" s="14" t="s">
        <v>8322</v>
      </c>
      <c r="R1662" t="s">
        <v>8343</v>
      </c>
      <c r="S1662" s="17">
        <f t="shared" si="106"/>
        <v>42459.693865740745</v>
      </c>
      <c r="T1662" s="17">
        <f t="shared" si="107"/>
        <v>42490.915972222225</v>
      </c>
      <c r="U1662">
        <f>MONTH(Table1[[#This Row],[Launched]])</f>
        <v>3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 s="8">
        <v>1453064400</v>
      </c>
      <c r="J1663">
        <v>1449359831</v>
      </c>
      <c r="K1663" t="b">
        <v>0</v>
      </c>
      <c r="L1663" s="10">
        <v>101</v>
      </c>
      <c r="M1663" t="b">
        <v>1</v>
      </c>
      <c r="N1663" t="s">
        <v>8290</v>
      </c>
      <c r="O1663" s="11">
        <f t="shared" si="104"/>
        <v>103</v>
      </c>
      <c r="P1663" s="12">
        <f t="shared" si="105"/>
        <v>80</v>
      </c>
      <c r="Q1663" s="14" t="s">
        <v>8322</v>
      </c>
      <c r="R1663" t="s">
        <v>8343</v>
      </c>
      <c r="S1663" s="17">
        <f t="shared" si="106"/>
        <v>42343.998043981483</v>
      </c>
      <c r="T1663" s="17">
        <f t="shared" si="107"/>
        <v>42386.875</v>
      </c>
      <c r="U1663">
        <f>MONTH(Table1[[#This Row],[Launched]])</f>
        <v>12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 s="8">
        <v>1325310336</v>
      </c>
      <c r="J1664">
        <v>1320122736</v>
      </c>
      <c r="K1664" t="b">
        <v>0</v>
      </c>
      <c r="L1664" s="10">
        <v>62</v>
      </c>
      <c r="M1664" t="b">
        <v>1</v>
      </c>
      <c r="N1664" t="s">
        <v>8290</v>
      </c>
      <c r="O1664" s="11">
        <f t="shared" si="104"/>
        <v>103</v>
      </c>
      <c r="P1664" s="12">
        <f t="shared" si="105"/>
        <v>132</v>
      </c>
      <c r="Q1664" s="14" t="s">
        <v>8322</v>
      </c>
      <c r="R1664" t="s">
        <v>8343</v>
      </c>
      <c r="S1664" s="17">
        <f t="shared" si="106"/>
        <v>40848.198333333334</v>
      </c>
      <c r="T1664" s="17">
        <f t="shared" si="107"/>
        <v>40908.239999999998</v>
      </c>
      <c r="U1664">
        <f>MONTH(Table1[[#This Row],[Launched]])</f>
        <v>11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 s="8">
        <v>1422750707</v>
      </c>
      <c r="J1665">
        <v>1420158707</v>
      </c>
      <c r="K1665" t="b">
        <v>0</v>
      </c>
      <c r="L1665" s="10">
        <v>32</v>
      </c>
      <c r="M1665" t="b">
        <v>1</v>
      </c>
      <c r="N1665" t="s">
        <v>8290</v>
      </c>
      <c r="O1665" s="11">
        <f t="shared" si="104"/>
        <v>108</v>
      </c>
      <c r="P1665" s="12">
        <f t="shared" si="105"/>
        <v>34</v>
      </c>
      <c r="Q1665" s="14" t="s">
        <v>8322</v>
      </c>
      <c r="R1665" t="s">
        <v>8343</v>
      </c>
      <c r="S1665" s="17">
        <f t="shared" si="106"/>
        <v>42006.02207175926</v>
      </c>
      <c r="T1665" s="17">
        <f t="shared" si="107"/>
        <v>42036.02207175926</v>
      </c>
      <c r="U1665">
        <f>MONTH(Table1[[#This Row],[Launched]])</f>
        <v>1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 s="8">
        <v>1331870340</v>
      </c>
      <c r="J1666">
        <v>1328033818</v>
      </c>
      <c r="K1666" t="b">
        <v>0</v>
      </c>
      <c r="L1666" s="10">
        <v>89</v>
      </c>
      <c r="M1666" t="b">
        <v>1</v>
      </c>
      <c r="N1666" t="s">
        <v>8290</v>
      </c>
      <c r="O1666" s="11">
        <f t="shared" ref="O1666:O1729" si="108">ROUND(E1666/D1666*100,0)</f>
        <v>122</v>
      </c>
      <c r="P1666" s="12">
        <f t="shared" si="105"/>
        <v>34</v>
      </c>
      <c r="Q1666" s="14" t="s">
        <v>8322</v>
      </c>
      <c r="R1666" t="s">
        <v>8343</v>
      </c>
      <c r="S1666" s="17">
        <f t="shared" si="106"/>
        <v>40939.761782407404</v>
      </c>
      <c r="T1666" s="17">
        <f t="shared" si="107"/>
        <v>40984.165972222225</v>
      </c>
      <c r="U1666">
        <f>MONTH(Table1[[#This Row],[Launched]])</f>
        <v>1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 s="8">
        <v>1298343600</v>
      </c>
      <c r="J1667">
        <v>1295624113</v>
      </c>
      <c r="K1667" t="b">
        <v>0</v>
      </c>
      <c r="L1667" s="10">
        <v>93</v>
      </c>
      <c r="M1667" t="b">
        <v>1</v>
      </c>
      <c r="N1667" t="s">
        <v>8290</v>
      </c>
      <c r="O1667" s="11">
        <f t="shared" si="108"/>
        <v>119</v>
      </c>
      <c r="P1667" s="12">
        <f t="shared" ref="P1667:P1730" si="109">IFERROR(ROUND(E1667/L1667,),"No Backers")</f>
        <v>45</v>
      </c>
      <c r="Q1667" s="14" t="s">
        <v>8322</v>
      </c>
      <c r="R1667" t="s">
        <v>8343</v>
      </c>
      <c r="S1667" s="17">
        <f t="shared" ref="S1667:S1730" si="110">(((J1667/60)/60)/24)+DATE(1970,1,1)</f>
        <v>40564.649456018517</v>
      </c>
      <c r="T1667" s="17">
        <f t="shared" ref="T1667:T1730" si="111">(((I1667/60)/60)/24)+DATE(1970,1,1)</f>
        <v>40596.125</v>
      </c>
      <c r="U1667">
        <f>MONTH(Table1[[#This Row],[Launched]])</f>
        <v>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 s="8">
        <v>1364447073</v>
      </c>
      <c r="J1668">
        <v>1361858673</v>
      </c>
      <c r="K1668" t="b">
        <v>0</v>
      </c>
      <c r="L1668" s="10">
        <v>98</v>
      </c>
      <c r="M1668" t="b">
        <v>1</v>
      </c>
      <c r="N1668" t="s">
        <v>8290</v>
      </c>
      <c r="O1668" s="11">
        <f t="shared" si="108"/>
        <v>161</v>
      </c>
      <c r="P1668" s="12">
        <f t="shared" si="109"/>
        <v>41</v>
      </c>
      <c r="Q1668" s="14" t="s">
        <v>8322</v>
      </c>
      <c r="R1668" t="s">
        <v>8343</v>
      </c>
      <c r="S1668" s="17">
        <f t="shared" si="110"/>
        <v>41331.253159722226</v>
      </c>
      <c r="T1668" s="17">
        <f t="shared" si="111"/>
        <v>41361.211493055554</v>
      </c>
      <c r="U1668">
        <f>MONTH(Table1[[#This Row],[Launched]])</f>
        <v>2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 s="8">
        <v>1394521140</v>
      </c>
      <c r="J1669">
        <v>1392169298</v>
      </c>
      <c r="K1669" t="b">
        <v>0</v>
      </c>
      <c r="L1669" s="10">
        <v>82</v>
      </c>
      <c r="M1669" t="b">
        <v>1</v>
      </c>
      <c r="N1669" t="s">
        <v>8290</v>
      </c>
      <c r="O1669" s="11">
        <f t="shared" si="108"/>
        <v>127</v>
      </c>
      <c r="P1669" s="12">
        <f t="shared" si="109"/>
        <v>53</v>
      </c>
      <c r="Q1669" s="14" t="s">
        <v>8322</v>
      </c>
      <c r="R1669" t="s">
        <v>8343</v>
      </c>
      <c r="S1669" s="17">
        <f t="shared" si="110"/>
        <v>41682.0705787037</v>
      </c>
      <c r="T1669" s="17">
        <f t="shared" si="111"/>
        <v>41709.290972222225</v>
      </c>
      <c r="U1669">
        <f>MONTH(Table1[[#This Row],[Launched]])</f>
        <v>2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 s="8">
        <v>1322454939</v>
      </c>
      <c r="J1670">
        <v>1319859339</v>
      </c>
      <c r="K1670" t="b">
        <v>0</v>
      </c>
      <c r="L1670" s="10">
        <v>116</v>
      </c>
      <c r="M1670" t="b">
        <v>1</v>
      </c>
      <c r="N1670" t="s">
        <v>8290</v>
      </c>
      <c r="O1670" s="11">
        <f t="shared" si="108"/>
        <v>103</v>
      </c>
      <c r="P1670" s="12">
        <f t="shared" si="109"/>
        <v>71</v>
      </c>
      <c r="Q1670" s="14" t="s">
        <v>8322</v>
      </c>
      <c r="R1670" t="s">
        <v>8343</v>
      </c>
      <c r="S1670" s="17">
        <f t="shared" si="110"/>
        <v>40845.14975694444</v>
      </c>
      <c r="T1670" s="17">
        <f t="shared" si="111"/>
        <v>40875.191423611112</v>
      </c>
      <c r="U1670">
        <f>MONTH(Table1[[#This Row],[Launched]])</f>
        <v>10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 s="8">
        <v>1464729276</v>
      </c>
      <c r="J1671">
        <v>1459545276</v>
      </c>
      <c r="K1671" t="b">
        <v>0</v>
      </c>
      <c r="L1671" s="10">
        <v>52</v>
      </c>
      <c r="M1671" t="b">
        <v>1</v>
      </c>
      <c r="N1671" t="s">
        <v>8290</v>
      </c>
      <c r="O1671" s="11">
        <f t="shared" si="108"/>
        <v>140</v>
      </c>
      <c r="P1671" s="12">
        <f t="shared" si="109"/>
        <v>54</v>
      </c>
      <c r="Q1671" s="14" t="s">
        <v>8322</v>
      </c>
      <c r="R1671" t="s">
        <v>8343</v>
      </c>
      <c r="S1671" s="17">
        <f t="shared" si="110"/>
        <v>42461.885138888887</v>
      </c>
      <c r="T1671" s="17">
        <f t="shared" si="111"/>
        <v>42521.885138888887</v>
      </c>
      <c r="U1671">
        <f>MONTH(Table1[[#This Row],[Launched]])</f>
        <v>4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 s="8">
        <v>1278302400</v>
      </c>
      <c r="J1672">
        <v>1273961999</v>
      </c>
      <c r="K1672" t="b">
        <v>0</v>
      </c>
      <c r="L1672" s="10">
        <v>23</v>
      </c>
      <c r="M1672" t="b">
        <v>1</v>
      </c>
      <c r="N1672" t="s">
        <v>8290</v>
      </c>
      <c r="O1672" s="11">
        <f t="shared" si="108"/>
        <v>103</v>
      </c>
      <c r="P1672" s="12">
        <f t="shared" si="109"/>
        <v>45</v>
      </c>
      <c r="Q1672" s="14" t="s">
        <v>8322</v>
      </c>
      <c r="R1672" t="s">
        <v>8343</v>
      </c>
      <c r="S1672" s="17">
        <f t="shared" si="110"/>
        <v>40313.930543981485</v>
      </c>
      <c r="T1672" s="17">
        <f t="shared" si="111"/>
        <v>40364.166666666664</v>
      </c>
      <c r="U1672">
        <f>MONTH(Table1[[#This Row],[Launched]])</f>
        <v>5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 s="8">
        <v>1470056614</v>
      </c>
      <c r="J1673">
        <v>1467464614</v>
      </c>
      <c r="K1673" t="b">
        <v>0</v>
      </c>
      <c r="L1673" s="10">
        <v>77</v>
      </c>
      <c r="M1673" t="b">
        <v>1</v>
      </c>
      <c r="N1673" t="s">
        <v>8290</v>
      </c>
      <c r="O1673" s="11">
        <f t="shared" si="108"/>
        <v>101</v>
      </c>
      <c r="P1673" s="12">
        <f t="shared" si="109"/>
        <v>26</v>
      </c>
      <c r="Q1673" s="14" t="s">
        <v>8322</v>
      </c>
      <c r="R1673" t="s">
        <v>8343</v>
      </c>
      <c r="S1673" s="17">
        <f t="shared" si="110"/>
        <v>42553.54414351852</v>
      </c>
      <c r="T1673" s="17">
        <f t="shared" si="111"/>
        <v>42583.54414351852</v>
      </c>
      <c r="U1673">
        <f>MONTH(Table1[[#This Row],[Launched]])</f>
        <v>7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 s="8">
        <v>1338824730</v>
      </c>
      <c r="J1674">
        <v>1336232730</v>
      </c>
      <c r="K1674" t="b">
        <v>0</v>
      </c>
      <c r="L1674" s="10">
        <v>49</v>
      </c>
      <c r="M1674" t="b">
        <v>1</v>
      </c>
      <c r="N1674" t="s">
        <v>8290</v>
      </c>
      <c r="O1674" s="11">
        <f t="shared" si="108"/>
        <v>113</v>
      </c>
      <c r="P1674" s="12">
        <f t="shared" si="109"/>
        <v>39</v>
      </c>
      <c r="Q1674" s="14" t="s">
        <v>8322</v>
      </c>
      <c r="R1674" t="s">
        <v>8343</v>
      </c>
      <c r="S1674" s="17">
        <f t="shared" si="110"/>
        <v>41034.656597222223</v>
      </c>
      <c r="T1674" s="17">
        <f t="shared" si="111"/>
        <v>41064.656597222223</v>
      </c>
      <c r="U1674">
        <f>MONTH(Table1[[#This Row],[Launched]])</f>
        <v>5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 s="8">
        <v>1425675892</v>
      </c>
      <c r="J1675">
        <v>1423083892</v>
      </c>
      <c r="K1675" t="b">
        <v>0</v>
      </c>
      <c r="L1675" s="10">
        <v>59</v>
      </c>
      <c r="M1675" t="b">
        <v>1</v>
      </c>
      <c r="N1675" t="s">
        <v>8290</v>
      </c>
      <c r="O1675" s="11">
        <f t="shared" si="108"/>
        <v>128</v>
      </c>
      <c r="P1675" s="12">
        <f t="shared" si="109"/>
        <v>46</v>
      </c>
      <c r="Q1675" s="14" t="s">
        <v>8322</v>
      </c>
      <c r="R1675" t="s">
        <v>8343</v>
      </c>
      <c r="S1675" s="17">
        <f t="shared" si="110"/>
        <v>42039.878379629634</v>
      </c>
      <c r="T1675" s="17">
        <f t="shared" si="111"/>
        <v>42069.878379629634</v>
      </c>
      <c r="U1675">
        <f>MONTH(Table1[[#This Row],[Launched]])</f>
        <v>2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 s="8">
        <v>1471503540</v>
      </c>
      <c r="J1676">
        <v>1468852306</v>
      </c>
      <c r="K1676" t="b">
        <v>0</v>
      </c>
      <c r="L1676" s="10">
        <v>113</v>
      </c>
      <c r="M1676" t="b">
        <v>1</v>
      </c>
      <c r="N1676" t="s">
        <v>8290</v>
      </c>
      <c r="O1676" s="11">
        <f t="shared" si="108"/>
        <v>202</v>
      </c>
      <c r="P1676" s="12">
        <f t="shared" si="109"/>
        <v>89</v>
      </c>
      <c r="Q1676" s="14" t="s">
        <v>8322</v>
      </c>
      <c r="R1676" t="s">
        <v>8343</v>
      </c>
      <c r="S1676" s="17">
        <f t="shared" si="110"/>
        <v>42569.605393518519</v>
      </c>
      <c r="T1676" s="17">
        <f t="shared" si="111"/>
        <v>42600.290972222225</v>
      </c>
      <c r="U1676">
        <f>MONTH(Table1[[#This Row],[Launched]])</f>
        <v>7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 s="8">
        <v>1318802580</v>
      </c>
      <c r="J1677">
        <v>1316194540</v>
      </c>
      <c r="K1677" t="b">
        <v>0</v>
      </c>
      <c r="L1677" s="10">
        <v>34</v>
      </c>
      <c r="M1677" t="b">
        <v>1</v>
      </c>
      <c r="N1677" t="s">
        <v>8290</v>
      </c>
      <c r="O1677" s="11">
        <f t="shared" si="108"/>
        <v>137</v>
      </c>
      <c r="P1677" s="12">
        <f t="shared" si="109"/>
        <v>40</v>
      </c>
      <c r="Q1677" s="14" t="s">
        <v>8322</v>
      </c>
      <c r="R1677" t="s">
        <v>8343</v>
      </c>
      <c r="S1677" s="17">
        <f t="shared" si="110"/>
        <v>40802.733101851853</v>
      </c>
      <c r="T1677" s="17">
        <f t="shared" si="111"/>
        <v>40832.918749999997</v>
      </c>
      <c r="U1677">
        <f>MONTH(Table1[[#This Row],[Launched]])</f>
        <v>9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 s="8">
        <v>1334980740</v>
      </c>
      <c r="J1678">
        <v>1330968347</v>
      </c>
      <c r="K1678" t="b">
        <v>0</v>
      </c>
      <c r="L1678" s="10">
        <v>42</v>
      </c>
      <c r="M1678" t="b">
        <v>1</v>
      </c>
      <c r="N1678" t="s">
        <v>8290</v>
      </c>
      <c r="O1678" s="11">
        <f t="shared" si="108"/>
        <v>115</v>
      </c>
      <c r="P1678" s="12">
        <f t="shared" si="109"/>
        <v>82</v>
      </c>
      <c r="Q1678" s="14" t="s">
        <v>8322</v>
      </c>
      <c r="R1678" t="s">
        <v>8343</v>
      </c>
      <c r="S1678" s="17">
        <f t="shared" si="110"/>
        <v>40973.72623842593</v>
      </c>
      <c r="T1678" s="17">
        <f t="shared" si="111"/>
        <v>41020.165972222225</v>
      </c>
      <c r="U1678">
        <f>MONTH(Table1[[#This Row],[Launched]])</f>
        <v>3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 s="8">
        <v>1460786340</v>
      </c>
      <c r="J1679">
        <v>1455615976</v>
      </c>
      <c r="K1679" t="b">
        <v>0</v>
      </c>
      <c r="L1679" s="10">
        <v>42</v>
      </c>
      <c r="M1679" t="b">
        <v>1</v>
      </c>
      <c r="N1679" t="s">
        <v>8290</v>
      </c>
      <c r="O1679" s="11">
        <f t="shared" si="108"/>
        <v>112</v>
      </c>
      <c r="P1679" s="12">
        <f t="shared" si="109"/>
        <v>160</v>
      </c>
      <c r="Q1679" s="14" t="s">
        <v>8322</v>
      </c>
      <c r="R1679" t="s">
        <v>8343</v>
      </c>
      <c r="S1679" s="17">
        <f t="shared" si="110"/>
        <v>42416.407129629632</v>
      </c>
      <c r="T1679" s="17">
        <f t="shared" si="111"/>
        <v>42476.249305555553</v>
      </c>
      <c r="U1679">
        <f>MONTH(Table1[[#This Row],[Launched]])</f>
        <v>2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 s="8">
        <v>1391718671</v>
      </c>
      <c r="J1680">
        <v>1390509071</v>
      </c>
      <c r="K1680" t="b">
        <v>0</v>
      </c>
      <c r="L1680" s="10">
        <v>49</v>
      </c>
      <c r="M1680" t="b">
        <v>1</v>
      </c>
      <c r="N1680" t="s">
        <v>8290</v>
      </c>
      <c r="O1680" s="11">
        <f t="shared" si="108"/>
        <v>118</v>
      </c>
      <c r="P1680" s="12">
        <f t="shared" si="109"/>
        <v>36</v>
      </c>
      <c r="Q1680" s="14" t="s">
        <v>8322</v>
      </c>
      <c r="R1680" t="s">
        <v>8343</v>
      </c>
      <c r="S1680" s="17">
        <f t="shared" si="110"/>
        <v>41662.854988425926</v>
      </c>
      <c r="T1680" s="17">
        <f t="shared" si="111"/>
        <v>41676.854988425926</v>
      </c>
      <c r="U1680">
        <f>MONTH(Table1[[#This Row],[Launched]])</f>
        <v>1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 s="8">
        <v>1311298745</v>
      </c>
      <c r="J1681">
        <v>1309311545</v>
      </c>
      <c r="K1681" t="b">
        <v>0</v>
      </c>
      <c r="L1681" s="10">
        <v>56</v>
      </c>
      <c r="M1681" t="b">
        <v>1</v>
      </c>
      <c r="N1681" t="s">
        <v>8290</v>
      </c>
      <c r="O1681" s="11">
        <f t="shared" si="108"/>
        <v>175</v>
      </c>
      <c r="P1681" s="12">
        <f t="shared" si="109"/>
        <v>63</v>
      </c>
      <c r="Q1681" s="14" t="s">
        <v>8322</v>
      </c>
      <c r="R1681" t="s">
        <v>8343</v>
      </c>
      <c r="S1681" s="17">
        <f t="shared" si="110"/>
        <v>40723.068807870368</v>
      </c>
      <c r="T1681" s="17">
        <f t="shared" si="111"/>
        <v>40746.068807870368</v>
      </c>
      <c r="U1681">
        <f>MONTH(Table1[[#This Row],[Launched]])</f>
        <v>6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 s="8">
        <v>1405188667</v>
      </c>
      <c r="J1682">
        <v>1402596667</v>
      </c>
      <c r="K1682" t="b">
        <v>0</v>
      </c>
      <c r="L1682" s="10">
        <v>25</v>
      </c>
      <c r="M1682" t="b">
        <v>1</v>
      </c>
      <c r="N1682" t="s">
        <v>8290</v>
      </c>
      <c r="O1682" s="11">
        <f t="shared" si="108"/>
        <v>118</v>
      </c>
      <c r="P1682" s="12">
        <f t="shared" si="109"/>
        <v>47</v>
      </c>
      <c r="Q1682" s="14" t="s">
        <v>8322</v>
      </c>
      <c r="R1682" t="s">
        <v>8343</v>
      </c>
      <c r="S1682" s="17">
        <f t="shared" si="110"/>
        <v>41802.757719907408</v>
      </c>
      <c r="T1682" s="17">
        <f t="shared" si="111"/>
        <v>41832.757719907408</v>
      </c>
      <c r="U1682">
        <f>MONTH(Table1[[#This Row],[Launched]])</f>
        <v>6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 s="8">
        <v>1490752800</v>
      </c>
      <c r="J1683">
        <v>1486522484</v>
      </c>
      <c r="K1683" t="b">
        <v>0</v>
      </c>
      <c r="L1683" s="10">
        <v>884</v>
      </c>
      <c r="M1683" t="b">
        <v>0</v>
      </c>
      <c r="N1683" t="s">
        <v>8291</v>
      </c>
      <c r="O1683" s="11">
        <f t="shared" si="108"/>
        <v>101</v>
      </c>
      <c r="P1683" s="12">
        <f t="shared" si="109"/>
        <v>75</v>
      </c>
      <c r="Q1683" s="14" t="s">
        <v>8322</v>
      </c>
      <c r="R1683" t="s">
        <v>8344</v>
      </c>
      <c r="S1683" s="17">
        <f t="shared" si="110"/>
        <v>42774.121342592596</v>
      </c>
      <c r="T1683" s="17">
        <f t="shared" si="111"/>
        <v>42823.083333333328</v>
      </c>
      <c r="U1683">
        <f>MONTH(Table1[[#This Row],[Launched]])</f>
        <v>2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8221</v>
      </c>
      <c r="G1684" t="s">
        <v>8223</v>
      </c>
      <c r="H1684" t="s">
        <v>8245</v>
      </c>
      <c r="I1684" s="8">
        <v>1492142860</v>
      </c>
      <c r="J1684">
        <v>1486962460</v>
      </c>
      <c r="K1684" t="b">
        <v>0</v>
      </c>
      <c r="L1684" s="10">
        <v>0</v>
      </c>
      <c r="M1684" t="b">
        <v>0</v>
      </c>
      <c r="N1684" t="s">
        <v>8291</v>
      </c>
      <c r="O1684" s="11">
        <f t="shared" si="108"/>
        <v>0</v>
      </c>
      <c r="P1684" s="12" t="str">
        <f t="shared" si="109"/>
        <v>No Backers</v>
      </c>
      <c r="Q1684" s="14" t="s">
        <v>8322</v>
      </c>
      <c r="R1684" t="s">
        <v>8344</v>
      </c>
      <c r="S1684" s="17">
        <f t="shared" si="110"/>
        <v>42779.21365740741</v>
      </c>
      <c r="T1684" s="17">
        <f t="shared" si="111"/>
        <v>42839.171990740739</v>
      </c>
      <c r="U1684">
        <f>MONTH(Table1[[#This Row],[Launched]])</f>
        <v>2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8221</v>
      </c>
      <c r="G1685" t="s">
        <v>8229</v>
      </c>
      <c r="H1685" t="s">
        <v>8248</v>
      </c>
      <c r="I1685" s="8">
        <v>1491590738</v>
      </c>
      <c r="J1685">
        <v>1489517138</v>
      </c>
      <c r="K1685" t="b">
        <v>0</v>
      </c>
      <c r="L1685" s="10">
        <v>10</v>
      </c>
      <c r="M1685" t="b">
        <v>0</v>
      </c>
      <c r="N1685" t="s">
        <v>8291</v>
      </c>
      <c r="O1685" s="11">
        <f t="shared" si="108"/>
        <v>22</v>
      </c>
      <c r="P1685" s="12">
        <f t="shared" si="109"/>
        <v>76</v>
      </c>
      <c r="Q1685" s="14" t="s">
        <v>8322</v>
      </c>
      <c r="R1685" t="s">
        <v>8344</v>
      </c>
      <c r="S1685" s="17">
        <f t="shared" si="110"/>
        <v>42808.781689814816</v>
      </c>
      <c r="T1685" s="17">
        <f t="shared" si="111"/>
        <v>42832.781689814816</v>
      </c>
      <c r="U1685">
        <f>MONTH(Table1[[#This Row],[Launched]])</f>
        <v>3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 s="8">
        <v>1489775641</v>
      </c>
      <c r="J1686">
        <v>1487360041</v>
      </c>
      <c r="K1686" t="b">
        <v>0</v>
      </c>
      <c r="L1686" s="10">
        <v>101</v>
      </c>
      <c r="M1686" t="b">
        <v>0</v>
      </c>
      <c r="N1686" t="s">
        <v>8291</v>
      </c>
      <c r="O1686" s="11">
        <f t="shared" si="108"/>
        <v>109</v>
      </c>
      <c r="P1686" s="12">
        <f t="shared" si="109"/>
        <v>86</v>
      </c>
      <c r="Q1686" s="14" t="s">
        <v>8322</v>
      </c>
      <c r="R1686" t="s">
        <v>8344</v>
      </c>
      <c r="S1686" s="17">
        <f t="shared" si="110"/>
        <v>42783.815289351856</v>
      </c>
      <c r="T1686" s="17">
        <f t="shared" si="111"/>
        <v>42811.773622685185</v>
      </c>
      <c r="U1686">
        <f>MONTH(Table1[[#This Row],[Launched]])</f>
        <v>2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8221</v>
      </c>
      <c r="G1687" t="s">
        <v>8223</v>
      </c>
      <c r="H1687" t="s">
        <v>8245</v>
      </c>
      <c r="I1687" s="8">
        <v>1490331623</v>
      </c>
      <c r="J1687">
        <v>1487743223</v>
      </c>
      <c r="K1687" t="b">
        <v>0</v>
      </c>
      <c r="L1687" s="10">
        <v>15</v>
      </c>
      <c r="M1687" t="b">
        <v>0</v>
      </c>
      <c r="N1687" t="s">
        <v>8291</v>
      </c>
      <c r="O1687" s="11">
        <f t="shared" si="108"/>
        <v>103</v>
      </c>
      <c r="P1687" s="12">
        <f t="shared" si="109"/>
        <v>24</v>
      </c>
      <c r="Q1687" s="14" t="s">
        <v>8322</v>
      </c>
      <c r="R1687" t="s">
        <v>8344</v>
      </c>
      <c r="S1687" s="17">
        <f t="shared" si="110"/>
        <v>42788.2502662037</v>
      </c>
      <c r="T1687" s="17">
        <f t="shared" si="111"/>
        <v>42818.208599537036</v>
      </c>
      <c r="U1687">
        <f>MONTH(Table1[[#This Row],[Launched]])</f>
        <v>2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8221</v>
      </c>
      <c r="G1688" t="s">
        <v>8228</v>
      </c>
      <c r="H1688" t="s">
        <v>8250</v>
      </c>
      <c r="I1688" s="8">
        <v>1493320519</v>
      </c>
      <c r="J1688">
        <v>1488140119</v>
      </c>
      <c r="K1688" t="b">
        <v>0</v>
      </c>
      <c r="L1688" s="10">
        <v>1</v>
      </c>
      <c r="M1688" t="b">
        <v>0</v>
      </c>
      <c r="N1688" t="s">
        <v>8291</v>
      </c>
      <c r="O1688" s="11">
        <f t="shared" si="108"/>
        <v>0</v>
      </c>
      <c r="P1688" s="12">
        <f t="shared" si="109"/>
        <v>18</v>
      </c>
      <c r="Q1688" s="14" t="s">
        <v>8322</v>
      </c>
      <c r="R1688" t="s">
        <v>8344</v>
      </c>
      <c r="S1688" s="17">
        <f t="shared" si="110"/>
        <v>42792.843969907408</v>
      </c>
      <c r="T1688" s="17">
        <f t="shared" si="111"/>
        <v>42852.802303240736</v>
      </c>
      <c r="U1688">
        <f>MONTH(Table1[[#This Row],[Launched]])</f>
        <v>2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 s="8">
        <v>1491855300</v>
      </c>
      <c r="J1689">
        <v>1488935245</v>
      </c>
      <c r="K1689" t="b">
        <v>0</v>
      </c>
      <c r="L1689" s="10">
        <v>39</v>
      </c>
      <c r="M1689" t="b">
        <v>0</v>
      </c>
      <c r="N1689" t="s">
        <v>8291</v>
      </c>
      <c r="O1689" s="11">
        <f t="shared" si="108"/>
        <v>31</v>
      </c>
      <c r="P1689" s="12">
        <f t="shared" si="109"/>
        <v>80</v>
      </c>
      <c r="Q1689" s="14" t="s">
        <v>8322</v>
      </c>
      <c r="R1689" t="s">
        <v>8344</v>
      </c>
      <c r="S1689" s="17">
        <f t="shared" si="110"/>
        <v>42802.046817129631</v>
      </c>
      <c r="T1689" s="17">
        <f t="shared" si="111"/>
        <v>42835.84375</v>
      </c>
      <c r="U1689">
        <f>MONTH(Table1[[#This Row],[Launched]])</f>
        <v>3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 s="8">
        <v>1491738594</v>
      </c>
      <c r="J1690">
        <v>1489150194</v>
      </c>
      <c r="K1690" t="b">
        <v>0</v>
      </c>
      <c r="L1690" s="10">
        <v>7</v>
      </c>
      <c r="M1690" t="b">
        <v>0</v>
      </c>
      <c r="N1690" t="s">
        <v>8291</v>
      </c>
      <c r="O1690" s="11">
        <f t="shared" si="108"/>
        <v>44</v>
      </c>
      <c r="P1690" s="12">
        <f t="shared" si="109"/>
        <v>253</v>
      </c>
      <c r="Q1690" s="14" t="s">
        <v>8322</v>
      </c>
      <c r="R1690" t="s">
        <v>8344</v>
      </c>
      <c r="S1690" s="17">
        <f t="shared" si="110"/>
        <v>42804.534652777773</v>
      </c>
      <c r="T1690" s="17">
        <f t="shared" si="111"/>
        <v>42834.492986111116</v>
      </c>
      <c r="U1690">
        <f>MONTH(Table1[[#This Row],[Launched]])</f>
        <v>3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 s="8">
        <v>1489700230</v>
      </c>
      <c r="J1691">
        <v>1487111830</v>
      </c>
      <c r="K1691" t="b">
        <v>0</v>
      </c>
      <c r="L1691" s="10">
        <v>14</v>
      </c>
      <c r="M1691" t="b">
        <v>0</v>
      </c>
      <c r="N1691" t="s">
        <v>8291</v>
      </c>
      <c r="O1691" s="11">
        <f t="shared" si="108"/>
        <v>100</v>
      </c>
      <c r="P1691" s="12">
        <f t="shared" si="109"/>
        <v>171</v>
      </c>
      <c r="Q1691" s="14" t="s">
        <v>8322</v>
      </c>
      <c r="R1691" t="s">
        <v>8344</v>
      </c>
      <c r="S1691" s="17">
        <f t="shared" si="110"/>
        <v>42780.942476851851</v>
      </c>
      <c r="T1691" s="17">
        <f t="shared" si="111"/>
        <v>42810.900810185187</v>
      </c>
      <c r="U1691">
        <f>MONTH(Table1[[#This Row],[Launched]])</f>
        <v>2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8221</v>
      </c>
      <c r="G1692" t="s">
        <v>8223</v>
      </c>
      <c r="H1692" t="s">
        <v>8245</v>
      </c>
      <c r="I1692" s="8">
        <v>1491470442</v>
      </c>
      <c r="J1692">
        <v>1488882042</v>
      </c>
      <c r="K1692" t="b">
        <v>0</v>
      </c>
      <c r="L1692" s="10">
        <v>11</v>
      </c>
      <c r="M1692" t="b">
        <v>0</v>
      </c>
      <c r="N1692" t="s">
        <v>8291</v>
      </c>
      <c r="O1692" s="11">
        <f t="shared" si="108"/>
        <v>25</v>
      </c>
      <c r="P1692" s="12">
        <f t="shared" si="109"/>
        <v>58</v>
      </c>
      <c r="Q1692" s="14" t="s">
        <v>8322</v>
      </c>
      <c r="R1692" t="s">
        <v>8344</v>
      </c>
      <c r="S1692" s="17">
        <f t="shared" si="110"/>
        <v>42801.43104166667</v>
      </c>
      <c r="T1692" s="17">
        <f t="shared" si="111"/>
        <v>42831.389374999999</v>
      </c>
      <c r="U1692">
        <f>MONTH(Table1[[#This Row],[Launched]])</f>
        <v>3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 s="8">
        <v>1491181200</v>
      </c>
      <c r="J1693">
        <v>1488387008</v>
      </c>
      <c r="K1693" t="b">
        <v>0</v>
      </c>
      <c r="L1693" s="10">
        <v>38</v>
      </c>
      <c r="M1693" t="b">
        <v>0</v>
      </c>
      <c r="N1693" t="s">
        <v>8291</v>
      </c>
      <c r="O1693" s="11">
        <f t="shared" si="108"/>
        <v>33</v>
      </c>
      <c r="P1693" s="12">
        <f t="shared" si="109"/>
        <v>264</v>
      </c>
      <c r="Q1693" s="14" t="s">
        <v>8322</v>
      </c>
      <c r="R1693" t="s">
        <v>8344</v>
      </c>
      <c r="S1693" s="17">
        <f t="shared" si="110"/>
        <v>42795.701481481476</v>
      </c>
      <c r="T1693" s="17">
        <f t="shared" si="111"/>
        <v>42828.041666666672</v>
      </c>
      <c r="U1693">
        <f>MONTH(Table1[[#This Row],[Launched]])</f>
        <v>3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 s="8">
        <v>1490572740</v>
      </c>
      <c r="J1694">
        <v>1487734667</v>
      </c>
      <c r="K1694" t="b">
        <v>0</v>
      </c>
      <c r="L1694" s="10">
        <v>15</v>
      </c>
      <c r="M1694" t="b">
        <v>0</v>
      </c>
      <c r="N1694" t="s">
        <v>8291</v>
      </c>
      <c r="O1694" s="11">
        <f t="shared" si="108"/>
        <v>48</v>
      </c>
      <c r="P1694" s="12">
        <f t="shared" si="109"/>
        <v>159</v>
      </c>
      <c r="Q1694" s="14" t="s">
        <v>8322</v>
      </c>
      <c r="R1694" t="s">
        <v>8344</v>
      </c>
      <c r="S1694" s="17">
        <f t="shared" si="110"/>
        <v>42788.151238425926</v>
      </c>
      <c r="T1694" s="17">
        <f t="shared" si="111"/>
        <v>42820.999305555553</v>
      </c>
      <c r="U1694">
        <f>MONTH(Table1[[#This Row],[Launched]])</f>
        <v>2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8221</v>
      </c>
      <c r="G1695" t="s">
        <v>8224</v>
      </c>
      <c r="H1695" t="s">
        <v>8246</v>
      </c>
      <c r="I1695" s="8">
        <v>1491768000</v>
      </c>
      <c r="J1695">
        <v>1489097112</v>
      </c>
      <c r="K1695" t="b">
        <v>0</v>
      </c>
      <c r="L1695" s="10">
        <v>8</v>
      </c>
      <c r="M1695" t="b">
        <v>0</v>
      </c>
      <c r="N1695" t="s">
        <v>8291</v>
      </c>
      <c r="O1695" s="11">
        <f t="shared" si="108"/>
        <v>9</v>
      </c>
      <c r="P1695" s="12">
        <f t="shared" si="109"/>
        <v>35</v>
      </c>
      <c r="Q1695" s="14" t="s">
        <v>8322</v>
      </c>
      <c r="R1695" t="s">
        <v>8344</v>
      </c>
      <c r="S1695" s="17">
        <f t="shared" si="110"/>
        <v>42803.920277777783</v>
      </c>
      <c r="T1695" s="17">
        <f t="shared" si="111"/>
        <v>42834.833333333328</v>
      </c>
      <c r="U1695">
        <f>MONTH(Table1[[#This Row],[Launched]])</f>
        <v>3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8221</v>
      </c>
      <c r="G1696" t="s">
        <v>8223</v>
      </c>
      <c r="H1696" t="s">
        <v>8245</v>
      </c>
      <c r="I1696" s="8">
        <v>1490589360</v>
      </c>
      <c r="J1696">
        <v>1488038674</v>
      </c>
      <c r="K1696" t="b">
        <v>0</v>
      </c>
      <c r="L1696" s="10">
        <v>1</v>
      </c>
      <c r="M1696" t="b">
        <v>0</v>
      </c>
      <c r="N1696" t="s">
        <v>8291</v>
      </c>
      <c r="O1696" s="11">
        <f t="shared" si="108"/>
        <v>0</v>
      </c>
      <c r="P1696" s="12">
        <f t="shared" si="109"/>
        <v>5</v>
      </c>
      <c r="Q1696" s="14" t="s">
        <v>8322</v>
      </c>
      <c r="R1696" t="s">
        <v>8344</v>
      </c>
      <c r="S1696" s="17">
        <f t="shared" si="110"/>
        <v>42791.669837962967</v>
      </c>
      <c r="T1696" s="17">
        <f t="shared" si="111"/>
        <v>42821.191666666666</v>
      </c>
      <c r="U1696">
        <f>MONTH(Table1[[#This Row],[Launched]])</f>
        <v>2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 s="8">
        <v>1491786000</v>
      </c>
      <c r="J1697">
        <v>1488847514</v>
      </c>
      <c r="K1697" t="b">
        <v>0</v>
      </c>
      <c r="L1697" s="10">
        <v>23</v>
      </c>
      <c r="M1697" t="b">
        <v>0</v>
      </c>
      <c r="N1697" t="s">
        <v>8291</v>
      </c>
      <c r="O1697" s="11">
        <f t="shared" si="108"/>
        <v>12</v>
      </c>
      <c r="P1697" s="12">
        <f t="shared" si="109"/>
        <v>61</v>
      </c>
      <c r="Q1697" s="14" t="s">
        <v>8322</v>
      </c>
      <c r="R1697" t="s">
        <v>8344</v>
      </c>
      <c r="S1697" s="17">
        <f t="shared" si="110"/>
        <v>42801.031412037039</v>
      </c>
      <c r="T1697" s="17">
        <f t="shared" si="111"/>
        <v>42835.041666666672</v>
      </c>
      <c r="U1697">
        <f>MONTH(Table1[[#This Row],[Launched]])</f>
        <v>3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8221</v>
      </c>
      <c r="G1698" t="s">
        <v>8223</v>
      </c>
      <c r="H1698" t="s">
        <v>8245</v>
      </c>
      <c r="I1698" s="8">
        <v>1491007211</v>
      </c>
      <c r="J1698">
        <v>1488418811</v>
      </c>
      <c r="K1698" t="b">
        <v>0</v>
      </c>
      <c r="L1698" s="10">
        <v>0</v>
      </c>
      <c r="M1698" t="b">
        <v>0</v>
      </c>
      <c r="N1698" t="s">
        <v>8291</v>
      </c>
      <c r="O1698" s="11">
        <f t="shared" si="108"/>
        <v>0</v>
      </c>
      <c r="P1698" s="12" t="str">
        <f t="shared" si="109"/>
        <v>No Backers</v>
      </c>
      <c r="Q1698" s="14" t="s">
        <v>8322</v>
      </c>
      <c r="R1698" t="s">
        <v>8344</v>
      </c>
      <c r="S1698" s="17">
        <f t="shared" si="110"/>
        <v>42796.069571759261</v>
      </c>
      <c r="T1698" s="17">
        <f t="shared" si="111"/>
        <v>42826.027905092589</v>
      </c>
      <c r="U1698">
        <f>MONTH(Table1[[#This Row],[Launched]])</f>
        <v>3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 s="8">
        <v>1491781648</v>
      </c>
      <c r="J1699">
        <v>1489193248</v>
      </c>
      <c r="K1699" t="b">
        <v>0</v>
      </c>
      <c r="L1699" s="10">
        <v>22</v>
      </c>
      <c r="M1699" t="b">
        <v>0</v>
      </c>
      <c r="N1699" t="s">
        <v>8291</v>
      </c>
      <c r="O1699" s="11">
        <f t="shared" si="108"/>
        <v>20</v>
      </c>
      <c r="P1699" s="12">
        <f t="shared" si="109"/>
        <v>115</v>
      </c>
      <c r="Q1699" s="14" t="s">
        <v>8322</v>
      </c>
      <c r="R1699" t="s">
        <v>8344</v>
      </c>
      <c r="S1699" s="17">
        <f t="shared" si="110"/>
        <v>42805.032962962956</v>
      </c>
      <c r="T1699" s="17">
        <f t="shared" si="111"/>
        <v>42834.991296296299</v>
      </c>
      <c r="U1699">
        <f>MONTH(Table1[[#This Row],[Launched]])</f>
        <v>3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8221</v>
      </c>
      <c r="G1700" t="s">
        <v>8223</v>
      </c>
      <c r="H1700" t="s">
        <v>8245</v>
      </c>
      <c r="I1700" s="8">
        <v>1490499180</v>
      </c>
      <c r="J1700">
        <v>1488430760</v>
      </c>
      <c r="K1700" t="b">
        <v>0</v>
      </c>
      <c r="L1700" s="10">
        <v>0</v>
      </c>
      <c r="M1700" t="b">
        <v>0</v>
      </c>
      <c r="N1700" t="s">
        <v>8291</v>
      </c>
      <c r="O1700" s="11">
        <f t="shared" si="108"/>
        <v>0</v>
      </c>
      <c r="P1700" s="12" t="str">
        <f t="shared" si="109"/>
        <v>No Backers</v>
      </c>
      <c r="Q1700" s="14" t="s">
        <v>8322</v>
      </c>
      <c r="R1700" t="s">
        <v>8344</v>
      </c>
      <c r="S1700" s="17">
        <f t="shared" si="110"/>
        <v>42796.207870370374</v>
      </c>
      <c r="T1700" s="17">
        <f t="shared" si="111"/>
        <v>42820.147916666669</v>
      </c>
      <c r="U1700">
        <f>MONTH(Table1[[#This Row],[Launched]])</f>
        <v>3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8221</v>
      </c>
      <c r="G1701" t="s">
        <v>8223</v>
      </c>
      <c r="H1701" t="s">
        <v>8245</v>
      </c>
      <c r="I1701" s="8">
        <v>1491943445</v>
      </c>
      <c r="J1701">
        <v>1489351445</v>
      </c>
      <c r="K1701" t="b">
        <v>0</v>
      </c>
      <c r="L1701" s="10">
        <v>4</v>
      </c>
      <c r="M1701" t="b">
        <v>0</v>
      </c>
      <c r="N1701" t="s">
        <v>8291</v>
      </c>
      <c r="O1701" s="11">
        <f t="shared" si="108"/>
        <v>4</v>
      </c>
      <c r="P1701" s="12">
        <f t="shared" si="109"/>
        <v>54</v>
      </c>
      <c r="Q1701" s="14" t="s">
        <v>8322</v>
      </c>
      <c r="R1701" t="s">
        <v>8344</v>
      </c>
      <c r="S1701" s="17">
        <f t="shared" si="110"/>
        <v>42806.863946759258</v>
      </c>
      <c r="T1701" s="17">
        <f t="shared" si="111"/>
        <v>42836.863946759258</v>
      </c>
      <c r="U1701">
        <f>MONTH(Table1[[#This Row],[Launched]])</f>
        <v>3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 s="8">
        <v>1491019200</v>
      </c>
      <c r="J1702">
        <v>1488418990</v>
      </c>
      <c r="K1702" t="b">
        <v>0</v>
      </c>
      <c r="L1702" s="10">
        <v>79</v>
      </c>
      <c r="M1702" t="b">
        <v>0</v>
      </c>
      <c r="N1702" t="s">
        <v>8291</v>
      </c>
      <c r="O1702" s="11">
        <f t="shared" si="108"/>
        <v>26</v>
      </c>
      <c r="P1702" s="12">
        <f t="shared" si="109"/>
        <v>66</v>
      </c>
      <c r="Q1702" s="14" t="s">
        <v>8322</v>
      </c>
      <c r="R1702" t="s">
        <v>8344</v>
      </c>
      <c r="S1702" s="17">
        <f t="shared" si="110"/>
        <v>42796.071643518517</v>
      </c>
      <c r="T1702" s="17">
        <f t="shared" si="111"/>
        <v>42826.166666666672</v>
      </c>
      <c r="U1702">
        <f>MONTH(Table1[[#This Row],[Launched]])</f>
        <v>3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8220</v>
      </c>
      <c r="G1703" t="s">
        <v>8223</v>
      </c>
      <c r="H1703" t="s">
        <v>8245</v>
      </c>
      <c r="I1703" s="8">
        <v>1421337405</v>
      </c>
      <c r="J1703">
        <v>1418745405</v>
      </c>
      <c r="K1703" t="b">
        <v>0</v>
      </c>
      <c r="L1703" s="10">
        <v>2</v>
      </c>
      <c r="M1703" t="b">
        <v>0</v>
      </c>
      <c r="N1703" t="s">
        <v>8291</v>
      </c>
      <c r="O1703" s="11">
        <f t="shared" si="108"/>
        <v>0</v>
      </c>
      <c r="P1703" s="12">
        <f t="shared" si="109"/>
        <v>5</v>
      </c>
      <c r="Q1703" s="14" t="s">
        <v>8322</v>
      </c>
      <c r="R1703" t="s">
        <v>8344</v>
      </c>
      <c r="S1703" s="17">
        <f t="shared" si="110"/>
        <v>41989.664409722223</v>
      </c>
      <c r="T1703" s="17">
        <f t="shared" si="111"/>
        <v>42019.664409722223</v>
      </c>
      <c r="U1703">
        <f>MONTH(Table1[[#This Row],[Launched]])</f>
        <v>12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8220</v>
      </c>
      <c r="G1704" t="s">
        <v>8223</v>
      </c>
      <c r="H1704" t="s">
        <v>8245</v>
      </c>
      <c r="I1704" s="8">
        <v>1427745150</v>
      </c>
      <c r="J1704">
        <v>1425156750</v>
      </c>
      <c r="K1704" t="b">
        <v>0</v>
      </c>
      <c r="L1704" s="10">
        <v>1</v>
      </c>
      <c r="M1704" t="b">
        <v>0</v>
      </c>
      <c r="N1704" t="s">
        <v>8291</v>
      </c>
      <c r="O1704" s="11">
        <f t="shared" si="108"/>
        <v>0</v>
      </c>
      <c r="P1704" s="12">
        <f t="shared" si="109"/>
        <v>1</v>
      </c>
      <c r="Q1704" s="14" t="s">
        <v>8322</v>
      </c>
      <c r="R1704" t="s">
        <v>8344</v>
      </c>
      <c r="S1704" s="17">
        <f t="shared" si="110"/>
        <v>42063.869791666672</v>
      </c>
      <c r="T1704" s="17">
        <f t="shared" si="111"/>
        <v>42093.828125</v>
      </c>
      <c r="U1704">
        <f>MONTH(Table1[[#This Row],[Launched]])</f>
        <v>2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8220</v>
      </c>
      <c r="G1705" t="s">
        <v>8223</v>
      </c>
      <c r="H1705" t="s">
        <v>8245</v>
      </c>
      <c r="I1705" s="8">
        <v>1441003537</v>
      </c>
      <c r="J1705">
        <v>1435819537</v>
      </c>
      <c r="K1705" t="b">
        <v>0</v>
      </c>
      <c r="L1705" s="10">
        <v>2</v>
      </c>
      <c r="M1705" t="b">
        <v>0</v>
      </c>
      <c r="N1705" t="s">
        <v>8291</v>
      </c>
      <c r="O1705" s="11">
        <f t="shared" si="108"/>
        <v>1</v>
      </c>
      <c r="P1705" s="12">
        <f t="shared" si="109"/>
        <v>26</v>
      </c>
      <c r="Q1705" s="14" t="s">
        <v>8322</v>
      </c>
      <c r="R1705" t="s">
        <v>8344</v>
      </c>
      <c r="S1705" s="17">
        <f t="shared" si="110"/>
        <v>42187.281678240746</v>
      </c>
      <c r="T1705" s="17">
        <f t="shared" si="111"/>
        <v>42247.281678240746</v>
      </c>
      <c r="U1705">
        <f>MONTH(Table1[[#This Row],[Launched]])</f>
        <v>7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 s="8">
        <v>1424056873</v>
      </c>
      <c r="J1706">
        <v>1421464873</v>
      </c>
      <c r="K1706" t="b">
        <v>0</v>
      </c>
      <c r="L1706" s="10">
        <v>11</v>
      </c>
      <c r="M1706" t="b">
        <v>0</v>
      </c>
      <c r="N1706" t="s">
        <v>8291</v>
      </c>
      <c r="O1706" s="11">
        <f t="shared" si="108"/>
        <v>65</v>
      </c>
      <c r="P1706" s="12">
        <f t="shared" si="109"/>
        <v>118</v>
      </c>
      <c r="Q1706" s="14" t="s">
        <v>8322</v>
      </c>
      <c r="R1706" t="s">
        <v>8344</v>
      </c>
      <c r="S1706" s="17">
        <f t="shared" si="110"/>
        <v>42021.139733796299</v>
      </c>
      <c r="T1706" s="17">
        <f t="shared" si="111"/>
        <v>42051.139733796299</v>
      </c>
      <c r="U1706">
        <f>MONTH(Table1[[#This Row],[Launched]])</f>
        <v>1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8220</v>
      </c>
      <c r="G1707" t="s">
        <v>8223</v>
      </c>
      <c r="H1707" t="s">
        <v>8245</v>
      </c>
      <c r="I1707" s="8">
        <v>1441814400</v>
      </c>
      <c r="J1707">
        <v>1440807846</v>
      </c>
      <c r="K1707" t="b">
        <v>0</v>
      </c>
      <c r="L1707" s="10">
        <v>0</v>
      </c>
      <c r="M1707" t="b">
        <v>0</v>
      </c>
      <c r="N1707" t="s">
        <v>8291</v>
      </c>
      <c r="O1707" s="11">
        <f t="shared" si="108"/>
        <v>0</v>
      </c>
      <c r="P1707" s="12" t="str">
        <f t="shared" si="109"/>
        <v>No Backers</v>
      </c>
      <c r="Q1707" s="14" t="s">
        <v>8322</v>
      </c>
      <c r="R1707" t="s">
        <v>8344</v>
      </c>
      <c r="S1707" s="17">
        <f t="shared" si="110"/>
        <v>42245.016736111109</v>
      </c>
      <c r="T1707" s="17">
        <f t="shared" si="111"/>
        <v>42256.666666666672</v>
      </c>
      <c r="U1707">
        <f>MONTH(Table1[[#This Row],[Launched]])</f>
        <v>8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8220</v>
      </c>
      <c r="G1708" t="s">
        <v>8235</v>
      </c>
      <c r="H1708" t="s">
        <v>8248</v>
      </c>
      <c r="I1708" s="8">
        <v>1440314472</v>
      </c>
      <c r="J1708">
        <v>1435130472</v>
      </c>
      <c r="K1708" t="b">
        <v>0</v>
      </c>
      <c r="L1708" s="10">
        <v>0</v>
      </c>
      <c r="M1708" t="b">
        <v>0</v>
      </c>
      <c r="N1708" t="s">
        <v>8291</v>
      </c>
      <c r="O1708" s="11">
        <f t="shared" si="108"/>
        <v>0</v>
      </c>
      <c r="P1708" s="12" t="str">
        <f t="shared" si="109"/>
        <v>No Backers</v>
      </c>
      <c r="Q1708" s="14" t="s">
        <v>8322</v>
      </c>
      <c r="R1708" t="s">
        <v>8344</v>
      </c>
      <c r="S1708" s="17">
        <f t="shared" si="110"/>
        <v>42179.306388888886</v>
      </c>
      <c r="T1708" s="17">
        <f t="shared" si="111"/>
        <v>42239.306388888886</v>
      </c>
      <c r="U1708">
        <f>MONTH(Table1[[#This Row],[Launched]])</f>
        <v>6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8220</v>
      </c>
      <c r="G1709" t="s">
        <v>8223</v>
      </c>
      <c r="H1709" t="s">
        <v>8245</v>
      </c>
      <c r="I1709" s="8">
        <v>1459181895</v>
      </c>
      <c r="J1709">
        <v>1456593495</v>
      </c>
      <c r="K1709" t="b">
        <v>0</v>
      </c>
      <c r="L1709" s="10">
        <v>9</v>
      </c>
      <c r="M1709" t="b">
        <v>0</v>
      </c>
      <c r="N1709" t="s">
        <v>8291</v>
      </c>
      <c r="O1709" s="11">
        <f t="shared" si="108"/>
        <v>10</v>
      </c>
      <c r="P1709" s="12">
        <f t="shared" si="109"/>
        <v>54</v>
      </c>
      <c r="Q1709" s="14" t="s">
        <v>8322</v>
      </c>
      <c r="R1709" t="s">
        <v>8344</v>
      </c>
      <c r="S1709" s="17">
        <f t="shared" si="110"/>
        <v>42427.721006944441</v>
      </c>
      <c r="T1709" s="17">
        <f t="shared" si="111"/>
        <v>42457.679340277777</v>
      </c>
      <c r="U1709">
        <f>MONTH(Table1[[#This Row],[Launched]])</f>
        <v>2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8220</v>
      </c>
      <c r="G1710" t="s">
        <v>8223</v>
      </c>
      <c r="H1710" t="s">
        <v>8245</v>
      </c>
      <c r="I1710" s="8">
        <v>1462135706</v>
      </c>
      <c r="J1710">
        <v>1458679706</v>
      </c>
      <c r="K1710" t="b">
        <v>0</v>
      </c>
      <c r="L1710" s="10">
        <v>0</v>
      </c>
      <c r="M1710" t="b">
        <v>0</v>
      </c>
      <c r="N1710" t="s">
        <v>8291</v>
      </c>
      <c r="O1710" s="11">
        <f t="shared" si="108"/>
        <v>0</v>
      </c>
      <c r="P1710" s="12" t="str">
        <f t="shared" si="109"/>
        <v>No Backers</v>
      </c>
      <c r="Q1710" s="14" t="s">
        <v>8322</v>
      </c>
      <c r="R1710" t="s">
        <v>8344</v>
      </c>
      <c r="S1710" s="17">
        <f t="shared" si="110"/>
        <v>42451.866967592592</v>
      </c>
      <c r="T1710" s="17">
        <f t="shared" si="111"/>
        <v>42491.866967592592</v>
      </c>
      <c r="U1710">
        <f>MONTH(Table1[[#This Row],[Launched]])</f>
        <v>3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8220</v>
      </c>
      <c r="G1711" t="s">
        <v>8223</v>
      </c>
      <c r="H1711" t="s">
        <v>8245</v>
      </c>
      <c r="I1711" s="8">
        <v>1409513940</v>
      </c>
      <c r="J1711">
        <v>1405949514</v>
      </c>
      <c r="K1711" t="b">
        <v>0</v>
      </c>
      <c r="L1711" s="10">
        <v>4</v>
      </c>
      <c r="M1711" t="b">
        <v>0</v>
      </c>
      <c r="N1711" t="s">
        <v>8291</v>
      </c>
      <c r="O1711" s="11">
        <f t="shared" si="108"/>
        <v>5</v>
      </c>
      <c r="P1711" s="12">
        <f t="shared" si="109"/>
        <v>21</v>
      </c>
      <c r="Q1711" s="14" t="s">
        <v>8322</v>
      </c>
      <c r="R1711" t="s">
        <v>8344</v>
      </c>
      <c r="S1711" s="17">
        <f t="shared" si="110"/>
        <v>41841.56381944444</v>
      </c>
      <c r="T1711" s="17">
        <f t="shared" si="111"/>
        <v>41882.818749999999</v>
      </c>
      <c r="U1711">
        <f>MONTH(Table1[[#This Row],[Launched]])</f>
        <v>7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8220</v>
      </c>
      <c r="G1712" t="s">
        <v>8235</v>
      </c>
      <c r="H1712" t="s">
        <v>8248</v>
      </c>
      <c r="I1712" s="8">
        <v>1453122000</v>
      </c>
      <c r="J1712">
        <v>1449151888</v>
      </c>
      <c r="K1712" t="b">
        <v>0</v>
      </c>
      <c r="L1712" s="10">
        <v>1</v>
      </c>
      <c r="M1712" t="b">
        <v>0</v>
      </c>
      <c r="N1712" t="s">
        <v>8291</v>
      </c>
      <c r="O1712" s="11">
        <f t="shared" si="108"/>
        <v>1</v>
      </c>
      <c r="P1712" s="12">
        <f t="shared" si="109"/>
        <v>34</v>
      </c>
      <c r="Q1712" s="14" t="s">
        <v>8322</v>
      </c>
      <c r="R1712" t="s">
        <v>8344</v>
      </c>
      <c r="S1712" s="17">
        <f t="shared" si="110"/>
        <v>42341.59129629629</v>
      </c>
      <c r="T1712" s="17">
        <f t="shared" si="111"/>
        <v>42387.541666666672</v>
      </c>
      <c r="U1712">
        <f>MONTH(Table1[[#This Row],[Launched]])</f>
        <v>12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 s="8">
        <v>1409585434</v>
      </c>
      <c r="J1713">
        <v>1406907034</v>
      </c>
      <c r="K1713" t="b">
        <v>0</v>
      </c>
      <c r="L1713" s="10">
        <v>2</v>
      </c>
      <c r="M1713" t="b">
        <v>0</v>
      </c>
      <c r="N1713" t="s">
        <v>8291</v>
      </c>
      <c r="O1713" s="11">
        <f t="shared" si="108"/>
        <v>11</v>
      </c>
      <c r="P1713" s="12">
        <f t="shared" si="109"/>
        <v>525</v>
      </c>
      <c r="Q1713" s="14" t="s">
        <v>8322</v>
      </c>
      <c r="R1713" t="s">
        <v>8344</v>
      </c>
      <c r="S1713" s="17">
        <f t="shared" si="110"/>
        <v>41852.646226851852</v>
      </c>
      <c r="T1713" s="17">
        <f t="shared" si="111"/>
        <v>41883.646226851852</v>
      </c>
      <c r="U1713">
        <f>MONTH(Table1[[#This Row],[Launched]])</f>
        <v>8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8220</v>
      </c>
      <c r="G1714" t="s">
        <v>8223</v>
      </c>
      <c r="H1714" t="s">
        <v>8245</v>
      </c>
      <c r="I1714" s="8">
        <v>1435701353</v>
      </c>
      <c r="J1714">
        <v>1430517353</v>
      </c>
      <c r="K1714" t="b">
        <v>0</v>
      </c>
      <c r="L1714" s="10">
        <v>0</v>
      </c>
      <c r="M1714" t="b">
        <v>0</v>
      </c>
      <c r="N1714" t="s">
        <v>8291</v>
      </c>
      <c r="O1714" s="11">
        <f t="shared" si="108"/>
        <v>0</v>
      </c>
      <c r="P1714" s="12" t="str">
        <f t="shared" si="109"/>
        <v>No Backers</v>
      </c>
      <c r="Q1714" s="14" t="s">
        <v>8322</v>
      </c>
      <c r="R1714" t="s">
        <v>8344</v>
      </c>
      <c r="S1714" s="17">
        <f t="shared" si="110"/>
        <v>42125.913807870369</v>
      </c>
      <c r="T1714" s="17">
        <f t="shared" si="111"/>
        <v>42185.913807870369</v>
      </c>
      <c r="U1714">
        <f>MONTH(Table1[[#This Row],[Launched]])</f>
        <v>5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8220</v>
      </c>
      <c r="G1715" t="s">
        <v>8223</v>
      </c>
      <c r="H1715" t="s">
        <v>8245</v>
      </c>
      <c r="I1715" s="8">
        <v>1412536412</v>
      </c>
      <c r="J1715">
        <v>1409944412</v>
      </c>
      <c r="K1715" t="b">
        <v>0</v>
      </c>
      <c r="L1715" s="10">
        <v>1</v>
      </c>
      <c r="M1715" t="b">
        <v>0</v>
      </c>
      <c r="N1715" t="s">
        <v>8291</v>
      </c>
      <c r="O1715" s="11">
        <f t="shared" si="108"/>
        <v>2</v>
      </c>
      <c r="P1715" s="12">
        <f t="shared" si="109"/>
        <v>50</v>
      </c>
      <c r="Q1715" s="14" t="s">
        <v>8322</v>
      </c>
      <c r="R1715" t="s">
        <v>8344</v>
      </c>
      <c r="S1715" s="17">
        <f t="shared" si="110"/>
        <v>41887.801064814819</v>
      </c>
      <c r="T1715" s="17">
        <f t="shared" si="111"/>
        <v>41917.801064814819</v>
      </c>
      <c r="U1715">
        <f>MONTH(Table1[[#This Row],[Launched]])</f>
        <v>9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 s="8">
        <v>1430517761</v>
      </c>
      <c r="J1716">
        <v>1427925761</v>
      </c>
      <c r="K1716" t="b">
        <v>0</v>
      </c>
      <c r="L1716" s="10">
        <v>17</v>
      </c>
      <c r="M1716" t="b">
        <v>0</v>
      </c>
      <c r="N1716" t="s">
        <v>8291</v>
      </c>
      <c r="O1716" s="11">
        <f t="shared" si="108"/>
        <v>8</v>
      </c>
      <c r="P1716" s="12">
        <f t="shared" si="109"/>
        <v>116</v>
      </c>
      <c r="Q1716" s="14" t="s">
        <v>8322</v>
      </c>
      <c r="R1716" t="s">
        <v>8344</v>
      </c>
      <c r="S1716" s="17">
        <f t="shared" si="110"/>
        <v>42095.918530092589</v>
      </c>
      <c r="T1716" s="17">
        <f t="shared" si="111"/>
        <v>42125.918530092589</v>
      </c>
      <c r="U1716">
        <f>MONTH(Table1[[#This Row],[Launched]])</f>
        <v>4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8220</v>
      </c>
      <c r="G1717" t="s">
        <v>8223</v>
      </c>
      <c r="H1717" t="s">
        <v>8245</v>
      </c>
      <c r="I1717" s="8">
        <v>1427772120</v>
      </c>
      <c r="J1717">
        <v>1425186785</v>
      </c>
      <c r="K1717" t="b">
        <v>0</v>
      </c>
      <c r="L1717" s="10">
        <v>2</v>
      </c>
      <c r="M1717" t="b">
        <v>0</v>
      </c>
      <c r="N1717" t="s">
        <v>8291</v>
      </c>
      <c r="O1717" s="11">
        <f t="shared" si="108"/>
        <v>0</v>
      </c>
      <c r="P1717" s="12">
        <f t="shared" si="109"/>
        <v>6</v>
      </c>
      <c r="Q1717" s="14" t="s">
        <v>8322</v>
      </c>
      <c r="R1717" t="s">
        <v>8344</v>
      </c>
      <c r="S1717" s="17">
        <f t="shared" si="110"/>
        <v>42064.217418981483</v>
      </c>
      <c r="T1717" s="17">
        <f t="shared" si="111"/>
        <v>42094.140277777777</v>
      </c>
      <c r="U1717">
        <f>MONTH(Table1[[#This Row],[Launched]])</f>
        <v>3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8220</v>
      </c>
      <c r="G1718" t="s">
        <v>8223</v>
      </c>
      <c r="H1718" t="s">
        <v>8245</v>
      </c>
      <c r="I1718" s="8">
        <v>1481295099</v>
      </c>
      <c r="J1718">
        <v>1477835499</v>
      </c>
      <c r="K1718" t="b">
        <v>0</v>
      </c>
      <c r="L1718" s="10">
        <v>3</v>
      </c>
      <c r="M1718" t="b">
        <v>0</v>
      </c>
      <c r="N1718" t="s">
        <v>8291</v>
      </c>
      <c r="O1718" s="11">
        <f t="shared" si="108"/>
        <v>8</v>
      </c>
      <c r="P1718" s="12">
        <f t="shared" si="109"/>
        <v>50</v>
      </c>
      <c r="Q1718" s="14" t="s">
        <v>8322</v>
      </c>
      <c r="R1718" t="s">
        <v>8344</v>
      </c>
      <c r="S1718" s="17">
        <f t="shared" si="110"/>
        <v>42673.577534722222</v>
      </c>
      <c r="T1718" s="17">
        <f t="shared" si="111"/>
        <v>42713.619201388887</v>
      </c>
      <c r="U1718">
        <f>MONTH(Table1[[#This Row],[Launched]])</f>
        <v>10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 s="8">
        <v>1461211200</v>
      </c>
      <c r="J1719">
        <v>1459467238</v>
      </c>
      <c r="K1719" t="b">
        <v>0</v>
      </c>
      <c r="L1719" s="10">
        <v>41</v>
      </c>
      <c r="M1719" t="b">
        <v>0</v>
      </c>
      <c r="N1719" t="s">
        <v>8291</v>
      </c>
      <c r="O1719" s="11">
        <f t="shared" si="108"/>
        <v>43</v>
      </c>
      <c r="P1719" s="12">
        <f t="shared" si="109"/>
        <v>34</v>
      </c>
      <c r="Q1719" s="14" t="s">
        <v>8322</v>
      </c>
      <c r="R1719" t="s">
        <v>8344</v>
      </c>
      <c r="S1719" s="17">
        <f t="shared" si="110"/>
        <v>42460.98192129629</v>
      </c>
      <c r="T1719" s="17">
        <f t="shared" si="111"/>
        <v>42481.166666666672</v>
      </c>
      <c r="U1719">
        <f>MONTH(Table1[[#This Row],[Launched]])</f>
        <v>3</v>
      </c>
    </row>
    <row r="1720" spans="1:21" ht="15.6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8220</v>
      </c>
      <c r="G1720" t="s">
        <v>8223</v>
      </c>
      <c r="H1720" t="s">
        <v>8245</v>
      </c>
      <c r="I1720" s="8">
        <v>1463201940</v>
      </c>
      <c r="J1720">
        <v>1459435149</v>
      </c>
      <c r="K1720" t="b">
        <v>0</v>
      </c>
      <c r="L1720" s="10">
        <v>2</v>
      </c>
      <c r="M1720" t="b">
        <v>0</v>
      </c>
      <c r="N1720" t="s">
        <v>8291</v>
      </c>
      <c r="O1720" s="11">
        <f t="shared" si="108"/>
        <v>0</v>
      </c>
      <c r="P1720" s="12">
        <f t="shared" si="109"/>
        <v>38</v>
      </c>
      <c r="Q1720" s="14" t="s">
        <v>8322</v>
      </c>
      <c r="R1720" t="s">
        <v>8344</v>
      </c>
      <c r="S1720" s="17">
        <f t="shared" si="110"/>
        <v>42460.610520833332</v>
      </c>
      <c r="T1720" s="17">
        <f t="shared" si="111"/>
        <v>42504.207638888889</v>
      </c>
      <c r="U1720">
        <f>MONTH(Table1[[#This Row],[Launched]])</f>
        <v>3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8220</v>
      </c>
      <c r="G1721" t="s">
        <v>8223</v>
      </c>
      <c r="H1721" t="s">
        <v>8245</v>
      </c>
      <c r="I1721" s="8">
        <v>1410958191</v>
      </c>
      <c r="J1721">
        <v>1408366191</v>
      </c>
      <c r="K1721" t="b">
        <v>0</v>
      </c>
      <c r="L1721" s="10">
        <v>3</v>
      </c>
      <c r="M1721" t="b">
        <v>0</v>
      </c>
      <c r="N1721" t="s">
        <v>8291</v>
      </c>
      <c r="O1721" s="11">
        <f t="shared" si="108"/>
        <v>1</v>
      </c>
      <c r="P1721" s="12">
        <f t="shared" si="109"/>
        <v>12</v>
      </c>
      <c r="Q1721" s="14" t="s">
        <v>8322</v>
      </c>
      <c r="R1721" t="s">
        <v>8344</v>
      </c>
      <c r="S1721" s="17">
        <f t="shared" si="110"/>
        <v>41869.534618055557</v>
      </c>
      <c r="T1721" s="17">
        <f t="shared" si="111"/>
        <v>41899.534618055557</v>
      </c>
      <c r="U1721">
        <f>MONTH(Table1[[#This Row],[Launched]])</f>
        <v>8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8220</v>
      </c>
      <c r="G1722" t="s">
        <v>8223</v>
      </c>
      <c r="H1722" t="s">
        <v>8245</v>
      </c>
      <c r="I1722" s="8">
        <v>1415562471</v>
      </c>
      <c r="J1722">
        <v>1412966871</v>
      </c>
      <c r="K1722" t="b">
        <v>0</v>
      </c>
      <c r="L1722" s="10">
        <v>8</v>
      </c>
      <c r="M1722" t="b">
        <v>0</v>
      </c>
      <c r="N1722" t="s">
        <v>8291</v>
      </c>
      <c r="O1722" s="11">
        <f t="shared" si="108"/>
        <v>6</v>
      </c>
      <c r="P1722" s="12">
        <f t="shared" si="109"/>
        <v>28</v>
      </c>
      <c r="Q1722" s="14" t="s">
        <v>8322</v>
      </c>
      <c r="R1722" t="s">
        <v>8344</v>
      </c>
      <c r="S1722" s="17">
        <f t="shared" si="110"/>
        <v>41922.783229166671</v>
      </c>
      <c r="T1722" s="17">
        <f t="shared" si="111"/>
        <v>41952.824895833335</v>
      </c>
      <c r="U1722">
        <f>MONTH(Table1[[#This Row],[Launched]])</f>
        <v>10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8220</v>
      </c>
      <c r="G1723" t="s">
        <v>8223</v>
      </c>
      <c r="H1723" t="s">
        <v>8245</v>
      </c>
      <c r="I1723" s="8">
        <v>1449831863</v>
      </c>
      <c r="J1723">
        <v>1447239863</v>
      </c>
      <c r="K1723" t="b">
        <v>0</v>
      </c>
      <c r="L1723" s="10">
        <v>0</v>
      </c>
      <c r="M1723" t="b">
        <v>0</v>
      </c>
      <c r="N1723" t="s">
        <v>8291</v>
      </c>
      <c r="O1723" s="11">
        <f t="shared" si="108"/>
        <v>0</v>
      </c>
      <c r="P1723" s="12" t="str">
        <f t="shared" si="109"/>
        <v>No Backers</v>
      </c>
      <c r="Q1723" s="14" t="s">
        <v>8322</v>
      </c>
      <c r="R1723" t="s">
        <v>8344</v>
      </c>
      <c r="S1723" s="17">
        <f t="shared" si="110"/>
        <v>42319.461377314816</v>
      </c>
      <c r="T1723" s="17">
        <f t="shared" si="111"/>
        <v>42349.461377314816</v>
      </c>
      <c r="U1723">
        <f>MONTH(Table1[[#This Row],[Launched]])</f>
        <v>11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8220</v>
      </c>
      <c r="G1724" t="s">
        <v>8223</v>
      </c>
      <c r="H1724" t="s">
        <v>8245</v>
      </c>
      <c r="I1724" s="8">
        <v>1459642200</v>
      </c>
      <c r="J1724">
        <v>1456441429</v>
      </c>
      <c r="K1724" t="b">
        <v>0</v>
      </c>
      <c r="L1724" s="10">
        <v>1</v>
      </c>
      <c r="M1724" t="b">
        <v>0</v>
      </c>
      <c r="N1724" t="s">
        <v>8291</v>
      </c>
      <c r="O1724" s="11">
        <f t="shared" si="108"/>
        <v>0</v>
      </c>
      <c r="P1724" s="12">
        <f t="shared" si="109"/>
        <v>1</v>
      </c>
      <c r="Q1724" s="14" t="s">
        <v>8322</v>
      </c>
      <c r="R1724" t="s">
        <v>8344</v>
      </c>
      <c r="S1724" s="17">
        <f t="shared" si="110"/>
        <v>42425.960983796293</v>
      </c>
      <c r="T1724" s="17">
        <f t="shared" si="111"/>
        <v>42463.006944444445</v>
      </c>
      <c r="U1724">
        <f>MONTH(Table1[[#This Row],[Launched]])</f>
        <v>2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 s="8">
        <v>1435730400</v>
      </c>
      <c r="J1725">
        <v>1430855315</v>
      </c>
      <c r="K1725" t="b">
        <v>0</v>
      </c>
      <c r="L1725" s="10">
        <v>3</v>
      </c>
      <c r="M1725" t="b">
        <v>0</v>
      </c>
      <c r="N1725" t="s">
        <v>8291</v>
      </c>
      <c r="O1725" s="11">
        <f t="shared" si="108"/>
        <v>7</v>
      </c>
      <c r="P1725" s="12">
        <f t="shared" si="109"/>
        <v>217</v>
      </c>
      <c r="Q1725" s="14" t="s">
        <v>8322</v>
      </c>
      <c r="R1725" t="s">
        <v>8344</v>
      </c>
      <c r="S1725" s="17">
        <f t="shared" si="110"/>
        <v>42129.82540509259</v>
      </c>
      <c r="T1725" s="17">
        <f t="shared" si="111"/>
        <v>42186.25</v>
      </c>
      <c r="U1725">
        <f>MONTH(Table1[[#This Row],[Launched]])</f>
        <v>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8220</v>
      </c>
      <c r="G1726" t="s">
        <v>8223</v>
      </c>
      <c r="H1726" t="s">
        <v>8245</v>
      </c>
      <c r="I1726" s="8">
        <v>1414707762</v>
      </c>
      <c r="J1726">
        <v>1412115762</v>
      </c>
      <c r="K1726" t="b">
        <v>0</v>
      </c>
      <c r="L1726" s="10">
        <v>4</v>
      </c>
      <c r="M1726" t="b">
        <v>0</v>
      </c>
      <c r="N1726" t="s">
        <v>8291</v>
      </c>
      <c r="O1726" s="11">
        <f t="shared" si="108"/>
        <v>1</v>
      </c>
      <c r="P1726" s="12">
        <f t="shared" si="109"/>
        <v>9</v>
      </c>
      <c r="Q1726" s="14" t="s">
        <v>8322</v>
      </c>
      <c r="R1726" t="s">
        <v>8344</v>
      </c>
      <c r="S1726" s="17">
        <f t="shared" si="110"/>
        <v>41912.932430555556</v>
      </c>
      <c r="T1726" s="17">
        <f t="shared" si="111"/>
        <v>41942.932430555556</v>
      </c>
      <c r="U1726">
        <f>MONTH(Table1[[#This Row],[Launched]])</f>
        <v>9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8220</v>
      </c>
      <c r="G1727" t="s">
        <v>8223</v>
      </c>
      <c r="H1727" t="s">
        <v>8245</v>
      </c>
      <c r="I1727" s="8">
        <v>1408922049</v>
      </c>
      <c r="J1727">
        <v>1406330049</v>
      </c>
      <c r="K1727" t="b">
        <v>0</v>
      </c>
      <c r="L1727" s="10">
        <v>9</v>
      </c>
      <c r="M1727" t="b">
        <v>0</v>
      </c>
      <c r="N1727" t="s">
        <v>8291</v>
      </c>
      <c r="O1727" s="11">
        <f t="shared" si="108"/>
        <v>10</v>
      </c>
      <c r="P1727" s="12">
        <f t="shared" si="109"/>
        <v>62</v>
      </c>
      <c r="Q1727" s="14" t="s">
        <v>8322</v>
      </c>
      <c r="R1727" t="s">
        <v>8344</v>
      </c>
      <c r="S1727" s="17">
        <f t="shared" si="110"/>
        <v>41845.968159722222</v>
      </c>
      <c r="T1727" s="17">
        <f t="shared" si="111"/>
        <v>41875.968159722222</v>
      </c>
      <c r="U1727">
        <f>MONTH(Table1[[#This Row],[Launched]])</f>
        <v>7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 s="8">
        <v>1403906664</v>
      </c>
      <c r="J1728">
        <v>1401401064</v>
      </c>
      <c r="K1728" t="b">
        <v>0</v>
      </c>
      <c r="L1728" s="10">
        <v>16</v>
      </c>
      <c r="M1728" t="b">
        <v>0</v>
      </c>
      <c r="N1728" t="s">
        <v>8291</v>
      </c>
      <c r="O1728" s="11">
        <f t="shared" si="108"/>
        <v>34</v>
      </c>
      <c r="P1728" s="12">
        <f t="shared" si="109"/>
        <v>137</v>
      </c>
      <c r="Q1728" s="14" t="s">
        <v>8322</v>
      </c>
      <c r="R1728" t="s">
        <v>8344</v>
      </c>
      <c r="S1728" s="17">
        <f t="shared" si="110"/>
        <v>41788.919722222221</v>
      </c>
      <c r="T1728" s="17">
        <f t="shared" si="111"/>
        <v>41817.919722222221</v>
      </c>
      <c r="U1728">
        <f>MONTH(Table1[[#This Row],[Launched]])</f>
        <v>5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8220</v>
      </c>
      <c r="G1729" t="s">
        <v>8224</v>
      </c>
      <c r="H1729" t="s">
        <v>8246</v>
      </c>
      <c r="I1729" s="8">
        <v>1428231600</v>
      </c>
      <c r="J1729">
        <v>1423520177</v>
      </c>
      <c r="K1729" t="b">
        <v>0</v>
      </c>
      <c r="L1729" s="10">
        <v>1</v>
      </c>
      <c r="M1729" t="b">
        <v>0</v>
      </c>
      <c r="N1729" t="s">
        <v>8291</v>
      </c>
      <c r="O1729" s="11">
        <f t="shared" si="108"/>
        <v>0</v>
      </c>
      <c r="P1729" s="12">
        <f t="shared" si="109"/>
        <v>1</v>
      </c>
      <c r="Q1729" s="14" t="s">
        <v>8322</v>
      </c>
      <c r="R1729" t="s">
        <v>8344</v>
      </c>
      <c r="S1729" s="17">
        <f t="shared" si="110"/>
        <v>42044.927974537044</v>
      </c>
      <c r="T1729" s="17">
        <f t="shared" si="111"/>
        <v>42099.458333333328</v>
      </c>
      <c r="U1729">
        <f>MONTH(Table1[[#This Row],[Launched]])</f>
        <v>2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8220</v>
      </c>
      <c r="G1730" t="s">
        <v>8223</v>
      </c>
      <c r="H1730" t="s">
        <v>8245</v>
      </c>
      <c r="I1730" s="8">
        <v>1445439674</v>
      </c>
      <c r="J1730">
        <v>1442847674</v>
      </c>
      <c r="K1730" t="b">
        <v>0</v>
      </c>
      <c r="L1730" s="10">
        <v>7</v>
      </c>
      <c r="M1730" t="b">
        <v>0</v>
      </c>
      <c r="N1730" t="s">
        <v>8291</v>
      </c>
      <c r="O1730" s="11">
        <f t="shared" ref="O1730:O1793" si="112">ROUND(E1730/D1730*100,0)</f>
        <v>68</v>
      </c>
      <c r="P1730" s="12">
        <f t="shared" si="109"/>
        <v>122</v>
      </c>
      <c r="Q1730" s="14" t="s">
        <v>8322</v>
      </c>
      <c r="R1730" t="s">
        <v>8344</v>
      </c>
      <c r="S1730" s="17">
        <f t="shared" si="110"/>
        <v>42268.625856481478</v>
      </c>
      <c r="T1730" s="17">
        <f t="shared" si="111"/>
        <v>42298.625856481478</v>
      </c>
      <c r="U1730">
        <f>MONTH(Table1[[#This Row],[Launched]])</f>
        <v>9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8220</v>
      </c>
      <c r="G1731" t="s">
        <v>8223</v>
      </c>
      <c r="H1731" t="s">
        <v>8245</v>
      </c>
      <c r="I1731" s="8">
        <v>1465521306</v>
      </c>
      <c r="J1731">
        <v>1460337306</v>
      </c>
      <c r="K1731" t="b">
        <v>0</v>
      </c>
      <c r="L1731" s="10">
        <v>0</v>
      </c>
      <c r="M1731" t="b">
        <v>0</v>
      </c>
      <c r="N1731" t="s">
        <v>8291</v>
      </c>
      <c r="O1731" s="11">
        <f t="shared" si="112"/>
        <v>0</v>
      </c>
      <c r="P1731" s="12" t="str">
        <f t="shared" ref="P1731:P1794" si="113">IFERROR(ROUND(E1731/L1731,),"No Backers")</f>
        <v>No Backers</v>
      </c>
      <c r="Q1731" s="14" t="s">
        <v>8322</v>
      </c>
      <c r="R1731" t="s">
        <v>8344</v>
      </c>
      <c r="S1731" s="17">
        <f t="shared" ref="S1731:S1794" si="114">(((J1731/60)/60)/24)+DATE(1970,1,1)</f>
        <v>42471.052152777775</v>
      </c>
      <c r="T1731" s="17">
        <f t="shared" ref="T1731:T1794" si="115">(((I1731/60)/60)/24)+DATE(1970,1,1)</f>
        <v>42531.052152777775</v>
      </c>
      <c r="U1731">
        <f>MONTH(Table1[[#This Row],[Launched]])</f>
        <v>4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8220</v>
      </c>
      <c r="G1732" t="s">
        <v>8223</v>
      </c>
      <c r="H1732" t="s">
        <v>8245</v>
      </c>
      <c r="I1732" s="8">
        <v>1445738783</v>
      </c>
      <c r="J1732">
        <v>1443146783</v>
      </c>
      <c r="K1732" t="b">
        <v>0</v>
      </c>
      <c r="L1732" s="10">
        <v>0</v>
      </c>
      <c r="M1732" t="b">
        <v>0</v>
      </c>
      <c r="N1732" t="s">
        <v>8291</v>
      </c>
      <c r="O1732" s="11">
        <f t="shared" si="112"/>
        <v>0</v>
      </c>
      <c r="P1732" s="12" t="str">
        <f t="shared" si="113"/>
        <v>No Backers</v>
      </c>
      <c r="Q1732" s="14" t="s">
        <v>8322</v>
      </c>
      <c r="R1732" t="s">
        <v>8344</v>
      </c>
      <c r="S1732" s="17">
        <f t="shared" si="114"/>
        <v>42272.087766203709</v>
      </c>
      <c r="T1732" s="17">
        <f t="shared" si="115"/>
        <v>42302.087766203709</v>
      </c>
      <c r="U1732">
        <f>MONTH(Table1[[#This Row],[Launched]])</f>
        <v>9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8220</v>
      </c>
      <c r="G1733" t="s">
        <v>8223</v>
      </c>
      <c r="H1733" t="s">
        <v>8245</v>
      </c>
      <c r="I1733" s="8">
        <v>1434034800</v>
      </c>
      <c r="J1733">
        <v>1432849552</v>
      </c>
      <c r="K1733" t="b">
        <v>0</v>
      </c>
      <c r="L1733" s="10">
        <v>0</v>
      </c>
      <c r="M1733" t="b">
        <v>0</v>
      </c>
      <c r="N1733" t="s">
        <v>8291</v>
      </c>
      <c r="O1733" s="11">
        <f t="shared" si="112"/>
        <v>0</v>
      </c>
      <c r="P1733" s="12" t="str">
        <f t="shared" si="113"/>
        <v>No Backers</v>
      </c>
      <c r="Q1733" s="14" t="s">
        <v>8322</v>
      </c>
      <c r="R1733" t="s">
        <v>8344</v>
      </c>
      <c r="S1733" s="17">
        <f t="shared" si="114"/>
        <v>42152.906851851847</v>
      </c>
      <c r="T1733" s="17">
        <f t="shared" si="115"/>
        <v>42166.625</v>
      </c>
      <c r="U1733">
        <f>MONTH(Table1[[#This Row],[Launched]])</f>
        <v>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8220</v>
      </c>
      <c r="G1734" t="s">
        <v>8223</v>
      </c>
      <c r="H1734" t="s">
        <v>8245</v>
      </c>
      <c r="I1734" s="8">
        <v>1452920400</v>
      </c>
      <c r="J1734">
        <v>1447777481</v>
      </c>
      <c r="K1734" t="b">
        <v>0</v>
      </c>
      <c r="L1734" s="10">
        <v>0</v>
      </c>
      <c r="M1734" t="b">
        <v>0</v>
      </c>
      <c r="N1734" t="s">
        <v>8291</v>
      </c>
      <c r="O1734" s="11">
        <f t="shared" si="112"/>
        <v>0</v>
      </c>
      <c r="P1734" s="12" t="str">
        <f t="shared" si="113"/>
        <v>No Backers</v>
      </c>
      <c r="Q1734" s="14" t="s">
        <v>8322</v>
      </c>
      <c r="R1734" t="s">
        <v>8344</v>
      </c>
      <c r="S1734" s="17">
        <f t="shared" si="114"/>
        <v>42325.683807870373</v>
      </c>
      <c r="T1734" s="17">
        <f t="shared" si="115"/>
        <v>42385.208333333328</v>
      </c>
      <c r="U1734">
        <f>MONTH(Table1[[#This Row],[Launched]])</f>
        <v>11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8220</v>
      </c>
      <c r="G1735" t="s">
        <v>8223</v>
      </c>
      <c r="H1735" t="s">
        <v>8245</v>
      </c>
      <c r="I1735" s="8">
        <v>1473802200</v>
      </c>
      <c r="J1735">
        <v>1472746374</v>
      </c>
      <c r="K1735" t="b">
        <v>0</v>
      </c>
      <c r="L1735" s="10">
        <v>0</v>
      </c>
      <c r="M1735" t="b">
        <v>0</v>
      </c>
      <c r="N1735" t="s">
        <v>8291</v>
      </c>
      <c r="O1735" s="11">
        <f t="shared" si="112"/>
        <v>0</v>
      </c>
      <c r="P1735" s="12" t="str">
        <f t="shared" si="113"/>
        <v>No Backers</v>
      </c>
      <c r="Q1735" s="14" t="s">
        <v>8322</v>
      </c>
      <c r="R1735" t="s">
        <v>8344</v>
      </c>
      <c r="S1735" s="17">
        <f t="shared" si="114"/>
        <v>42614.675625000003</v>
      </c>
      <c r="T1735" s="17">
        <f t="shared" si="115"/>
        <v>42626.895833333328</v>
      </c>
      <c r="U1735">
        <f>MONTH(Table1[[#This Row],[Launched]])</f>
        <v>9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8220</v>
      </c>
      <c r="G1736" t="s">
        <v>8223</v>
      </c>
      <c r="H1736" t="s">
        <v>8245</v>
      </c>
      <c r="I1736" s="8">
        <v>1431046356</v>
      </c>
      <c r="J1736">
        <v>1428454356</v>
      </c>
      <c r="K1736" t="b">
        <v>0</v>
      </c>
      <c r="L1736" s="10">
        <v>1</v>
      </c>
      <c r="M1736" t="b">
        <v>0</v>
      </c>
      <c r="N1736" t="s">
        <v>8291</v>
      </c>
      <c r="O1736" s="11">
        <f t="shared" si="112"/>
        <v>0</v>
      </c>
      <c r="P1736" s="12">
        <f t="shared" si="113"/>
        <v>1</v>
      </c>
      <c r="Q1736" s="14" t="s">
        <v>8322</v>
      </c>
      <c r="R1736" t="s">
        <v>8344</v>
      </c>
      <c r="S1736" s="17">
        <f t="shared" si="114"/>
        <v>42102.036527777775</v>
      </c>
      <c r="T1736" s="17">
        <f t="shared" si="115"/>
        <v>42132.036527777775</v>
      </c>
      <c r="U1736">
        <f>MONTH(Table1[[#This Row],[Launched]])</f>
        <v>4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8220</v>
      </c>
      <c r="G1737" t="s">
        <v>8223</v>
      </c>
      <c r="H1737" t="s">
        <v>8245</v>
      </c>
      <c r="I1737" s="8">
        <v>1470598345</v>
      </c>
      <c r="J1737">
        <v>1468006345</v>
      </c>
      <c r="K1737" t="b">
        <v>0</v>
      </c>
      <c r="L1737" s="10">
        <v>2</v>
      </c>
      <c r="M1737" t="b">
        <v>0</v>
      </c>
      <c r="N1737" t="s">
        <v>8291</v>
      </c>
      <c r="O1737" s="11">
        <f t="shared" si="112"/>
        <v>11</v>
      </c>
      <c r="P1737" s="12">
        <f t="shared" si="113"/>
        <v>55</v>
      </c>
      <c r="Q1737" s="14" t="s">
        <v>8322</v>
      </c>
      <c r="R1737" t="s">
        <v>8344</v>
      </c>
      <c r="S1737" s="17">
        <f t="shared" si="114"/>
        <v>42559.814178240747</v>
      </c>
      <c r="T1737" s="17">
        <f t="shared" si="115"/>
        <v>42589.814178240747</v>
      </c>
      <c r="U1737">
        <f>MONTH(Table1[[#This Row],[Launched]])</f>
        <v>7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8220</v>
      </c>
      <c r="G1738" t="s">
        <v>8223</v>
      </c>
      <c r="H1738" t="s">
        <v>8245</v>
      </c>
      <c r="I1738" s="8">
        <v>1447018833</v>
      </c>
      <c r="J1738">
        <v>1444423233</v>
      </c>
      <c r="K1738" t="b">
        <v>0</v>
      </c>
      <c r="L1738" s="10">
        <v>1</v>
      </c>
      <c r="M1738" t="b">
        <v>0</v>
      </c>
      <c r="N1738" t="s">
        <v>8291</v>
      </c>
      <c r="O1738" s="11">
        <f t="shared" si="112"/>
        <v>1</v>
      </c>
      <c r="P1738" s="12">
        <f t="shared" si="113"/>
        <v>22</v>
      </c>
      <c r="Q1738" s="14" t="s">
        <v>8322</v>
      </c>
      <c r="R1738" t="s">
        <v>8344</v>
      </c>
      <c r="S1738" s="17">
        <f t="shared" si="114"/>
        <v>42286.861493055556</v>
      </c>
      <c r="T1738" s="17">
        <f t="shared" si="115"/>
        <v>42316.90315972222</v>
      </c>
      <c r="U1738">
        <f>MONTH(Table1[[#This Row],[Launched]])</f>
        <v>10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8220</v>
      </c>
      <c r="G1739" t="s">
        <v>8223</v>
      </c>
      <c r="H1739" t="s">
        <v>8245</v>
      </c>
      <c r="I1739" s="8">
        <v>1437432392</v>
      </c>
      <c r="J1739">
        <v>1434840392</v>
      </c>
      <c r="K1739" t="b">
        <v>0</v>
      </c>
      <c r="L1739" s="10">
        <v>15</v>
      </c>
      <c r="M1739" t="b">
        <v>0</v>
      </c>
      <c r="N1739" t="s">
        <v>8291</v>
      </c>
      <c r="O1739" s="11">
        <f t="shared" si="112"/>
        <v>21</v>
      </c>
      <c r="P1739" s="12">
        <f t="shared" si="113"/>
        <v>57</v>
      </c>
      <c r="Q1739" s="14" t="s">
        <v>8322</v>
      </c>
      <c r="R1739" t="s">
        <v>8344</v>
      </c>
      <c r="S1739" s="17">
        <f t="shared" si="114"/>
        <v>42175.948981481488</v>
      </c>
      <c r="T1739" s="17">
        <f t="shared" si="115"/>
        <v>42205.948981481488</v>
      </c>
      <c r="U1739">
        <f>MONTH(Table1[[#This Row],[Launched]])</f>
        <v>6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8220</v>
      </c>
      <c r="G1740" t="s">
        <v>8223</v>
      </c>
      <c r="H1740" t="s">
        <v>8245</v>
      </c>
      <c r="I1740" s="8">
        <v>1412283542</v>
      </c>
      <c r="J1740">
        <v>1409691542</v>
      </c>
      <c r="K1740" t="b">
        <v>0</v>
      </c>
      <c r="L1740" s="10">
        <v>1</v>
      </c>
      <c r="M1740" t="b">
        <v>0</v>
      </c>
      <c r="N1740" t="s">
        <v>8291</v>
      </c>
      <c r="O1740" s="11">
        <f t="shared" si="112"/>
        <v>0</v>
      </c>
      <c r="P1740" s="12">
        <f t="shared" si="113"/>
        <v>20</v>
      </c>
      <c r="Q1740" s="14" t="s">
        <v>8322</v>
      </c>
      <c r="R1740" t="s">
        <v>8344</v>
      </c>
      <c r="S1740" s="17">
        <f t="shared" si="114"/>
        <v>41884.874328703707</v>
      </c>
      <c r="T1740" s="17">
        <f t="shared" si="115"/>
        <v>41914.874328703707</v>
      </c>
      <c r="U1740">
        <f>MONTH(Table1[[#This Row],[Launched]])</f>
        <v>9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8220</v>
      </c>
      <c r="G1741" t="s">
        <v>8223</v>
      </c>
      <c r="H1741" t="s">
        <v>8245</v>
      </c>
      <c r="I1741" s="8">
        <v>1462391932</v>
      </c>
      <c r="J1741">
        <v>1457297932</v>
      </c>
      <c r="K1741" t="b">
        <v>0</v>
      </c>
      <c r="L1741" s="10">
        <v>1</v>
      </c>
      <c r="M1741" t="b">
        <v>0</v>
      </c>
      <c r="N1741" t="s">
        <v>8291</v>
      </c>
      <c r="O1741" s="11">
        <f t="shared" si="112"/>
        <v>0</v>
      </c>
      <c r="P1741" s="12">
        <f t="shared" si="113"/>
        <v>1</v>
      </c>
      <c r="Q1741" s="14" t="s">
        <v>8322</v>
      </c>
      <c r="R1741" t="s">
        <v>8344</v>
      </c>
      <c r="S1741" s="17">
        <f t="shared" si="114"/>
        <v>42435.874212962968</v>
      </c>
      <c r="T1741" s="17">
        <f t="shared" si="115"/>
        <v>42494.832546296297</v>
      </c>
      <c r="U1741">
        <f>MONTH(Table1[[#This Row],[Launched]])</f>
        <v>3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8220</v>
      </c>
      <c r="G1742" t="s">
        <v>8223</v>
      </c>
      <c r="H1742" t="s">
        <v>8245</v>
      </c>
      <c r="I1742" s="8">
        <v>1437075422</v>
      </c>
      <c r="J1742">
        <v>1434483422</v>
      </c>
      <c r="K1742" t="b">
        <v>0</v>
      </c>
      <c r="L1742" s="10">
        <v>0</v>
      </c>
      <c r="M1742" t="b">
        <v>0</v>
      </c>
      <c r="N1742" t="s">
        <v>8291</v>
      </c>
      <c r="O1742" s="11">
        <f t="shared" si="112"/>
        <v>0</v>
      </c>
      <c r="P1742" s="12" t="str">
        <f t="shared" si="113"/>
        <v>No Backers</v>
      </c>
      <c r="Q1742" s="14" t="s">
        <v>8322</v>
      </c>
      <c r="R1742" t="s">
        <v>8344</v>
      </c>
      <c r="S1742" s="17">
        <f t="shared" si="114"/>
        <v>42171.817384259266</v>
      </c>
      <c r="T1742" s="17">
        <f t="shared" si="115"/>
        <v>42201.817384259266</v>
      </c>
      <c r="U1742">
        <f>MONTH(Table1[[#This Row],[Launched]])</f>
        <v>6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 s="8">
        <v>1433948671</v>
      </c>
      <c r="J1743">
        <v>1430060671</v>
      </c>
      <c r="K1743" t="b">
        <v>0</v>
      </c>
      <c r="L1743" s="10">
        <v>52</v>
      </c>
      <c r="M1743" t="b">
        <v>1</v>
      </c>
      <c r="N1743" t="s">
        <v>8283</v>
      </c>
      <c r="O1743" s="11">
        <f t="shared" si="112"/>
        <v>111</v>
      </c>
      <c r="P1743" s="12">
        <f t="shared" si="113"/>
        <v>26</v>
      </c>
      <c r="Q1743" s="14" t="s">
        <v>8335</v>
      </c>
      <c r="R1743" t="s">
        <v>8336</v>
      </c>
      <c r="S1743" s="17">
        <f t="shared" si="114"/>
        <v>42120.628136574072</v>
      </c>
      <c r="T1743" s="17">
        <f t="shared" si="115"/>
        <v>42165.628136574072</v>
      </c>
      <c r="U1743">
        <f>MONTH(Table1[[#This Row],[Launched]])</f>
        <v>4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 s="8">
        <v>1483822800</v>
      </c>
      <c r="J1744">
        <v>1481058170</v>
      </c>
      <c r="K1744" t="b">
        <v>0</v>
      </c>
      <c r="L1744" s="10">
        <v>34</v>
      </c>
      <c r="M1744" t="b">
        <v>1</v>
      </c>
      <c r="N1744" t="s">
        <v>8283</v>
      </c>
      <c r="O1744" s="11">
        <f t="shared" si="112"/>
        <v>109</v>
      </c>
      <c r="P1744" s="12">
        <f t="shared" si="113"/>
        <v>64</v>
      </c>
      <c r="Q1744" s="14" t="s">
        <v>8335</v>
      </c>
      <c r="R1744" t="s">
        <v>8336</v>
      </c>
      <c r="S1744" s="17">
        <f t="shared" si="114"/>
        <v>42710.876967592587</v>
      </c>
      <c r="T1744" s="17">
        <f t="shared" si="115"/>
        <v>42742.875</v>
      </c>
      <c r="U1744">
        <f>MONTH(Table1[[#This Row],[Launched]])</f>
        <v>12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 s="8">
        <v>1472270340</v>
      </c>
      <c r="J1745">
        <v>1470348775</v>
      </c>
      <c r="K1745" t="b">
        <v>0</v>
      </c>
      <c r="L1745" s="10">
        <v>67</v>
      </c>
      <c r="M1745" t="b">
        <v>1</v>
      </c>
      <c r="N1745" t="s">
        <v>8283</v>
      </c>
      <c r="O1745" s="11">
        <f t="shared" si="112"/>
        <v>100</v>
      </c>
      <c r="P1745" s="12">
        <f t="shared" si="113"/>
        <v>90</v>
      </c>
      <c r="Q1745" s="14" t="s">
        <v>8335</v>
      </c>
      <c r="R1745" t="s">
        <v>8336</v>
      </c>
      <c r="S1745" s="17">
        <f t="shared" si="114"/>
        <v>42586.925636574073</v>
      </c>
      <c r="T1745" s="17">
        <f t="shared" si="115"/>
        <v>42609.165972222225</v>
      </c>
      <c r="U1745">
        <f>MONTH(Table1[[#This Row],[Launched]])</f>
        <v>8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 s="8">
        <v>1425821477</v>
      </c>
      <c r="J1746">
        <v>1421937077</v>
      </c>
      <c r="K1746" t="b">
        <v>0</v>
      </c>
      <c r="L1746" s="10">
        <v>70</v>
      </c>
      <c r="M1746" t="b">
        <v>1</v>
      </c>
      <c r="N1746" t="s">
        <v>8283</v>
      </c>
      <c r="O1746" s="11">
        <f t="shared" si="112"/>
        <v>118</v>
      </c>
      <c r="P1746" s="12">
        <f t="shared" si="113"/>
        <v>93</v>
      </c>
      <c r="Q1746" s="14" t="s">
        <v>8335</v>
      </c>
      <c r="R1746" t="s">
        <v>8336</v>
      </c>
      <c r="S1746" s="17">
        <f t="shared" si="114"/>
        <v>42026.605057870373</v>
      </c>
      <c r="T1746" s="17">
        <f t="shared" si="115"/>
        <v>42071.563391203701</v>
      </c>
      <c r="U1746">
        <f>MONTH(Table1[[#This Row],[Launched]])</f>
        <v>1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 s="8">
        <v>1482372000</v>
      </c>
      <c r="J1747">
        <v>1479276838</v>
      </c>
      <c r="K1747" t="b">
        <v>0</v>
      </c>
      <c r="L1747" s="10">
        <v>89</v>
      </c>
      <c r="M1747" t="b">
        <v>1</v>
      </c>
      <c r="N1747" t="s">
        <v>8283</v>
      </c>
      <c r="O1747" s="11">
        <f t="shared" si="112"/>
        <v>114</v>
      </c>
      <c r="P1747" s="12">
        <f t="shared" si="113"/>
        <v>90</v>
      </c>
      <c r="Q1747" s="14" t="s">
        <v>8335</v>
      </c>
      <c r="R1747" t="s">
        <v>8336</v>
      </c>
      <c r="S1747" s="17">
        <f t="shared" si="114"/>
        <v>42690.259699074071</v>
      </c>
      <c r="T1747" s="17">
        <f t="shared" si="115"/>
        <v>42726.083333333328</v>
      </c>
      <c r="U1747">
        <f>MONTH(Table1[[#This Row],[Launched]])</f>
        <v>11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 s="8">
        <v>1479952800</v>
      </c>
      <c r="J1748">
        <v>1477368867</v>
      </c>
      <c r="K1748" t="b">
        <v>0</v>
      </c>
      <c r="L1748" s="10">
        <v>107</v>
      </c>
      <c r="M1748" t="b">
        <v>1</v>
      </c>
      <c r="N1748" t="s">
        <v>8283</v>
      </c>
      <c r="O1748" s="11">
        <f t="shared" si="112"/>
        <v>148</v>
      </c>
      <c r="P1748" s="12">
        <f t="shared" si="113"/>
        <v>208</v>
      </c>
      <c r="Q1748" s="14" t="s">
        <v>8335</v>
      </c>
      <c r="R1748" t="s">
        <v>8336</v>
      </c>
      <c r="S1748" s="17">
        <f t="shared" si="114"/>
        <v>42668.176701388889</v>
      </c>
      <c r="T1748" s="17">
        <f t="shared" si="115"/>
        <v>42698.083333333328</v>
      </c>
      <c r="U1748">
        <f>MONTH(Table1[[#This Row],[Launched]])</f>
        <v>10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 s="8">
        <v>1447426800</v>
      </c>
      <c r="J1749">
        <v>1444904830</v>
      </c>
      <c r="K1749" t="b">
        <v>0</v>
      </c>
      <c r="L1749" s="10">
        <v>159</v>
      </c>
      <c r="M1749" t="b">
        <v>1</v>
      </c>
      <c r="N1749" t="s">
        <v>8283</v>
      </c>
      <c r="O1749" s="11">
        <f t="shared" si="112"/>
        <v>105</v>
      </c>
      <c r="P1749" s="12">
        <f t="shared" si="113"/>
        <v>59</v>
      </c>
      <c r="Q1749" s="14" t="s">
        <v>8335</v>
      </c>
      <c r="R1749" t="s">
        <v>8336</v>
      </c>
      <c r="S1749" s="17">
        <f t="shared" si="114"/>
        <v>42292.435532407413</v>
      </c>
      <c r="T1749" s="17">
        <f t="shared" si="115"/>
        <v>42321.625</v>
      </c>
      <c r="U1749">
        <f>MONTH(Table1[[#This Row],[Launched]])</f>
        <v>10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 s="8">
        <v>1441234143</v>
      </c>
      <c r="J1750">
        <v>1438642143</v>
      </c>
      <c r="K1750" t="b">
        <v>0</v>
      </c>
      <c r="L1750" s="10">
        <v>181</v>
      </c>
      <c r="M1750" t="b">
        <v>1</v>
      </c>
      <c r="N1750" t="s">
        <v>8283</v>
      </c>
      <c r="O1750" s="11">
        <f t="shared" si="112"/>
        <v>130</v>
      </c>
      <c r="P1750" s="12">
        <f t="shared" si="113"/>
        <v>359</v>
      </c>
      <c r="Q1750" s="14" t="s">
        <v>8335</v>
      </c>
      <c r="R1750" t="s">
        <v>8336</v>
      </c>
      <c r="S1750" s="17">
        <f t="shared" si="114"/>
        <v>42219.950729166667</v>
      </c>
      <c r="T1750" s="17">
        <f t="shared" si="115"/>
        <v>42249.950729166667</v>
      </c>
      <c r="U1750">
        <f>MONTH(Table1[[#This Row],[Launched]])</f>
        <v>8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 s="8">
        <v>1488394800</v>
      </c>
      <c r="J1751">
        <v>1485213921</v>
      </c>
      <c r="K1751" t="b">
        <v>0</v>
      </c>
      <c r="L1751" s="10">
        <v>131</v>
      </c>
      <c r="M1751" t="b">
        <v>1</v>
      </c>
      <c r="N1751" t="s">
        <v>8283</v>
      </c>
      <c r="O1751" s="11">
        <f t="shared" si="112"/>
        <v>123</v>
      </c>
      <c r="P1751" s="12">
        <f t="shared" si="113"/>
        <v>95</v>
      </c>
      <c r="Q1751" s="14" t="s">
        <v>8335</v>
      </c>
      <c r="R1751" t="s">
        <v>8336</v>
      </c>
      <c r="S1751" s="17">
        <f t="shared" si="114"/>
        <v>42758.975937499999</v>
      </c>
      <c r="T1751" s="17">
        <f t="shared" si="115"/>
        <v>42795.791666666672</v>
      </c>
      <c r="U1751">
        <f>MONTH(Table1[[#This Row],[Launched]])</f>
        <v>1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 s="8">
        <v>1461096304</v>
      </c>
      <c r="J1752">
        <v>1458936304</v>
      </c>
      <c r="K1752" t="b">
        <v>0</v>
      </c>
      <c r="L1752" s="10">
        <v>125</v>
      </c>
      <c r="M1752" t="b">
        <v>1</v>
      </c>
      <c r="N1752" t="s">
        <v>8283</v>
      </c>
      <c r="O1752" s="11">
        <f t="shared" si="112"/>
        <v>202</v>
      </c>
      <c r="P1752" s="12">
        <f t="shared" si="113"/>
        <v>81</v>
      </c>
      <c r="Q1752" s="14" t="s">
        <v>8335</v>
      </c>
      <c r="R1752" t="s">
        <v>8336</v>
      </c>
      <c r="S1752" s="17">
        <f t="shared" si="114"/>
        <v>42454.836851851855</v>
      </c>
      <c r="T1752" s="17">
        <f t="shared" si="115"/>
        <v>42479.836851851855</v>
      </c>
      <c r="U1752">
        <f>MONTH(Table1[[#This Row],[Launched]])</f>
        <v>3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 s="8">
        <v>1426787123</v>
      </c>
      <c r="J1753">
        <v>1424198723</v>
      </c>
      <c r="K1753" t="b">
        <v>0</v>
      </c>
      <c r="L1753" s="10">
        <v>61</v>
      </c>
      <c r="M1753" t="b">
        <v>1</v>
      </c>
      <c r="N1753" t="s">
        <v>8283</v>
      </c>
      <c r="O1753" s="11">
        <f t="shared" si="112"/>
        <v>103</v>
      </c>
      <c r="P1753" s="12">
        <f t="shared" si="113"/>
        <v>169</v>
      </c>
      <c r="Q1753" s="14" t="s">
        <v>8335</v>
      </c>
      <c r="R1753" t="s">
        <v>8336</v>
      </c>
      <c r="S1753" s="17">
        <f t="shared" si="114"/>
        <v>42052.7815162037</v>
      </c>
      <c r="T1753" s="17">
        <f t="shared" si="115"/>
        <v>42082.739849537036</v>
      </c>
      <c r="U1753">
        <f>MONTH(Table1[[#This Row],[Launched]])</f>
        <v>2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 s="8">
        <v>1476425082</v>
      </c>
      <c r="J1754">
        <v>1473833082</v>
      </c>
      <c r="K1754" t="b">
        <v>0</v>
      </c>
      <c r="L1754" s="10">
        <v>90</v>
      </c>
      <c r="M1754" t="b">
        <v>1</v>
      </c>
      <c r="N1754" t="s">
        <v>8283</v>
      </c>
      <c r="O1754" s="11">
        <f t="shared" si="112"/>
        <v>260</v>
      </c>
      <c r="P1754" s="12">
        <f t="shared" si="113"/>
        <v>35</v>
      </c>
      <c r="Q1754" s="14" t="s">
        <v>8335</v>
      </c>
      <c r="R1754" t="s">
        <v>8336</v>
      </c>
      <c r="S1754" s="17">
        <f t="shared" si="114"/>
        <v>42627.253263888888</v>
      </c>
      <c r="T1754" s="17">
        <f t="shared" si="115"/>
        <v>42657.253263888888</v>
      </c>
      <c r="U1754">
        <f>MONTH(Table1[[#This Row],[Launched]])</f>
        <v>9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 s="8">
        <v>1458579568</v>
      </c>
      <c r="J1755">
        <v>1455991168</v>
      </c>
      <c r="K1755" t="b">
        <v>0</v>
      </c>
      <c r="L1755" s="10">
        <v>35</v>
      </c>
      <c r="M1755" t="b">
        <v>1</v>
      </c>
      <c r="N1755" t="s">
        <v>8283</v>
      </c>
      <c r="O1755" s="11">
        <f t="shared" si="112"/>
        <v>108</v>
      </c>
      <c r="P1755" s="12">
        <f t="shared" si="113"/>
        <v>463</v>
      </c>
      <c r="Q1755" s="14" t="s">
        <v>8335</v>
      </c>
      <c r="R1755" t="s">
        <v>8336</v>
      </c>
      <c r="S1755" s="17">
        <f t="shared" si="114"/>
        <v>42420.74962962963</v>
      </c>
      <c r="T1755" s="17">
        <f t="shared" si="115"/>
        <v>42450.707962962959</v>
      </c>
      <c r="U1755">
        <f>MONTH(Table1[[#This Row],[Launched]])</f>
        <v>2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 s="8">
        <v>1428091353</v>
      </c>
      <c r="J1756">
        <v>1425502953</v>
      </c>
      <c r="K1756" t="b">
        <v>0</v>
      </c>
      <c r="L1756" s="10">
        <v>90</v>
      </c>
      <c r="M1756" t="b">
        <v>1</v>
      </c>
      <c r="N1756" t="s">
        <v>8283</v>
      </c>
      <c r="O1756" s="11">
        <f t="shared" si="112"/>
        <v>111</v>
      </c>
      <c r="P1756" s="12">
        <f t="shared" si="113"/>
        <v>104</v>
      </c>
      <c r="Q1756" s="14" t="s">
        <v>8335</v>
      </c>
      <c r="R1756" t="s">
        <v>8336</v>
      </c>
      <c r="S1756" s="17">
        <f t="shared" si="114"/>
        <v>42067.876770833333</v>
      </c>
      <c r="T1756" s="17">
        <f t="shared" si="115"/>
        <v>42097.835104166668</v>
      </c>
      <c r="U1756">
        <f>MONTH(Table1[[#This Row],[Launched]])</f>
        <v>3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8218</v>
      </c>
      <c r="G1757" t="s">
        <v>8223</v>
      </c>
      <c r="H1757" t="s">
        <v>8245</v>
      </c>
      <c r="I1757" s="8">
        <v>1444071361</v>
      </c>
      <c r="J1757">
        <v>1441479361</v>
      </c>
      <c r="K1757" t="b">
        <v>0</v>
      </c>
      <c r="L1757" s="10">
        <v>4</v>
      </c>
      <c r="M1757" t="b">
        <v>1</v>
      </c>
      <c r="N1757" t="s">
        <v>8283</v>
      </c>
      <c r="O1757" s="11">
        <f t="shared" si="112"/>
        <v>120</v>
      </c>
      <c r="P1757" s="12">
        <f t="shared" si="113"/>
        <v>8</v>
      </c>
      <c r="Q1757" s="14" t="s">
        <v>8335</v>
      </c>
      <c r="R1757" t="s">
        <v>8336</v>
      </c>
      <c r="S1757" s="17">
        <f t="shared" si="114"/>
        <v>42252.788900462961</v>
      </c>
      <c r="T1757" s="17">
        <f t="shared" si="115"/>
        <v>42282.788900462961</v>
      </c>
      <c r="U1757">
        <f>MONTH(Table1[[#This Row],[Launched]])</f>
        <v>9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 s="8">
        <v>1472443269</v>
      </c>
      <c r="J1758">
        <v>1468987269</v>
      </c>
      <c r="K1758" t="b">
        <v>0</v>
      </c>
      <c r="L1758" s="10">
        <v>120</v>
      </c>
      <c r="M1758" t="b">
        <v>1</v>
      </c>
      <c r="N1758" t="s">
        <v>8283</v>
      </c>
      <c r="O1758" s="11">
        <f t="shared" si="112"/>
        <v>103</v>
      </c>
      <c r="P1758" s="12">
        <f t="shared" si="113"/>
        <v>47</v>
      </c>
      <c r="Q1758" s="14" t="s">
        <v>8335</v>
      </c>
      <c r="R1758" t="s">
        <v>8336</v>
      </c>
      <c r="S1758" s="17">
        <f t="shared" si="114"/>
        <v>42571.167465277773</v>
      </c>
      <c r="T1758" s="17">
        <f t="shared" si="115"/>
        <v>42611.167465277773</v>
      </c>
      <c r="U1758">
        <f>MONTH(Table1[[#This Row],[Launched]])</f>
        <v>7</v>
      </c>
    </row>
    <row r="1759" spans="1:21" ht="43.2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 s="8">
        <v>1485631740</v>
      </c>
      <c r="J1759">
        <v>1483041083</v>
      </c>
      <c r="K1759" t="b">
        <v>0</v>
      </c>
      <c r="L1759" s="10">
        <v>14</v>
      </c>
      <c r="M1759" t="b">
        <v>1</v>
      </c>
      <c r="N1759" t="s">
        <v>8283</v>
      </c>
      <c r="O1759" s="11">
        <f t="shared" si="112"/>
        <v>116</v>
      </c>
      <c r="P1759" s="12">
        <f t="shared" si="113"/>
        <v>414</v>
      </c>
      <c r="Q1759" s="14" t="s">
        <v>8335</v>
      </c>
      <c r="R1759" t="s">
        <v>8336</v>
      </c>
      <c r="S1759" s="17">
        <f t="shared" si="114"/>
        <v>42733.827349537038</v>
      </c>
      <c r="T1759" s="17">
        <f t="shared" si="115"/>
        <v>42763.811805555553</v>
      </c>
      <c r="U1759">
        <f>MONTH(Table1[[#This Row],[Launched]])</f>
        <v>12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 s="8">
        <v>1468536992</v>
      </c>
      <c r="J1760">
        <v>1463352992</v>
      </c>
      <c r="K1760" t="b">
        <v>0</v>
      </c>
      <c r="L1760" s="10">
        <v>27</v>
      </c>
      <c r="M1760" t="b">
        <v>1</v>
      </c>
      <c r="N1760" t="s">
        <v>8283</v>
      </c>
      <c r="O1760" s="11">
        <f t="shared" si="112"/>
        <v>115</v>
      </c>
      <c r="P1760" s="12">
        <f t="shared" si="113"/>
        <v>42</v>
      </c>
      <c r="Q1760" s="14" t="s">
        <v>8335</v>
      </c>
      <c r="R1760" t="s">
        <v>8336</v>
      </c>
      <c r="S1760" s="17">
        <f t="shared" si="114"/>
        <v>42505.955925925926</v>
      </c>
      <c r="T1760" s="17">
        <f t="shared" si="115"/>
        <v>42565.955925925926</v>
      </c>
      <c r="U1760">
        <f>MONTH(Table1[[#This Row],[Launched]])</f>
        <v>5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 s="8">
        <v>1427309629</v>
      </c>
      <c r="J1761">
        <v>1425585229</v>
      </c>
      <c r="K1761" t="b">
        <v>0</v>
      </c>
      <c r="L1761" s="10">
        <v>49</v>
      </c>
      <c r="M1761" t="b">
        <v>1</v>
      </c>
      <c r="N1761" t="s">
        <v>8283</v>
      </c>
      <c r="O1761" s="11">
        <f t="shared" si="112"/>
        <v>107</v>
      </c>
      <c r="P1761" s="12">
        <f t="shared" si="113"/>
        <v>109</v>
      </c>
      <c r="Q1761" s="14" t="s">
        <v>8335</v>
      </c>
      <c r="R1761" t="s">
        <v>8336</v>
      </c>
      <c r="S1761" s="17">
        <f t="shared" si="114"/>
        <v>42068.829039351855</v>
      </c>
      <c r="T1761" s="17">
        <f t="shared" si="115"/>
        <v>42088.787372685183</v>
      </c>
      <c r="U1761">
        <f>MONTH(Table1[[#This Row],[Launched]])</f>
        <v>3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 s="8">
        <v>1456416513</v>
      </c>
      <c r="J1762">
        <v>1454688513</v>
      </c>
      <c r="K1762" t="b">
        <v>0</v>
      </c>
      <c r="L1762" s="10">
        <v>102</v>
      </c>
      <c r="M1762" t="b">
        <v>1</v>
      </c>
      <c r="N1762" t="s">
        <v>8283</v>
      </c>
      <c r="O1762" s="11">
        <f t="shared" si="112"/>
        <v>165</v>
      </c>
      <c r="P1762" s="12">
        <f t="shared" si="113"/>
        <v>81</v>
      </c>
      <c r="Q1762" s="14" t="s">
        <v>8335</v>
      </c>
      <c r="R1762" t="s">
        <v>8336</v>
      </c>
      <c r="S1762" s="17">
        <f t="shared" si="114"/>
        <v>42405.67260416667</v>
      </c>
      <c r="T1762" s="17">
        <f t="shared" si="115"/>
        <v>42425.67260416667</v>
      </c>
      <c r="U1762">
        <f>MONTH(Table1[[#This Row],[Launched]])</f>
        <v>2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8218</v>
      </c>
      <c r="G1763" t="s">
        <v>8224</v>
      </c>
      <c r="H1763" t="s">
        <v>8246</v>
      </c>
      <c r="I1763" s="8">
        <v>1442065060</v>
      </c>
      <c r="J1763">
        <v>1437745060</v>
      </c>
      <c r="K1763" t="b">
        <v>0</v>
      </c>
      <c r="L1763" s="10">
        <v>3</v>
      </c>
      <c r="M1763" t="b">
        <v>1</v>
      </c>
      <c r="N1763" t="s">
        <v>8283</v>
      </c>
      <c r="O1763" s="11">
        <f t="shared" si="112"/>
        <v>155</v>
      </c>
      <c r="P1763" s="12">
        <f t="shared" si="113"/>
        <v>52</v>
      </c>
      <c r="Q1763" s="14" t="s">
        <v>8335</v>
      </c>
      <c r="R1763" t="s">
        <v>8336</v>
      </c>
      <c r="S1763" s="17">
        <f t="shared" si="114"/>
        <v>42209.567824074074</v>
      </c>
      <c r="T1763" s="17">
        <f t="shared" si="115"/>
        <v>42259.567824074074</v>
      </c>
      <c r="U1763">
        <f>MONTH(Table1[[#This Row],[Launched]])</f>
        <v>7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8218</v>
      </c>
      <c r="G1764" t="s">
        <v>8223</v>
      </c>
      <c r="H1764" t="s">
        <v>8245</v>
      </c>
      <c r="I1764" s="8">
        <v>1457739245</v>
      </c>
      <c r="J1764">
        <v>1455147245</v>
      </c>
      <c r="K1764" t="b">
        <v>0</v>
      </c>
      <c r="L1764" s="10">
        <v>25</v>
      </c>
      <c r="M1764" t="b">
        <v>1</v>
      </c>
      <c r="N1764" t="s">
        <v>8283</v>
      </c>
      <c r="O1764" s="11">
        <f t="shared" si="112"/>
        <v>885</v>
      </c>
      <c r="P1764" s="12">
        <f t="shared" si="113"/>
        <v>35</v>
      </c>
      <c r="Q1764" s="14" t="s">
        <v>8335</v>
      </c>
      <c r="R1764" t="s">
        <v>8336</v>
      </c>
      <c r="S1764" s="17">
        <f t="shared" si="114"/>
        <v>42410.982002314813</v>
      </c>
      <c r="T1764" s="17">
        <f t="shared" si="115"/>
        <v>42440.982002314813</v>
      </c>
      <c r="U1764">
        <f>MONTH(Table1[[#This Row],[Launched]])</f>
        <v>2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 s="8">
        <v>1477255840</v>
      </c>
      <c r="J1765">
        <v>1474663840</v>
      </c>
      <c r="K1765" t="b">
        <v>0</v>
      </c>
      <c r="L1765" s="10">
        <v>118</v>
      </c>
      <c r="M1765" t="b">
        <v>1</v>
      </c>
      <c r="N1765" t="s">
        <v>8283</v>
      </c>
      <c r="O1765" s="11">
        <f t="shared" si="112"/>
        <v>102</v>
      </c>
      <c r="P1765" s="12">
        <f t="shared" si="113"/>
        <v>104</v>
      </c>
      <c r="Q1765" s="14" t="s">
        <v>8335</v>
      </c>
      <c r="R1765" t="s">
        <v>8336</v>
      </c>
      <c r="S1765" s="17">
        <f t="shared" si="114"/>
        <v>42636.868518518517</v>
      </c>
      <c r="T1765" s="17">
        <f t="shared" si="115"/>
        <v>42666.868518518517</v>
      </c>
      <c r="U1765">
        <f>MONTH(Table1[[#This Row],[Launched]])</f>
        <v>9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 s="8">
        <v>1407065979</v>
      </c>
      <c r="J1766">
        <v>1404560379</v>
      </c>
      <c r="K1766" t="b">
        <v>1</v>
      </c>
      <c r="L1766" s="10">
        <v>39</v>
      </c>
      <c r="M1766" t="b">
        <v>0</v>
      </c>
      <c r="N1766" t="s">
        <v>8283</v>
      </c>
      <c r="O1766" s="11">
        <f t="shared" si="112"/>
        <v>20</v>
      </c>
      <c r="P1766" s="12">
        <f t="shared" si="113"/>
        <v>55</v>
      </c>
      <c r="Q1766" s="14" t="s">
        <v>8335</v>
      </c>
      <c r="R1766" t="s">
        <v>8336</v>
      </c>
      <c r="S1766" s="17">
        <f t="shared" si="114"/>
        <v>41825.485868055555</v>
      </c>
      <c r="T1766" s="17">
        <f t="shared" si="115"/>
        <v>41854.485868055555</v>
      </c>
      <c r="U1766">
        <f>MONTH(Table1[[#This Row],[Launched]])</f>
        <v>7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 s="8">
        <v>1407972712</v>
      </c>
      <c r="J1767">
        <v>1405380712</v>
      </c>
      <c r="K1767" t="b">
        <v>1</v>
      </c>
      <c r="L1767" s="10">
        <v>103</v>
      </c>
      <c r="M1767" t="b">
        <v>0</v>
      </c>
      <c r="N1767" t="s">
        <v>8283</v>
      </c>
      <c r="O1767" s="11">
        <f t="shared" si="112"/>
        <v>59</v>
      </c>
      <c r="P1767" s="12">
        <f t="shared" si="113"/>
        <v>72</v>
      </c>
      <c r="Q1767" s="14" t="s">
        <v>8335</v>
      </c>
      <c r="R1767" t="s">
        <v>8336</v>
      </c>
      <c r="S1767" s="17">
        <f t="shared" si="114"/>
        <v>41834.980462962965</v>
      </c>
      <c r="T1767" s="17">
        <f t="shared" si="115"/>
        <v>41864.980462962965</v>
      </c>
      <c r="U1767">
        <f>MONTH(Table1[[#This Row],[Launched]])</f>
        <v>7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8220</v>
      </c>
      <c r="G1768" t="s">
        <v>8225</v>
      </c>
      <c r="H1768" t="s">
        <v>8247</v>
      </c>
      <c r="I1768" s="8">
        <v>1408999088</v>
      </c>
      <c r="J1768">
        <v>1407184688</v>
      </c>
      <c r="K1768" t="b">
        <v>1</v>
      </c>
      <c r="L1768" s="10">
        <v>0</v>
      </c>
      <c r="M1768" t="b">
        <v>0</v>
      </c>
      <c r="N1768" t="s">
        <v>8283</v>
      </c>
      <c r="O1768" s="11">
        <f t="shared" si="112"/>
        <v>0</v>
      </c>
      <c r="P1768" s="12" t="str">
        <f t="shared" si="113"/>
        <v>No Backers</v>
      </c>
      <c r="Q1768" s="14" t="s">
        <v>8335</v>
      </c>
      <c r="R1768" t="s">
        <v>8336</v>
      </c>
      <c r="S1768" s="17">
        <f t="shared" si="114"/>
        <v>41855.859814814816</v>
      </c>
      <c r="T1768" s="17">
        <f t="shared" si="115"/>
        <v>41876.859814814816</v>
      </c>
      <c r="U1768">
        <f>MONTH(Table1[[#This Row],[Launched]])</f>
        <v>8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 s="8">
        <v>1407080884</v>
      </c>
      <c r="J1769">
        <v>1404488884</v>
      </c>
      <c r="K1769" t="b">
        <v>1</v>
      </c>
      <c r="L1769" s="10">
        <v>39</v>
      </c>
      <c r="M1769" t="b">
        <v>0</v>
      </c>
      <c r="N1769" t="s">
        <v>8283</v>
      </c>
      <c r="O1769" s="11">
        <f t="shared" si="112"/>
        <v>46</v>
      </c>
      <c r="P1769" s="12">
        <f t="shared" si="113"/>
        <v>59</v>
      </c>
      <c r="Q1769" s="14" t="s">
        <v>8335</v>
      </c>
      <c r="R1769" t="s">
        <v>8336</v>
      </c>
      <c r="S1769" s="17">
        <f t="shared" si="114"/>
        <v>41824.658379629633</v>
      </c>
      <c r="T1769" s="17">
        <f t="shared" si="115"/>
        <v>41854.658379629633</v>
      </c>
      <c r="U1769">
        <f>MONTH(Table1[[#This Row],[Launched]])</f>
        <v>7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8220</v>
      </c>
      <c r="G1770" t="s">
        <v>8223</v>
      </c>
      <c r="H1770" t="s">
        <v>8245</v>
      </c>
      <c r="I1770" s="8">
        <v>1411824444</v>
      </c>
      <c r="J1770">
        <v>1406640444</v>
      </c>
      <c r="K1770" t="b">
        <v>1</v>
      </c>
      <c r="L1770" s="10">
        <v>15</v>
      </c>
      <c r="M1770" t="b">
        <v>0</v>
      </c>
      <c r="N1770" t="s">
        <v>8283</v>
      </c>
      <c r="O1770" s="11">
        <f t="shared" si="112"/>
        <v>4</v>
      </c>
      <c r="P1770" s="12">
        <f t="shared" si="113"/>
        <v>12</v>
      </c>
      <c r="Q1770" s="14" t="s">
        <v>8335</v>
      </c>
      <c r="R1770" t="s">
        <v>8336</v>
      </c>
      <c r="S1770" s="17">
        <f t="shared" si="114"/>
        <v>41849.560694444444</v>
      </c>
      <c r="T1770" s="17">
        <f t="shared" si="115"/>
        <v>41909.560694444444</v>
      </c>
      <c r="U1770">
        <f>MONTH(Table1[[#This Row],[Launched]])</f>
        <v>7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 s="8">
        <v>1421177959</v>
      </c>
      <c r="J1771">
        <v>1418585959</v>
      </c>
      <c r="K1771" t="b">
        <v>1</v>
      </c>
      <c r="L1771" s="10">
        <v>22</v>
      </c>
      <c r="M1771" t="b">
        <v>0</v>
      </c>
      <c r="N1771" t="s">
        <v>8283</v>
      </c>
      <c r="O1771" s="11">
        <f t="shared" si="112"/>
        <v>3</v>
      </c>
      <c r="P1771" s="12">
        <f t="shared" si="113"/>
        <v>49</v>
      </c>
      <c r="Q1771" s="14" t="s">
        <v>8335</v>
      </c>
      <c r="R1771" t="s">
        <v>8336</v>
      </c>
      <c r="S1771" s="17">
        <f t="shared" si="114"/>
        <v>41987.818969907406</v>
      </c>
      <c r="T1771" s="17">
        <f t="shared" si="115"/>
        <v>42017.818969907406</v>
      </c>
      <c r="U1771">
        <f>MONTH(Table1[[#This Row],[Launched]])</f>
        <v>12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 s="8">
        <v>1413312194</v>
      </c>
      <c r="J1772">
        <v>1410288194</v>
      </c>
      <c r="K1772" t="b">
        <v>1</v>
      </c>
      <c r="L1772" s="10">
        <v>92</v>
      </c>
      <c r="M1772" t="b">
        <v>0</v>
      </c>
      <c r="N1772" t="s">
        <v>8283</v>
      </c>
      <c r="O1772" s="11">
        <f t="shared" si="112"/>
        <v>57</v>
      </c>
      <c r="P1772" s="12">
        <f t="shared" si="113"/>
        <v>151</v>
      </c>
      <c r="Q1772" s="14" t="s">
        <v>8335</v>
      </c>
      <c r="R1772" t="s">
        <v>8336</v>
      </c>
      <c r="S1772" s="17">
        <f t="shared" si="114"/>
        <v>41891.780023148152</v>
      </c>
      <c r="T1772" s="17">
        <f t="shared" si="115"/>
        <v>41926.780023148152</v>
      </c>
      <c r="U1772">
        <f>MONTH(Table1[[#This Row],[Launched]])</f>
        <v>9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8220</v>
      </c>
      <c r="G1773" t="s">
        <v>8224</v>
      </c>
      <c r="H1773" t="s">
        <v>8246</v>
      </c>
      <c r="I1773" s="8">
        <v>1414107040</v>
      </c>
      <c r="J1773">
        <v>1411515040</v>
      </c>
      <c r="K1773" t="b">
        <v>1</v>
      </c>
      <c r="L1773" s="10">
        <v>25</v>
      </c>
      <c r="M1773" t="b">
        <v>0</v>
      </c>
      <c r="N1773" t="s">
        <v>8283</v>
      </c>
      <c r="O1773" s="11">
        <f t="shared" si="112"/>
        <v>21</v>
      </c>
      <c r="P1773" s="12">
        <f t="shared" si="113"/>
        <v>36</v>
      </c>
      <c r="Q1773" s="14" t="s">
        <v>8335</v>
      </c>
      <c r="R1773" t="s">
        <v>8336</v>
      </c>
      <c r="S1773" s="17">
        <f t="shared" si="114"/>
        <v>41905.979629629634</v>
      </c>
      <c r="T1773" s="17">
        <f t="shared" si="115"/>
        <v>41935.979629629634</v>
      </c>
      <c r="U1773">
        <f>MONTH(Table1[[#This Row],[Launched]])</f>
        <v>9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8220</v>
      </c>
      <c r="G1774" t="s">
        <v>8224</v>
      </c>
      <c r="H1774" t="s">
        <v>8246</v>
      </c>
      <c r="I1774" s="8">
        <v>1404666836</v>
      </c>
      <c r="J1774">
        <v>1399482836</v>
      </c>
      <c r="K1774" t="b">
        <v>1</v>
      </c>
      <c r="L1774" s="10">
        <v>19</v>
      </c>
      <c r="M1774" t="b">
        <v>0</v>
      </c>
      <c r="N1774" t="s">
        <v>8283</v>
      </c>
      <c r="O1774" s="11">
        <f t="shared" si="112"/>
        <v>16</v>
      </c>
      <c r="P1774" s="12">
        <f t="shared" si="113"/>
        <v>45</v>
      </c>
      <c r="Q1774" s="14" t="s">
        <v>8335</v>
      </c>
      <c r="R1774" t="s">
        <v>8336</v>
      </c>
      <c r="S1774" s="17">
        <f t="shared" si="114"/>
        <v>41766.718009259261</v>
      </c>
      <c r="T1774" s="17">
        <f t="shared" si="115"/>
        <v>41826.718009259261</v>
      </c>
      <c r="U1774">
        <f>MONTH(Table1[[#This Row],[Launched]])</f>
        <v>5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 s="8">
        <v>1421691298</v>
      </c>
      <c r="J1775">
        <v>1417803298</v>
      </c>
      <c r="K1775" t="b">
        <v>1</v>
      </c>
      <c r="L1775" s="10">
        <v>19</v>
      </c>
      <c r="M1775" t="b">
        <v>0</v>
      </c>
      <c r="N1775" t="s">
        <v>8283</v>
      </c>
      <c r="O1775" s="11">
        <f t="shared" si="112"/>
        <v>6</v>
      </c>
      <c r="P1775" s="12">
        <f t="shared" si="113"/>
        <v>99</v>
      </c>
      <c r="Q1775" s="14" t="s">
        <v>8335</v>
      </c>
      <c r="R1775" t="s">
        <v>8336</v>
      </c>
      <c r="S1775" s="17">
        <f t="shared" si="114"/>
        <v>41978.760393518518</v>
      </c>
      <c r="T1775" s="17">
        <f t="shared" si="115"/>
        <v>42023.760393518518</v>
      </c>
      <c r="U1775">
        <f>MONTH(Table1[[#This Row],[Launched]])</f>
        <v>12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 s="8">
        <v>1417273140</v>
      </c>
      <c r="J1776">
        <v>1413609292</v>
      </c>
      <c r="K1776" t="b">
        <v>1</v>
      </c>
      <c r="L1776" s="10">
        <v>13</v>
      </c>
      <c r="M1776" t="b">
        <v>0</v>
      </c>
      <c r="N1776" t="s">
        <v>8283</v>
      </c>
      <c r="O1776" s="11">
        <f t="shared" si="112"/>
        <v>46</v>
      </c>
      <c r="P1776" s="12">
        <f t="shared" si="113"/>
        <v>88</v>
      </c>
      <c r="Q1776" s="14" t="s">
        <v>8335</v>
      </c>
      <c r="R1776" t="s">
        <v>8336</v>
      </c>
      <c r="S1776" s="17">
        <f t="shared" si="114"/>
        <v>41930.218657407408</v>
      </c>
      <c r="T1776" s="17">
        <f t="shared" si="115"/>
        <v>41972.624305555553</v>
      </c>
      <c r="U1776">
        <f>MONTH(Table1[[#This Row],[Launched]])</f>
        <v>10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 s="8">
        <v>1414193160</v>
      </c>
      <c r="J1777">
        <v>1410305160</v>
      </c>
      <c r="K1777" t="b">
        <v>1</v>
      </c>
      <c r="L1777" s="10">
        <v>124</v>
      </c>
      <c r="M1777" t="b">
        <v>0</v>
      </c>
      <c r="N1777" t="s">
        <v>8283</v>
      </c>
      <c r="O1777" s="11">
        <f t="shared" si="112"/>
        <v>65</v>
      </c>
      <c r="P1777" s="12">
        <f t="shared" si="113"/>
        <v>171</v>
      </c>
      <c r="Q1777" s="14" t="s">
        <v>8335</v>
      </c>
      <c r="R1777" t="s">
        <v>8336</v>
      </c>
      <c r="S1777" s="17">
        <f t="shared" si="114"/>
        <v>41891.976388888892</v>
      </c>
      <c r="T1777" s="17">
        <f t="shared" si="115"/>
        <v>41936.976388888892</v>
      </c>
      <c r="U1777">
        <f>MONTH(Table1[[#This Row],[Launched]])</f>
        <v>9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8220</v>
      </c>
      <c r="G1778" t="s">
        <v>8224</v>
      </c>
      <c r="H1778" t="s">
        <v>8246</v>
      </c>
      <c r="I1778" s="8">
        <v>1414623471</v>
      </c>
      <c r="J1778">
        <v>1411513071</v>
      </c>
      <c r="K1778" t="b">
        <v>1</v>
      </c>
      <c r="L1778" s="10">
        <v>4</v>
      </c>
      <c r="M1778" t="b">
        <v>0</v>
      </c>
      <c r="N1778" t="s">
        <v>8283</v>
      </c>
      <c r="O1778" s="11">
        <f t="shared" si="112"/>
        <v>7</v>
      </c>
      <c r="P1778" s="12">
        <f t="shared" si="113"/>
        <v>84</v>
      </c>
      <c r="Q1778" s="14" t="s">
        <v>8335</v>
      </c>
      <c r="R1778" t="s">
        <v>8336</v>
      </c>
      <c r="S1778" s="17">
        <f t="shared" si="114"/>
        <v>41905.95684027778</v>
      </c>
      <c r="T1778" s="17">
        <f t="shared" si="115"/>
        <v>41941.95684027778</v>
      </c>
      <c r="U1778">
        <f>MONTH(Table1[[#This Row],[Launched]])</f>
        <v>9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8220</v>
      </c>
      <c r="G1779" t="s">
        <v>8232</v>
      </c>
      <c r="H1779" t="s">
        <v>8248</v>
      </c>
      <c r="I1779" s="8">
        <v>1424421253</v>
      </c>
      <c r="J1779">
        <v>1421829253</v>
      </c>
      <c r="K1779" t="b">
        <v>1</v>
      </c>
      <c r="L1779" s="10">
        <v>10</v>
      </c>
      <c r="M1779" t="b">
        <v>0</v>
      </c>
      <c r="N1779" t="s">
        <v>8283</v>
      </c>
      <c r="O1779" s="11">
        <f t="shared" si="112"/>
        <v>14</v>
      </c>
      <c r="P1779" s="12">
        <f t="shared" si="113"/>
        <v>65</v>
      </c>
      <c r="Q1779" s="14" t="s">
        <v>8335</v>
      </c>
      <c r="R1779" t="s">
        <v>8336</v>
      </c>
      <c r="S1779" s="17">
        <f t="shared" si="114"/>
        <v>42025.357094907406</v>
      </c>
      <c r="T1779" s="17">
        <f t="shared" si="115"/>
        <v>42055.357094907406</v>
      </c>
      <c r="U1779">
        <f>MONTH(Table1[[#This Row],[Launched]])</f>
        <v>1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 s="8">
        <v>1427485395</v>
      </c>
      <c r="J1780">
        <v>1423600995</v>
      </c>
      <c r="K1780" t="b">
        <v>1</v>
      </c>
      <c r="L1780" s="10">
        <v>15</v>
      </c>
      <c r="M1780" t="b">
        <v>0</v>
      </c>
      <c r="N1780" t="s">
        <v>8283</v>
      </c>
      <c r="O1780" s="11">
        <f t="shared" si="112"/>
        <v>2</v>
      </c>
      <c r="P1780" s="12">
        <f t="shared" si="113"/>
        <v>66</v>
      </c>
      <c r="Q1780" s="14" t="s">
        <v>8335</v>
      </c>
      <c r="R1780" t="s">
        <v>8336</v>
      </c>
      <c r="S1780" s="17">
        <f t="shared" si="114"/>
        <v>42045.86336805555</v>
      </c>
      <c r="T1780" s="17">
        <f t="shared" si="115"/>
        <v>42090.821701388893</v>
      </c>
      <c r="U1780">
        <f>MONTH(Table1[[#This Row],[Launched]])</f>
        <v>2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 s="8">
        <v>1472834180</v>
      </c>
      <c r="J1781">
        <v>1470242180</v>
      </c>
      <c r="K1781" t="b">
        <v>1</v>
      </c>
      <c r="L1781" s="10">
        <v>38</v>
      </c>
      <c r="M1781" t="b">
        <v>0</v>
      </c>
      <c r="N1781" t="s">
        <v>8283</v>
      </c>
      <c r="O1781" s="11">
        <f t="shared" si="112"/>
        <v>36</v>
      </c>
      <c r="P1781" s="12">
        <f t="shared" si="113"/>
        <v>105</v>
      </c>
      <c r="Q1781" s="14" t="s">
        <v>8335</v>
      </c>
      <c r="R1781" t="s">
        <v>8336</v>
      </c>
      <c r="S1781" s="17">
        <f t="shared" si="114"/>
        <v>42585.691898148143</v>
      </c>
      <c r="T1781" s="17">
        <f t="shared" si="115"/>
        <v>42615.691898148143</v>
      </c>
      <c r="U1781">
        <f>MONTH(Table1[[#This Row],[Launched]])</f>
        <v>8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 s="8">
        <v>1467469510</v>
      </c>
      <c r="J1782">
        <v>1462285510</v>
      </c>
      <c r="K1782" t="b">
        <v>1</v>
      </c>
      <c r="L1782" s="10">
        <v>152</v>
      </c>
      <c r="M1782" t="b">
        <v>0</v>
      </c>
      <c r="N1782" t="s">
        <v>8283</v>
      </c>
      <c r="O1782" s="11">
        <f t="shared" si="112"/>
        <v>40</v>
      </c>
      <c r="P1782" s="12">
        <f t="shared" si="113"/>
        <v>78</v>
      </c>
      <c r="Q1782" s="14" t="s">
        <v>8335</v>
      </c>
      <c r="R1782" t="s">
        <v>8336</v>
      </c>
      <c r="S1782" s="17">
        <f t="shared" si="114"/>
        <v>42493.600810185191</v>
      </c>
      <c r="T1782" s="17">
        <f t="shared" si="115"/>
        <v>42553.600810185191</v>
      </c>
      <c r="U1782">
        <f>MONTH(Table1[[#This Row],[Launched]])</f>
        <v>5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 s="8">
        <v>1473950945</v>
      </c>
      <c r="J1783">
        <v>1471272545</v>
      </c>
      <c r="K1783" t="b">
        <v>1</v>
      </c>
      <c r="L1783" s="10">
        <v>24</v>
      </c>
      <c r="M1783" t="b">
        <v>0</v>
      </c>
      <c r="N1783" t="s">
        <v>8283</v>
      </c>
      <c r="O1783" s="11">
        <f t="shared" si="112"/>
        <v>26</v>
      </c>
      <c r="P1783" s="12">
        <f t="shared" si="113"/>
        <v>59</v>
      </c>
      <c r="Q1783" s="14" t="s">
        <v>8335</v>
      </c>
      <c r="R1783" t="s">
        <v>8336</v>
      </c>
      <c r="S1783" s="17">
        <f t="shared" si="114"/>
        <v>42597.617418981477</v>
      </c>
      <c r="T1783" s="17">
        <f t="shared" si="115"/>
        <v>42628.617418981477</v>
      </c>
      <c r="U1783">
        <f>MONTH(Table1[[#This Row],[Launched]])</f>
        <v>8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 s="8">
        <v>1456062489</v>
      </c>
      <c r="J1784">
        <v>1453211289</v>
      </c>
      <c r="K1784" t="b">
        <v>1</v>
      </c>
      <c r="L1784" s="10">
        <v>76</v>
      </c>
      <c r="M1784" t="b">
        <v>0</v>
      </c>
      <c r="N1784" t="s">
        <v>8283</v>
      </c>
      <c r="O1784" s="11">
        <f t="shared" si="112"/>
        <v>15</v>
      </c>
      <c r="P1784" s="12">
        <f t="shared" si="113"/>
        <v>71</v>
      </c>
      <c r="Q1784" s="14" t="s">
        <v>8335</v>
      </c>
      <c r="R1784" t="s">
        <v>8336</v>
      </c>
      <c r="S1784" s="17">
        <f t="shared" si="114"/>
        <v>42388.575104166666</v>
      </c>
      <c r="T1784" s="17">
        <f t="shared" si="115"/>
        <v>42421.575104166666</v>
      </c>
      <c r="U1784">
        <f>MONTH(Table1[[#This Row],[Launched]])</f>
        <v>1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 s="8">
        <v>1432248478</v>
      </c>
      <c r="J1785">
        <v>1429656478</v>
      </c>
      <c r="K1785" t="b">
        <v>1</v>
      </c>
      <c r="L1785" s="10">
        <v>185</v>
      </c>
      <c r="M1785" t="b">
        <v>0</v>
      </c>
      <c r="N1785" t="s">
        <v>8283</v>
      </c>
      <c r="O1785" s="11">
        <f t="shared" si="112"/>
        <v>24</v>
      </c>
      <c r="P1785" s="12">
        <f t="shared" si="113"/>
        <v>51</v>
      </c>
      <c r="Q1785" s="14" t="s">
        <v>8335</v>
      </c>
      <c r="R1785" t="s">
        <v>8336</v>
      </c>
      <c r="S1785" s="17">
        <f t="shared" si="114"/>
        <v>42115.949976851851</v>
      </c>
      <c r="T1785" s="17">
        <f t="shared" si="115"/>
        <v>42145.949976851851</v>
      </c>
      <c r="U1785">
        <f>MONTH(Table1[[#This Row],[Launched]])</f>
        <v>4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 s="8">
        <v>1422674700</v>
      </c>
      <c r="J1786">
        <v>1419954240</v>
      </c>
      <c r="K1786" t="b">
        <v>1</v>
      </c>
      <c r="L1786" s="10">
        <v>33</v>
      </c>
      <c r="M1786" t="b">
        <v>0</v>
      </c>
      <c r="N1786" t="s">
        <v>8283</v>
      </c>
      <c r="O1786" s="11">
        <f t="shared" si="112"/>
        <v>40</v>
      </c>
      <c r="P1786" s="12">
        <f t="shared" si="113"/>
        <v>60</v>
      </c>
      <c r="Q1786" s="14" t="s">
        <v>8335</v>
      </c>
      <c r="R1786" t="s">
        <v>8336</v>
      </c>
      <c r="S1786" s="17">
        <f t="shared" si="114"/>
        <v>42003.655555555553</v>
      </c>
      <c r="T1786" s="17">
        <f t="shared" si="115"/>
        <v>42035.142361111109</v>
      </c>
      <c r="U1786">
        <f>MONTH(Table1[[#This Row],[Launched]])</f>
        <v>12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 s="8">
        <v>1413417600</v>
      </c>
      <c r="J1787">
        <v>1410750855</v>
      </c>
      <c r="K1787" t="b">
        <v>1</v>
      </c>
      <c r="L1787" s="10">
        <v>108</v>
      </c>
      <c r="M1787" t="b">
        <v>0</v>
      </c>
      <c r="N1787" t="s">
        <v>8283</v>
      </c>
      <c r="O1787" s="11">
        <f t="shared" si="112"/>
        <v>20</v>
      </c>
      <c r="P1787" s="12">
        <f t="shared" si="113"/>
        <v>45</v>
      </c>
      <c r="Q1787" s="14" t="s">
        <v>8335</v>
      </c>
      <c r="R1787" t="s">
        <v>8336</v>
      </c>
      <c r="S1787" s="17">
        <f t="shared" si="114"/>
        <v>41897.134895833333</v>
      </c>
      <c r="T1787" s="17">
        <f t="shared" si="115"/>
        <v>41928</v>
      </c>
      <c r="U1787">
        <f>MONTH(Table1[[#This Row],[Launched]])</f>
        <v>9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8220</v>
      </c>
      <c r="G1788" t="s">
        <v>8232</v>
      </c>
      <c r="H1788" t="s">
        <v>8248</v>
      </c>
      <c r="I1788" s="8">
        <v>1418649177</v>
      </c>
      <c r="J1788">
        <v>1416057177</v>
      </c>
      <c r="K1788" t="b">
        <v>1</v>
      </c>
      <c r="L1788" s="10">
        <v>29</v>
      </c>
      <c r="M1788" t="b">
        <v>0</v>
      </c>
      <c r="N1788" t="s">
        <v>8283</v>
      </c>
      <c r="O1788" s="11">
        <f t="shared" si="112"/>
        <v>48</v>
      </c>
      <c r="P1788" s="12">
        <f t="shared" si="113"/>
        <v>31</v>
      </c>
      <c r="Q1788" s="14" t="s">
        <v>8335</v>
      </c>
      <c r="R1788" t="s">
        <v>8336</v>
      </c>
      <c r="S1788" s="17">
        <f t="shared" si="114"/>
        <v>41958.550659722227</v>
      </c>
      <c r="T1788" s="17">
        <f t="shared" si="115"/>
        <v>41988.550659722227</v>
      </c>
      <c r="U1788">
        <f>MONTH(Table1[[#This Row],[Launched]])</f>
        <v>11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 s="8">
        <v>1428158637</v>
      </c>
      <c r="J1789">
        <v>1425570237</v>
      </c>
      <c r="K1789" t="b">
        <v>1</v>
      </c>
      <c r="L1789" s="10">
        <v>24</v>
      </c>
      <c r="M1789" t="b">
        <v>0</v>
      </c>
      <c r="N1789" t="s">
        <v>8283</v>
      </c>
      <c r="O1789" s="11">
        <f t="shared" si="112"/>
        <v>15</v>
      </c>
      <c r="P1789" s="12">
        <f t="shared" si="113"/>
        <v>64</v>
      </c>
      <c r="Q1789" s="14" t="s">
        <v>8335</v>
      </c>
      <c r="R1789" t="s">
        <v>8336</v>
      </c>
      <c r="S1789" s="17">
        <f t="shared" si="114"/>
        <v>42068.65552083333</v>
      </c>
      <c r="T1789" s="17">
        <f t="shared" si="115"/>
        <v>42098.613854166666</v>
      </c>
      <c r="U1789">
        <f>MONTH(Table1[[#This Row],[Launched]])</f>
        <v>3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8220</v>
      </c>
      <c r="G1790" t="s">
        <v>8224</v>
      </c>
      <c r="H1790" t="s">
        <v>8246</v>
      </c>
      <c r="I1790" s="8">
        <v>1414795542</v>
      </c>
      <c r="J1790">
        <v>1412203542</v>
      </c>
      <c r="K1790" t="b">
        <v>1</v>
      </c>
      <c r="L1790" s="10">
        <v>4</v>
      </c>
      <c r="M1790" t="b">
        <v>0</v>
      </c>
      <c r="N1790" t="s">
        <v>8283</v>
      </c>
      <c r="O1790" s="11">
        <f t="shared" si="112"/>
        <v>1</v>
      </c>
      <c r="P1790" s="12">
        <f t="shared" si="113"/>
        <v>19</v>
      </c>
      <c r="Q1790" s="14" t="s">
        <v>8335</v>
      </c>
      <c r="R1790" t="s">
        <v>8336</v>
      </c>
      <c r="S1790" s="17">
        <f t="shared" si="114"/>
        <v>41913.94840277778</v>
      </c>
      <c r="T1790" s="17">
        <f t="shared" si="115"/>
        <v>41943.94840277778</v>
      </c>
      <c r="U1790">
        <f>MONTH(Table1[[#This Row],[Launched]])</f>
        <v>10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8220</v>
      </c>
      <c r="G1791" t="s">
        <v>8223</v>
      </c>
      <c r="H1791" t="s">
        <v>8245</v>
      </c>
      <c r="I1791" s="8">
        <v>1421042403</v>
      </c>
      <c r="J1791">
        <v>1415858403</v>
      </c>
      <c r="K1791" t="b">
        <v>1</v>
      </c>
      <c r="L1791" s="10">
        <v>4</v>
      </c>
      <c r="M1791" t="b">
        <v>0</v>
      </c>
      <c r="N1791" t="s">
        <v>8283</v>
      </c>
      <c r="O1791" s="11">
        <f t="shared" si="112"/>
        <v>1</v>
      </c>
      <c r="P1791" s="12">
        <f t="shared" si="113"/>
        <v>10</v>
      </c>
      <c r="Q1791" s="14" t="s">
        <v>8335</v>
      </c>
      <c r="R1791" t="s">
        <v>8336</v>
      </c>
      <c r="S1791" s="17">
        <f t="shared" si="114"/>
        <v>41956.250034722223</v>
      </c>
      <c r="T1791" s="17">
        <f t="shared" si="115"/>
        <v>42016.250034722223</v>
      </c>
      <c r="U1791">
        <f>MONTH(Table1[[#This Row],[Launched]])</f>
        <v>11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 s="8">
        <v>1423152678</v>
      </c>
      <c r="J1792">
        <v>1420560678</v>
      </c>
      <c r="K1792" t="b">
        <v>1</v>
      </c>
      <c r="L1792" s="10">
        <v>15</v>
      </c>
      <c r="M1792" t="b">
        <v>0</v>
      </c>
      <c r="N1792" t="s">
        <v>8283</v>
      </c>
      <c r="O1792" s="11">
        <f t="shared" si="112"/>
        <v>5</v>
      </c>
      <c r="P1792" s="12">
        <f t="shared" si="113"/>
        <v>109</v>
      </c>
      <c r="Q1792" s="14" t="s">
        <v>8335</v>
      </c>
      <c r="R1792" t="s">
        <v>8336</v>
      </c>
      <c r="S1792" s="17">
        <f t="shared" si="114"/>
        <v>42010.674513888895</v>
      </c>
      <c r="T1792" s="17">
        <f t="shared" si="115"/>
        <v>42040.674513888895</v>
      </c>
      <c r="U1792">
        <f>MONTH(Table1[[#This Row],[Launched]])</f>
        <v>1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8220</v>
      </c>
      <c r="G1793" t="s">
        <v>8224</v>
      </c>
      <c r="H1793" t="s">
        <v>8246</v>
      </c>
      <c r="I1793" s="8">
        <v>1422553565</v>
      </c>
      <c r="J1793">
        <v>1417369565</v>
      </c>
      <c r="K1793" t="b">
        <v>1</v>
      </c>
      <c r="L1793" s="10">
        <v>4</v>
      </c>
      <c r="M1793" t="b">
        <v>0</v>
      </c>
      <c r="N1793" t="s">
        <v>8283</v>
      </c>
      <c r="O1793" s="11">
        <f t="shared" si="112"/>
        <v>4</v>
      </c>
      <c r="P1793" s="12">
        <f t="shared" si="113"/>
        <v>27</v>
      </c>
      <c r="Q1793" s="14" t="s">
        <v>8335</v>
      </c>
      <c r="R1793" t="s">
        <v>8336</v>
      </c>
      <c r="S1793" s="17">
        <f t="shared" si="114"/>
        <v>41973.740335648152</v>
      </c>
      <c r="T1793" s="17">
        <f t="shared" si="115"/>
        <v>42033.740335648152</v>
      </c>
      <c r="U1793">
        <f>MONTH(Table1[[#This Row],[Launched]])</f>
        <v>11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 s="8">
        <v>1439189940</v>
      </c>
      <c r="J1794">
        <v>1435970682</v>
      </c>
      <c r="K1794" t="b">
        <v>1</v>
      </c>
      <c r="L1794" s="10">
        <v>139</v>
      </c>
      <c r="M1794" t="b">
        <v>0</v>
      </c>
      <c r="N1794" t="s">
        <v>8283</v>
      </c>
      <c r="O1794" s="11">
        <f t="shared" ref="O1794:O1857" si="116">ROUND(E1794/D1794*100,0)</f>
        <v>61</v>
      </c>
      <c r="P1794" s="12">
        <f t="shared" si="113"/>
        <v>110</v>
      </c>
      <c r="Q1794" s="14" t="s">
        <v>8335</v>
      </c>
      <c r="R1794" t="s">
        <v>8336</v>
      </c>
      <c r="S1794" s="17">
        <f t="shared" si="114"/>
        <v>42189.031041666662</v>
      </c>
      <c r="T1794" s="17">
        <f t="shared" si="115"/>
        <v>42226.290972222225</v>
      </c>
      <c r="U1794">
        <f>MONTH(Table1[[#This Row],[Launched]])</f>
        <v>7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8220</v>
      </c>
      <c r="G1795" t="s">
        <v>8225</v>
      </c>
      <c r="H1795" t="s">
        <v>8247</v>
      </c>
      <c r="I1795" s="8">
        <v>1417127040</v>
      </c>
      <c r="J1795">
        <v>1414531440</v>
      </c>
      <c r="K1795" t="b">
        <v>1</v>
      </c>
      <c r="L1795" s="10">
        <v>2</v>
      </c>
      <c r="M1795" t="b">
        <v>0</v>
      </c>
      <c r="N1795" t="s">
        <v>8283</v>
      </c>
      <c r="O1795" s="11">
        <f t="shared" si="116"/>
        <v>1</v>
      </c>
      <c r="P1795" s="12">
        <f t="shared" ref="P1795:P1858" si="117">IFERROR(ROUND(E1795/L1795,),"No Backers")</f>
        <v>20</v>
      </c>
      <c r="Q1795" s="14" t="s">
        <v>8335</v>
      </c>
      <c r="R1795" t="s">
        <v>8336</v>
      </c>
      <c r="S1795" s="17">
        <f t="shared" ref="S1795:S1858" si="118">(((J1795/60)/60)/24)+DATE(1970,1,1)</f>
        <v>41940.89166666667</v>
      </c>
      <c r="T1795" s="17">
        <f t="shared" ref="T1795:T1858" si="119">(((I1795/60)/60)/24)+DATE(1970,1,1)</f>
        <v>41970.933333333334</v>
      </c>
      <c r="U1795">
        <f>MONTH(Table1[[#This Row],[Launched]])</f>
        <v>10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8220</v>
      </c>
      <c r="G1796" t="s">
        <v>8223</v>
      </c>
      <c r="H1796" t="s">
        <v>8245</v>
      </c>
      <c r="I1796" s="8">
        <v>1423660422</v>
      </c>
      <c r="J1796">
        <v>1420636422</v>
      </c>
      <c r="K1796" t="b">
        <v>1</v>
      </c>
      <c r="L1796" s="10">
        <v>18</v>
      </c>
      <c r="M1796" t="b">
        <v>0</v>
      </c>
      <c r="N1796" t="s">
        <v>8283</v>
      </c>
      <c r="O1796" s="11">
        <f t="shared" si="116"/>
        <v>11</v>
      </c>
      <c r="P1796" s="12">
        <f t="shared" si="117"/>
        <v>55</v>
      </c>
      <c r="Q1796" s="14" t="s">
        <v>8335</v>
      </c>
      <c r="R1796" t="s">
        <v>8336</v>
      </c>
      <c r="S1796" s="17">
        <f t="shared" si="118"/>
        <v>42011.551180555558</v>
      </c>
      <c r="T1796" s="17">
        <f t="shared" si="119"/>
        <v>42046.551180555558</v>
      </c>
      <c r="U1796">
        <f>MONTH(Table1[[#This Row],[Launched]])</f>
        <v>1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 s="8">
        <v>1476460800</v>
      </c>
      <c r="J1797">
        <v>1473922541</v>
      </c>
      <c r="K1797" t="b">
        <v>1</v>
      </c>
      <c r="L1797" s="10">
        <v>81</v>
      </c>
      <c r="M1797" t="b">
        <v>0</v>
      </c>
      <c r="N1797" t="s">
        <v>8283</v>
      </c>
      <c r="O1797" s="11">
        <f t="shared" si="116"/>
        <v>39</v>
      </c>
      <c r="P1797" s="12">
        <f t="shared" si="117"/>
        <v>134</v>
      </c>
      <c r="Q1797" s="14" t="s">
        <v>8335</v>
      </c>
      <c r="R1797" t="s">
        <v>8336</v>
      </c>
      <c r="S1797" s="17">
        <f t="shared" si="118"/>
        <v>42628.288668981477</v>
      </c>
      <c r="T1797" s="17">
        <f t="shared" si="119"/>
        <v>42657.666666666672</v>
      </c>
      <c r="U1797">
        <f>MONTH(Table1[[#This Row],[Launched]])</f>
        <v>9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 s="8">
        <v>1469356366</v>
      </c>
      <c r="J1798">
        <v>1464172366</v>
      </c>
      <c r="K1798" t="b">
        <v>1</v>
      </c>
      <c r="L1798" s="10">
        <v>86</v>
      </c>
      <c r="M1798" t="b">
        <v>0</v>
      </c>
      <c r="N1798" t="s">
        <v>8283</v>
      </c>
      <c r="O1798" s="11">
        <f t="shared" si="116"/>
        <v>22</v>
      </c>
      <c r="P1798" s="12">
        <f t="shared" si="117"/>
        <v>49</v>
      </c>
      <c r="Q1798" s="14" t="s">
        <v>8335</v>
      </c>
      <c r="R1798" t="s">
        <v>8336</v>
      </c>
      <c r="S1798" s="17">
        <f t="shared" si="118"/>
        <v>42515.439421296294</v>
      </c>
      <c r="T1798" s="17">
        <f t="shared" si="119"/>
        <v>42575.439421296294</v>
      </c>
      <c r="U1798">
        <f>MONTH(Table1[[#This Row],[Launched]])</f>
        <v>5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 s="8">
        <v>1481809189</v>
      </c>
      <c r="J1799">
        <v>1479217189</v>
      </c>
      <c r="K1799" t="b">
        <v>1</v>
      </c>
      <c r="L1799" s="10">
        <v>140</v>
      </c>
      <c r="M1799" t="b">
        <v>0</v>
      </c>
      <c r="N1799" t="s">
        <v>8283</v>
      </c>
      <c r="O1799" s="11">
        <f t="shared" si="116"/>
        <v>68</v>
      </c>
      <c r="P1799" s="12">
        <f t="shared" si="117"/>
        <v>48</v>
      </c>
      <c r="Q1799" s="14" t="s">
        <v>8335</v>
      </c>
      <c r="R1799" t="s">
        <v>8336</v>
      </c>
      <c r="S1799" s="17">
        <f t="shared" si="118"/>
        <v>42689.56931712963</v>
      </c>
      <c r="T1799" s="17">
        <f t="shared" si="119"/>
        <v>42719.56931712963</v>
      </c>
      <c r="U1799">
        <f>MONTH(Table1[[#This Row],[Launched]])</f>
        <v>11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 s="8">
        <v>1454572233</v>
      </c>
      <c r="J1800">
        <v>1449388233</v>
      </c>
      <c r="K1800" t="b">
        <v>1</v>
      </c>
      <c r="L1800" s="10">
        <v>37</v>
      </c>
      <c r="M1800" t="b">
        <v>0</v>
      </c>
      <c r="N1800" t="s">
        <v>8283</v>
      </c>
      <c r="O1800" s="11">
        <f t="shared" si="116"/>
        <v>14</v>
      </c>
      <c r="P1800" s="12">
        <f t="shared" si="117"/>
        <v>59</v>
      </c>
      <c r="Q1800" s="14" t="s">
        <v>8335</v>
      </c>
      <c r="R1800" t="s">
        <v>8336</v>
      </c>
      <c r="S1800" s="17">
        <f t="shared" si="118"/>
        <v>42344.32677083333</v>
      </c>
      <c r="T1800" s="17">
        <f t="shared" si="119"/>
        <v>42404.32677083333</v>
      </c>
      <c r="U1800">
        <f>MONTH(Table1[[#This Row],[Launched]])</f>
        <v>12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 s="8">
        <v>1415740408</v>
      </c>
      <c r="J1801">
        <v>1414008808</v>
      </c>
      <c r="K1801" t="b">
        <v>1</v>
      </c>
      <c r="L1801" s="10">
        <v>6</v>
      </c>
      <c r="M1801" t="b">
        <v>0</v>
      </c>
      <c r="N1801" t="s">
        <v>8283</v>
      </c>
      <c r="O1801" s="11">
        <f t="shared" si="116"/>
        <v>2</v>
      </c>
      <c r="P1801" s="12">
        <f t="shared" si="117"/>
        <v>12</v>
      </c>
      <c r="Q1801" s="14" t="s">
        <v>8335</v>
      </c>
      <c r="R1801" t="s">
        <v>8336</v>
      </c>
      <c r="S1801" s="17">
        <f t="shared" si="118"/>
        <v>41934.842685185184</v>
      </c>
      <c r="T1801" s="17">
        <f t="shared" si="119"/>
        <v>41954.884351851855</v>
      </c>
      <c r="U1801">
        <f>MONTH(Table1[[#This Row],[Launched]])</f>
        <v>10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 s="8">
        <v>1476109970</v>
      </c>
      <c r="J1802">
        <v>1473517970</v>
      </c>
      <c r="K1802" t="b">
        <v>1</v>
      </c>
      <c r="L1802" s="10">
        <v>113</v>
      </c>
      <c r="M1802" t="b">
        <v>0</v>
      </c>
      <c r="N1802" t="s">
        <v>8283</v>
      </c>
      <c r="O1802" s="11">
        <f t="shared" si="116"/>
        <v>20</v>
      </c>
      <c r="P1802" s="12">
        <f t="shared" si="117"/>
        <v>84</v>
      </c>
      <c r="Q1802" s="14" t="s">
        <v>8335</v>
      </c>
      <c r="R1802" t="s">
        <v>8336</v>
      </c>
      <c r="S1802" s="17">
        <f t="shared" si="118"/>
        <v>42623.606134259258</v>
      </c>
      <c r="T1802" s="17">
        <f t="shared" si="119"/>
        <v>42653.606134259258</v>
      </c>
      <c r="U1802">
        <f>MONTH(Table1[[#This Row],[Launched]])</f>
        <v>9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 s="8">
        <v>1450181400</v>
      </c>
      <c r="J1803">
        <v>1447429868</v>
      </c>
      <c r="K1803" t="b">
        <v>1</v>
      </c>
      <c r="L1803" s="10">
        <v>37</v>
      </c>
      <c r="M1803" t="b">
        <v>0</v>
      </c>
      <c r="N1803" t="s">
        <v>8283</v>
      </c>
      <c r="O1803" s="11">
        <f t="shared" si="116"/>
        <v>14</v>
      </c>
      <c r="P1803" s="12">
        <f t="shared" si="117"/>
        <v>64</v>
      </c>
      <c r="Q1803" s="14" t="s">
        <v>8335</v>
      </c>
      <c r="R1803" t="s">
        <v>8336</v>
      </c>
      <c r="S1803" s="17">
        <f t="shared" si="118"/>
        <v>42321.660509259258</v>
      </c>
      <c r="T1803" s="17">
        <f t="shared" si="119"/>
        <v>42353.506944444445</v>
      </c>
      <c r="U1803">
        <f>MONTH(Table1[[#This Row],[Launched]])</f>
        <v>11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 s="8">
        <v>1435442340</v>
      </c>
      <c r="J1804">
        <v>1433416830</v>
      </c>
      <c r="K1804" t="b">
        <v>1</v>
      </c>
      <c r="L1804" s="10">
        <v>18</v>
      </c>
      <c r="M1804" t="b">
        <v>0</v>
      </c>
      <c r="N1804" t="s">
        <v>8283</v>
      </c>
      <c r="O1804" s="11">
        <f t="shared" si="116"/>
        <v>48</v>
      </c>
      <c r="P1804" s="12">
        <f t="shared" si="117"/>
        <v>94</v>
      </c>
      <c r="Q1804" s="14" t="s">
        <v>8335</v>
      </c>
      <c r="R1804" t="s">
        <v>8336</v>
      </c>
      <c r="S1804" s="17">
        <f t="shared" si="118"/>
        <v>42159.47256944445</v>
      </c>
      <c r="T1804" s="17">
        <f t="shared" si="119"/>
        <v>42182.915972222225</v>
      </c>
      <c r="U1804">
        <f>MONTH(Table1[[#This Row],[Launched]])</f>
        <v>6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 s="8">
        <v>1423878182</v>
      </c>
      <c r="J1805">
        <v>1421199782</v>
      </c>
      <c r="K1805" t="b">
        <v>1</v>
      </c>
      <c r="L1805" s="10">
        <v>75</v>
      </c>
      <c r="M1805" t="b">
        <v>0</v>
      </c>
      <c r="N1805" t="s">
        <v>8283</v>
      </c>
      <c r="O1805" s="11">
        <f t="shared" si="116"/>
        <v>31</v>
      </c>
      <c r="P1805" s="12">
        <f t="shared" si="117"/>
        <v>72</v>
      </c>
      <c r="Q1805" s="14" t="s">
        <v>8335</v>
      </c>
      <c r="R1805" t="s">
        <v>8336</v>
      </c>
      <c r="S1805" s="17">
        <f t="shared" si="118"/>
        <v>42018.071550925932</v>
      </c>
      <c r="T1805" s="17">
        <f t="shared" si="119"/>
        <v>42049.071550925932</v>
      </c>
      <c r="U1805">
        <f>MONTH(Table1[[#This Row],[Launched]])</f>
        <v>1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 s="8">
        <v>1447521404</v>
      </c>
      <c r="J1806">
        <v>1444061804</v>
      </c>
      <c r="K1806" t="b">
        <v>1</v>
      </c>
      <c r="L1806" s="10">
        <v>52</v>
      </c>
      <c r="M1806" t="b">
        <v>0</v>
      </c>
      <c r="N1806" t="s">
        <v>8283</v>
      </c>
      <c r="O1806" s="11">
        <f t="shared" si="116"/>
        <v>35</v>
      </c>
      <c r="P1806" s="12">
        <f t="shared" si="117"/>
        <v>105</v>
      </c>
      <c r="Q1806" s="14" t="s">
        <v>8335</v>
      </c>
      <c r="R1806" t="s">
        <v>8336</v>
      </c>
      <c r="S1806" s="17">
        <f t="shared" si="118"/>
        <v>42282.678287037037</v>
      </c>
      <c r="T1806" s="17">
        <f t="shared" si="119"/>
        <v>42322.719953703709</v>
      </c>
      <c r="U1806">
        <f>MONTH(Table1[[#This Row],[Launched]])</f>
        <v>10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 s="8">
        <v>1443808800</v>
      </c>
      <c r="J1807">
        <v>1441048658</v>
      </c>
      <c r="K1807" t="b">
        <v>1</v>
      </c>
      <c r="L1807" s="10">
        <v>122</v>
      </c>
      <c r="M1807" t="b">
        <v>0</v>
      </c>
      <c r="N1807" t="s">
        <v>8283</v>
      </c>
      <c r="O1807" s="11">
        <f t="shared" si="116"/>
        <v>36</v>
      </c>
      <c r="P1807" s="12">
        <f t="shared" si="117"/>
        <v>67</v>
      </c>
      <c r="Q1807" s="14" t="s">
        <v>8335</v>
      </c>
      <c r="R1807" t="s">
        <v>8336</v>
      </c>
      <c r="S1807" s="17">
        <f t="shared" si="118"/>
        <v>42247.803912037038</v>
      </c>
      <c r="T1807" s="17">
        <f t="shared" si="119"/>
        <v>42279.75</v>
      </c>
      <c r="U1807">
        <f>MONTH(Table1[[#This Row],[Launched]])</f>
        <v>8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 s="8">
        <v>1412090349</v>
      </c>
      <c r="J1808">
        <v>1409066349</v>
      </c>
      <c r="K1808" t="b">
        <v>1</v>
      </c>
      <c r="L1808" s="10">
        <v>8</v>
      </c>
      <c r="M1808" t="b">
        <v>0</v>
      </c>
      <c r="N1808" t="s">
        <v>8283</v>
      </c>
      <c r="O1808" s="11">
        <f t="shared" si="116"/>
        <v>3</v>
      </c>
      <c r="P1808" s="12">
        <f t="shared" si="117"/>
        <v>74</v>
      </c>
      <c r="Q1808" s="14" t="s">
        <v>8335</v>
      </c>
      <c r="R1808" t="s">
        <v>8336</v>
      </c>
      <c r="S1808" s="17">
        <f t="shared" si="118"/>
        <v>41877.638298611113</v>
      </c>
      <c r="T1808" s="17">
        <f t="shared" si="119"/>
        <v>41912.638298611113</v>
      </c>
      <c r="U1808">
        <f>MONTH(Table1[[#This Row],[Launched]])</f>
        <v>8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8220</v>
      </c>
      <c r="G1809" t="s">
        <v>8223</v>
      </c>
      <c r="H1809" t="s">
        <v>8245</v>
      </c>
      <c r="I1809" s="8">
        <v>1411868313</v>
      </c>
      <c r="J1809">
        <v>1409276313</v>
      </c>
      <c r="K1809" t="b">
        <v>1</v>
      </c>
      <c r="L1809" s="10">
        <v>8</v>
      </c>
      <c r="M1809" t="b">
        <v>0</v>
      </c>
      <c r="N1809" t="s">
        <v>8283</v>
      </c>
      <c r="O1809" s="11">
        <f t="shared" si="116"/>
        <v>11</v>
      </c>
      <c r="P1809" s="12">
        <f t="shared" si="117"/>
        <v>69</v>
      </c>
      <c r="Q1809" s="14" t="s">
        <v>8335</v>
      </c>
      <c r="R1809" t="s">
        <v>8336</v>
      </c>
      <c r="S1809" s="17">
        <f t="shared" si="118"/>
        <v>41880.068437499998</v>
      </c>
      <c r="T1809" s="17">
        <f t="shared" si="119"/>
        <v>41910.068437499998</v>
      </c>
      <c r="U1809">
        <f>MONTH(Table1[[#This Row],[Launched]])</f>
        <v>8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 s="8">
        <v>1486830030</v>
      </c>
      <c r="J1810">
        <v>1483806030</v>
      </c>
      <c r="K1810" t="b">
        <v>1</v>
      </c>
      <c r="L1810" s="10">
        <v>96</v>
      </c>
      <c r="M1810" t="b">
        <v>0</v>
      </c>
      <c r="N1810" t="s">
        <v>8283</v>
      </c>
      <c r="O1810" s="11">
        <f t="shared" si="116"/>
        <v>41</v>
      </c>
      <c r="P1810" s="12">
        <f t="shared" si="117"/>
        <v>121</v>
      </c>
      <c r="Q1810" s="14" t="s">
        <v>8335</v>
      </c>
      <c r="R1810" t="s">
        <v>8336</v>
      </c>
      <c r="S1810" s="17">
        <f t="shared" si="118"/>
        <v>42742.680902777778</v>
      </c>
      <c r="T1810" s="17">
        <f t="shared" si="119"/>
        <v>42777.680902777778</v>
      </c>
      <c r="U1810">
        <f>MONTH(Table1[[#This Row],[Launched]])</f>
        <v>1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8220</v>
      </c>
      <c r="G1811" t="s">
        <v>8228</v>
      </c>
      <c r="H1811" t="s">
        <v>8250</v>
      </c>
      <c r="I1811" s="8">
        <v>1425246439</v>
      </c>
      <c r="J1811">
        <v>1422222439</v>
      </c>
      <c r="K1811" t="b">
        <v>1</v>
      </c>
      <c r="L1811" s="10">
        <v>9</v>
      </c>
      <c r="M1811" t="b">
        <v>0</v>
      </c>
      <c r="N1811" t="s">
        <v>8283</v>
      </c>
      <c r="O1811" s="11">
        <f t="shared" si="116"/>
        <v>11</v>
      </c>
      <c r="P1811" s="12">
        <f t="shared" si="117"/>
        <v>42</v>
      </c>
      <c r="Q1811" s="14" t="s">
        <v>8335</v>
      </c>
      <c r="R1811" t="s">
        <v>8336</v>
      </c>
      <c r="S1811" s="17">
        <f t="shared" si="118"/>
        <v>42029.907858796301</v>
      </c>
      <c r="T1811" s="17">
        <f t="shared" si="119"/>
        <v>42064.907858796301</v>
      </c>
      <c r="U1811">
        <f>MONTH(Table1[[#This Row],[Launched]])</f>
        <v>1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8220</v>
      </c>
      <c r="G1812" t="s">
        <v>8223</v>
      </c>
      <c r="H1812" t="s">
        <v>8245</v>
      </c>
      <c r="I1812" s="8">
        <v>1408657826</v>
      </c>
      <c r="J1812">
        <v>1407621026</v>
      </c>
      <c r="K1812" t="b">
        <v>0</v>
      </c>
      <c r="L1812" s="10">
        <v>2</v>
      </c>
      <c r="M1812" t="b">
        <v>0</v>
      </c>
      <c r="N1812" t="s">
        <v>8283</v>
      </c>
      <c r="O1812" s="11">
        <f t="shared" si="116"/>
        <v>3</v>
      </c>
      <c r="P1812" s="12">
        <f t="shared" si="117"/>
        <v>8</v>
      </c>
      <c r="Q1812" s="14" t="s">
        <v>8335</v>
      </c>
      <c r="R1812" t="s">
        <v>8336</v>
      </c>
      <c r="S1812" s="17">
        <f t="shared" si="118"/>
        <v>41860.91002314815</v>
      </c>
      <c r="T1812" s="17">
        <f t="shared" si="119"/>
        <v>41872.91002314815</v>
      </c>
      <c r="U1812">
        <f>MONTH(Table1[[#This Row],[Launched]])</f>
        <v>8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8220</v>
      </c>
      <c r="G1813" t="s">
        <v>8223</v>
      </c>
      <c r="H1813" t="s">
        <v>8245</v>
      </c>
      <c r="I1813" s="8">
        <v>1414123200</v>
      </c>
      <c r="J1813">
        <v>1408962270</v>
      </c>
      <c r="K1813" t="b">
        <v>0</v>
      </c>
      <c r="L1813" s="10">
        <v>26</v>
      </c>
      <c r="M1813" t="b">
        <v>0</v>
      </c>
      <c r="N1813" t="s">
        <v>8283</v>
      </c>
      <c r="O1813" s="11">
        <f t="shared" si="116"/>
        <v>0</v>
      </c>
      <c r="P1813" s="12">
        <f t="shared" si="117"/>
        <v>2</v>
      </c>
      <c r="Q1813" s="14" t="s">
        <v>8335</v>
      </c>
      <c r="R1813" t="s">
        <v>8336</v>
      </c>
      <c r="S1813" s="17">
        <f t="shared" si="118"/>
        <v>41876.433680555558</v>
      </c>
      <c r="T1813" s="17">
        <f t="shared" si="119"/>
        <v>41936.166666666664</v>
      </c>
      <c r="U1813">
        <f>MONTH(Table1[[#This Row],[Launched]])</f>
        <v>8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8220</v>
      </c>
      <c r="G1814" t="s">
        <v>8224</v>
      </c>
      <c r="H1814" t="s">
        <v>8246</v>
      </c>
      <c r="I1814" s="8">
        <v>1467531536</v>
      </c>
      <c r="J1814">
        <v>1464939536</v>
      </c>
      <c r="K1814" t="b">
        <v>0</v>
      </c>
      <c r="L1814" s="10">
        <v>23</v>
      </c>
      <c r="M1814" t="b">
        <v>0</v>
      </c>
      <c r="N1814" t="s">
        <v>8283</v>
      </c>
      <c r="O1814" s="11">
        <f t="shared" si="116"/>
        <v>13</v>
      </c>
      <c r="P1814" s="12">
        <f t="shared" si="117"/>
        <v>38</v>
      </c>
      <c r="Q1814" s="14" t="s">
        <v>8335</v>
      </c>
      <c r="R1814" t="s">
        <v>8336</v>
      </c>
      <c r="S1814" s="17">
        <f t="shared" si="118"/>
        <v>42524.318703703699</v>
      </c>
      <c r="T1814" s="17">
        <f t="shared" si="119"/>
        <v>42554.318703703699</v>
      </c>
      <c r="U1814">
        <f>MONTH(Table1[[#This Row],[Launched]])</f>
        <v>6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8220</v>
      </c>
      <c r="G1815" t="s">
        <v>8224</v>
      </c>
      <c r="H1815" t="s">
        <v>8246</v>
      </c>
      <c r="I1815" s="8">
        <v>1407532812</v>
      </c>
      <c r="J1815">
        <v>1404940812</v>
      </c>
      <c r="K1815" t="b">
        <v>0</v>
      </c>
      <c r="L1815" s="10">
        <v>0</v>
      </c>
      <c r="M1815" t="b">
        <v>0</v>
      </c>
      <c r="N1815" t="s">
        <v>8283</v>
      </c>
      <c r="O1815" s="11">
        <f t="shared" si="116"/>
        <v>0</v>
      </c>
      <c r="P1815" s="12" t="str">
        <f t="shared" si="117"/>
        <v>No Backers</v>
      </c>
      <c r="Q1815" s="14" t="s">
        <v>8335</v>
      </c>
      <c r="R1815" t="s">
        <v>8336</v>
      </c>
      <c r="S1815" s="17">
        <f t="shared" si="118"/>
        <v>41829.889027777775</v>
      </c>
      <c r="T1815" s="17">
        <f t="shared" si="119"/>
        <v>41859.889027777775</v>
      </c>
      <c r="U1815">
        <f>MONTH(Table1[[#This Row],[Launched]])</f>
        <v>7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 s="8">
        <v>1425108736</v>
      </c>
      <c r="J1816">
        <v>1422516736</v>
      </c>
      <c r="K1816" t="b">
        <v>0</v>
      </c>
      <c r="L1816" s="10">
        <v>140</v>
      </c>
      <c r="M1816" t="b">
        <v>0</v>
      </c>
      <c r="N1816" t="s">
        <v>8283</v>
      </c>
      <c r="O1816" s="11">
        <f t="shared" si="116"/>
        <v>49</v>
      </c>
      <c r="P1816" s="12">
        <f t="shared" si="117"/>
        <v>42</v>
      </c>
      <c r="Q1816" s="14" t="s">
        <v>8335</v>
      </c>
      <c r="R1816" t="s">
        <v>8336</v>
      </c>
      <c r="S1816" s="17">
        <f t="shared" si="118"/>
        <v>42033.314074074078</v>
      </c>
      <c r="T1816" s="17">
        <f t="shared" si="119"/>
        <v>42063.314074074078</v>
      </c>
      <c r="U1816">
        <f>MONTH(Table1[[#This Row],[Launched]])</f>
        <v>1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8220</v>
      </c>
      <c r="G1817" t="s">
        <v>8223</v>
      </c>
      <c r="H1817" t="s">
        <v>8245</v>
      </c>
      <c r="I1817" s="8">
        <v>1435787137</v>
      </c>
      <c r="J1817">
        <v>1434577537</v>
      </c>
      <c r="K1817" t="b">
        <v>0</v>
      </c>
      <c r="L1817" s="10">
        <v>0</v>
      </c>
      <c r="M1817" t="b">
        <v>0</v>
      </c>
      <c r="N1817" t="s">
        <v>8283</v>
      </c>
      <c r="O1817" s="11">
        <f t="shared" si="116"/>
        <v>0</v>
      </c>
      <c r="P1817" s="12" t="str">
        <f t="shared" si="117"/>
        <v>No Backers</v>
      </c>
      <c r="Q1817" s="14" t="s">
        <v>8335</v>
      </c>
      <c r="R1817" t="s">
        <v>8336</v>
      </c>
      <c r="S1817" s="17">
        <f t="shared" si="118"/>
        <v>42172.906678240746</v>
      </c>
      <c r="T1817" s="17">
        <f t="shared" si="119"/>
        <v>42186.906678240746</v>
      </c>
      <c r="U1817">
        <f>MONTH(Table1[[#This Row],[Launched]])</f>
        <v>6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 s="8">
        <v>1469473200</v>
      </c>
      <c r="J1818">
        <v>1467061303</v>
      </c>
      <c r="K1818" t="b">
        <v>0</v>
      </c>
      <c r="L1818" s="10">
        <v>6</v>
      </c>
      <c r="M1818" t="b">
        <v>0</v>
      </c>
      <c r="N1818" t="s">
        <v>8283</v>
      </c>
      <c r="O1818" s="11">
        <f t="shared" si="116"/>
        <v>2</v>
      </c>
      <c r="P1818" s="12">
        <f t="shared" si="117"/>
        <v>85</v>
      </c>
      <c r="Q1818" s="14" t="s">
        <v>8335</v>
      </c>
      <c r="R1818" t="s">
        <v>8336</v>
      </c>
      <c r="S1818" s="17">
        <f t="shared" si="118"/>
        <v>42548.876192129625</v>
      </c>
      <c r="T1818" s="17">
        <f t="shared" si="119"/>
        <v>42576.791666666672</v>
      </c>
      <c r="U1818">
        <f>MONTH(Table1[[#This Row],[Launched]])</f>
        <v>6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 s="8">
        <v>1485759540</v>
      </c>
      <c r="J1819">
        <v>1480607607</v>
      </c>
      <c r="K1819" t="b">
        <v>0</v>
      </c>
      <c r="L1819" s="10">
        <v>100</v>
      </c>
      <c r="M1819" t="b">
        <v>0</v>
      </c>
      <c r="N1819" t="s">
        <v>8283</v>
      </c>
      <c r="O1819" s="11">
        <f t="shared" si="116"/>
        <v>52</v>
      </c>
      <c r="P1819" s="12">
        <f t="shared" si="117"/>
        <v>94</v>
      </c>
      <c r="Q1819" s="14" t="s">
        <v>8335</v>
      </c>
      <c r="R1819" t="s">
        <v>8336</v>
      </c>
      <c r="S1819" s="17">
        <f t="shared" si="118"/>
        <v>42705.662118055552</v>
      </c>
      <c r="T1819" s="17">
        <f t="shared" si="119"/>
        <v>42765.290972222225</v>
      </c>
      <c r="U1819">
        <f>MONTH(Table1[[#This Row],[Launched]])</f>
        <v>12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8220</v>
      </c>
      <c r="G1820" t="s">
        <v>8223</v>
      </c>
      <c r="H1820" t="s">
        <v>8245</v>
      </c>
      <c r="I1820" s="8">
        <v>1428035850</v>
      </c>
      <c r="J1820">
        <v>1425447450</v>
      </c>
      <c r="K1820" t="b">
        <v>0</v>
      </c>
      <c r="L1820" s="10">
        <v>0</v>
      </c>
      <c r="M1820" t="b">
        <v>0</v>
      </c>
      <c r="N1820" t="s">
        <v>8283</v>
      </c>
      <c r="O1820" s="11">
        <f t="shared" si="116"/>
        <v>0</v>
      </c>
      <c r="P1820" s="12" t="str">
        <f t="shared" si="117"/>
        <v>No Backers</v>
      </c>
      <c r="Q1820" s="14" t="s">
        <v>8335</v>
      </c>
      <c r="R1820" t="s">
        <v>8336</v>
      </c>
      <c r="S1820" s="17">
        <f t="shared" si="118"/>
        <v>42067.234375</v>
      </c>
      <c r="T1820" s="17">
        <f t="shared" si="119"/>
        <v>42097.192708333328</v>
      </c>
      <c r="U1820">
        <f>MONTH(Table1[[#This Row],[Launched]])</f>
        <v>3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8220</v>
      </c>
      <c r="G1821" t="s">
        <v>8223</v>
      </c>
      <c r="H1821" t="s">
        <v>8245</v>
      </c>
      <c r="I1821" s="8">
        <v>1406743396</v>
      </c>
      <c r="J1821">
        <v>1404151396</v>
      </c>
      <c r="K1821" t="b">
        <v>0</v>
      </c>
      <c r="L1821" s="10">
        <v>4</v>
      </c>
      <c r="M1821" t="b">
        <v>0</v>
      </c>
      <c r="N1821" t="s">
        <v>8283</v>
      </c>
      <c r="O1821" s="11">
        <f t="shared" si="116"/>
        <v>2</v>
      </c>
      <c r="P1821" s="12">
        <f t="shared" si="117"/>
        <v>6</v>
      </c>
      <c r="Q1821" s="14" t="s">
        <v>8335</v>
      </c>
      <c r="R1821" t="s">
        <v>8336</v>
      </c>
      <c r="S1821" s="17">
        <f t="shared" si="118"/>
        <v>41820.752268518518</v>
      </c>
      <c r="T1821" s="17">
        <f t="shared" si="119"/>
        <v>41850.752268518518</v>
      </c>
      <c r="U1821">
        <f>MONTH(Table1[[#This Row],[Launched]])</f>
        <v>6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 s="8">
        <v>1427850090</v>
      </c>
      <c r="J1822">
        <v>1425261690</v>
      </c>
      <c r="K1822" t="b">
        <v>0</v>
      </c>
      <c r="L1822" s="10">
        <v>8</v>
      </c>
      <c r="M1822" t="b">
        <v>0</v>
      </c>
      <c r="N1822" t="s">
        <v>8283</v>
      </c>
      <c r="O1822" s="11">
        <f t="shared" si="116"/>
        <v>7</v>
      </c>
      <c r="P1822" s="12">
        <f t="shared" si="117"/>
        <v>213</v>
      </c>
      <c r="Q1822" s="14" t="s">
        <v>8335</v>
      </c>
      <c r="R1822" t="s">
        <v>8336</v>
      </c>
      <c r="S1822" s="17">
        <f t="shared" si="118"/>
        <v>42065.084375000006</v>
      </c>
      <c r="T1822" s="17">
        <f t="shared" si="119"/>
        <v>42095.042708333334</v>
      </c>
      <c r="U1822">
        <f>MONTH(Table1[[#This Row],[Launched]])</f>
        <v>3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 s="8">
        <v>1330760367</v>
      </c>
      <c r="J1823">
        <v>1326872367</v>
      </c>
      <c r="K1823" t="b">
        <v>0</v>
      </c>
      <c r="L1823" s="10">
        <v>57</v>
      </c>
      <c r="M1823" t="b">
        <v>1</v>
      </c>
      <c r="N1823" t="s">
        <v>8274</v>
      </c>
      <c r="O1823" s="11">
        <f t="shared" si="116"/>
        <v>135</v>
      </c>
      <c r="P1823" s="12">
        <f t="shared" si="117"/>
        <v>59</v>
      </c>
      <c r="Q1823" s="14" t="s">
        <v>8322</v>
      </c>
      <c r="R1823" t="s">
        <v>8323</v>
      </c>
      <c r="S1823" s="17">
        <f t="shared" si="118"/>
        <v>40926.319062499999</v>
      </c>
      <c r="T1823" s="17">
        <f t="shared" si="119"/>
        <v>40971.319062499999</v>
      </c>
      <c r="U1823">
        <f>MONTH(Table1[[#This Row],[Launched]])</f>
        <v>1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8218</v>
      </c>
      <c r="G1824" t="s">
        <v>8228</v>
      </c>
      <c r="H1824" t="s">
        <v>8250</v>
      </c>
      <c r="I1824" s="8">
        <v>1391194860</v>
      </c>
      <c r="J1824">
        <v>1388084862</v>
      </c>
      <c r="K1824" t="b">
        <v>0</v>
      </c>
      <c r="L1824" s="10">
        <v>11</v>
      </c>
      <c r="M1824" t="b">
        <v>1</v>
      </c>
      <c r="N1824" t="s">
        <v>8274</v>
      </c>
      <c r="O1824" s="11">
        <f t="shared" si="116"/>
        <v>100</v>
      </c>
      <c r="P1824" s="12">
        <f t="shared" si="117"/>
        <v>27</v>
      </c>
      <c r="Q1824" s="14" t="s">
        <v>8322</v>
      </c>
      <c r="R1824" t="s">
        <v>8323</v>
      </c>
      <c r="S1824" s="17">
        <f t="shared" si="118"/>
        <v>41634.797013888885</v>
      </c>
      <c r="T1824" s="17">
        <f t="shared" si="119"/>
        <v>41670.792361111111</v>
      </c>
      <c r="U1824">
        <f>MONTH(Table1[[#This Row],[Launched]])</f>
        <v>12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8218</v>
      </c>
      <c r="G1825" t="s">
        <v>8223</v>
      </c>
      <c r="H1825" t="s">
        <v>8245</v>
      </c>
      <c r="I1825" s="8">
        <v>1351095976</v>
      </c>
      <c r="J1825">
        <v>1348503976</v>
      </c>
      <c r="K1825" t="b">
        <v>0</v>
      </c>
      <c r="L1825" s="10">
        <v>33</v>
      </c>
      <c r="M1825" t="b">
        <v>1</v>
      </c>
      <c r="N1825" t="s">
        <v>8274</v>
      </c>
      <c r="O1825" s="11">
        <f t="shared" si="116"/>
        <v>116</v>
      </c>
      <c r="P1825" s="12">
        <f t="shared" si="117"/>
        <v>25</v>
      </c>
      <c r="Q1825" s="14" t="s">
        <v>8322</v>
      </c>
      <c r="R1825" t="s">
        <v>8323</v>
      </c>
      <c r="S1825" s="17">
        <f t="shared" si="118"/>
        <v>41176.684907407405</v>
      </c>
      <c r="T1825" s="17">
        <f t="shared" si="119"/>
        <v>41206.684907407405</v>
      </c>
      <c r="U1825">
        <f>MONTH(Table1[[#This Row],[Launched]])</f>
        <v>9</v>
      </c>
    </row>
    <row r="1826" spans="1:21" ht="15.6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 s="8">
        <v>1389146880</v>
      </c>
      <c r="J1826">
        <v>1387403967</v>
      </c>
      <c r="K1826" t="b">
        <v>0</v>
      </c>
      <c r="L1826" s="10">
        <v>40</v>
      </c>
      <c r="M1826" t="b">
        <v>1</v>
      </c>
      <c r="N1826" t="s">
        <v>8274</v>
      </c>
      <c r="O1826" s="11">
        <f t="shared" si="116"/>
        <v>100</v>
      </c>
      <c r="P1826" s="12">
        <f t="shared" si="117"/>
        <v>75</v>
      </c>
      <c r="Q1826" s="14" t="s">
        <v>8322</v>
      </c>
      <c r="R1826" t="s">
        <v>8323</v>
      </c>
      <c r="S1826" s="17">
        <f t="shared" si="118"/>
        <v>41626.916284722225</v>
      </c>
      <c r="T1826" s="17">
        <f t="shared" si="119"/>
        <v>41647.088888888888</v>
      </c>
      <c r="U1826">
        <f>MONTH(Table1[[#This Row],[Launched]])</f>
        <v>12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 s="8">
        <v>1373572903</v>
      </c>
      <c r="J1827">
        <v>1371585703</v>
      </c>
      <c r="K1827" t="b">
        <v>0</v>
      </c>
      <c r="L1827" s="10">
        <v>50</v>
      </c>
      <c r="M1827" t="b">
        <v>1</v>
      </c>
      <c r="N1827" t="s">
        <v>8274</v>
      </c>
      <c r="O1827" s="11">
        <f t="shared" si="116"/>
        <v>105</v>
      </c>
      <c r="P1827" s="12">
        <f t="shared" si="117"/>
        <v>42</v>
      </c>
      <c r="Q1827" s="14" t="s">
        <v>8322</v>
      </c>
      <c r="R1827" t="s">
        <v>8323</v>
      </c>
      <c r="S1827" s="17">
        <f t="shared" si="118"/>
        <v>41443.83452546296</v>
      </c>
      <c r="T1827" s="17">
        <f t="shared" si="119"/>
        <v>41466.83452546296</v>
      </c>
      <c r="U1827">
        <f>MONTH(Table1[[#This Row],[Launched]])</f>
        <v>6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 s="8">
        <v>1392675017</v>
      </c>
      <c r="J1828">
        <v>1390083017</v>
      </c>
      <c r="K1828" t="b">
        <v>0</v>
      </c>
      <c r="L1828" s="10">
        <v>38</v>
      </c>
      <c r="M1828" t="b">
        <v>1</v>
      </c>
      <c r="N1828" t="s">
        <v>8274</v>
      </c>
      <c r="O1828" s="11">
        <f t="shared" si="116"/>
        <v>101</v>
      </c>
      <c r="P1828" s="12">
        <f t="shared" si="117"/>
        <v>53</v>
      </c>
      <c r="Q1828" s="14" t="s">
        <v>8322</v>
      </c>
      <c r="R1828" t="s">
        <v>8323</v>
      </c>
      <c r="S1828" s="17">
        <f t="shared" si="118"/>
        <v>41657.923807870371</v>
      </c>
      <c r="T1828" s="17">
        <f t="shared" si="119"/>
        <v>41687.923807870371</v>
      </c>
      <c r="U1828">
        <f>MONTH(Table1[[#This Row],[Launched]])</f>
        <v>1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 s="8">
        <v>1299138561</v>
      </c>
      <c r="J1829">
        <v>1294818561</v>
      </c>
      <c r="K1829" t="b">
        <v>0</v>
      </c>
      <c r="L1829" s="10">
        <v>96</v>
      </c>
      <c r="M1829" t="b">
        <v>1</v>
      </c>
      <c r="N1829" t="s">
        <v>8274</v>
      </c>
      <c r="O1829" s="11">
        <f t="shared" si="116"/>
        <v>101</v>
      </c>
      <c r="P1829" s="12">
        <f t="shared" si="117"/>
        <v>84</v>
      </c>
      <c r="Q1829" s="14" t="s">
        <v>8322</v>
      </c>
      <c r="R1829" t="s">
        <v>8323</v>
      </c>
      <c r="S1829" s="17">
        <f t="shared" si="118"/>
        <v>40555.325937499998</v>
      </c>
      <c r="T1829" s="17">
        <f t="shared" si="119"/>
        <v>40605.325937499998</v>
      </c>
      <c r="U1829">
        <f>MONTH(Table1[[#This Row],[Launched]])</f>
        <v>1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 s="8">
        <v>1399672800</v>
      </c>
      <c r="J1830">
        <v>1396906530</v>
      </c>
      <c r="K1830" t="b">
        <v>0</v>
      </c>
      <c r="L1830" s="10">
        <v>48</v>
      </c>
      <c r="M1830" t="b">
        <v>1</v>
      </c>
      <c r="N1830" t="s">
        <v>8274</v>
      </c>
      <c r="O1830" s="11">
        <f t="shared" si="116"/>
        <v>100</v>
      </c>
      <c r="P1830" s="12">
        <f t="shared" si="117"/>
        <v>417</v>
      </c>
      <c r="Q1830" s="14" t="s">
        <v>8322</v>
      </c>
      <c r="R1830" t="s">
        <v>8323</v>
      </c>
      <c r="S1830" s="17">
        <f t="shared" si="118"/>
        <v>41736.899652777778</v>
      </c>
      <c r="T1830" s="17">
        <f t="shared" si="119"/>
        <v>41768.916666666664</v>
      </c>
      <c r="U1830">
        <f>MONTH(Table1[[#This Row],[Launched]])</f>
        <v>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 s="8">
        <v>1295647200</v>
      </c>
      <c r="J1831">
        <v>1291428371</v>
      </c>
      <c r="K1831" t="b">
        <v>0</v>
      </c>
      <c r="L1831" s="10">
        <v>33</v>
      </c>
      <c r="M1831" t="b">
        <v>1</v>
      </c>
      <c r="N1831" t="s">
        <v>8274</v>
      </c>
      <c r="O1831" s="11">
        <f t="shared" si="116"/>
        <v>167</v>
      </c>
      <c r="P1831" s="12">
        <f t="shared" si="117"/>
        <v>76</v>
      </c>
      <c r="Q1831" s="14" t="s">
        <v>8322</v>
      </c>
      <c r="R1831" t="s">
        <v>8323</v>
      </c>
      <c r="S1831" s="17">
        <f t="shared" si="118"/>
        <v>40516.087627314817</v>
      </c>
      <c r="T1831" s="17">
        <f t="shared" si="119"/>
        <v>40564.916666666664</v>
      </c>
      <c r="U1831">
        <f>MONTH(Table1[[#This Row],[Launched]])</f>
        <v>12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 s="8">
        <v>1393259107</v>
      </c>
      <c r="J1832">
        <v>1390667107</v>
      </c>
      <c r="K1832" t="b">
        <v>0</v>
      </c>
      <c r="L1832" s="10">
        <v>226</v>
      </c>
      <c r="M1832" t="b">
        <v>1</v>
      </c>
      <c r="N1832" t="s">
        <v>8274</v>
      </c>
      <c r="O1832" s="11">
        <f t="shared" si="116"/>
        <v>102</v>
      </c>
      <c r="P1832" s="12">
        <f t="shared" si="117"/>
        <v>67</v>
      </c>
      <c r="Q1832" s="14" t="s">
        <v>8322</v>
      </c>
      <c r="R1832" t="s">
        <v>8323</v>
      </c>
      <c r="S1832" s="17">
        <f t="shared" si="118"/>
        <v>41664.684108796297</v>
      </c>
      <c r="T1832" s="17">
        <f t="shared" si="119"/>
        <v>41694.684108796297</v>
      </c>
      <c r="U1832">
        <f>MONTH(Table1[[#This Row],[Launched]])</f>
        <v>1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 s="8">
        <v>1336866863</v>
      </c>
      <c r="J1833">
        <v>1335570863</v>
      </c>
      <c r="K1833" t="b">
        <v>0</v>
      </c>
      <c r="L1833" s="10">
        <v>14</v>
      </c>
      <c r="M1833" t="b">
        <v>1</v>
      </c>
      <c r="N1833" t="s">
        <v>8274</v>
      </c>
      <c r="O1833" s="11">
        <f t="shared" si="116"/>
        <v>103</v>
      </c>
      <c r="P1833" s="12">
        <f t="shared" si="117"/>
        <v>74</v>
      </c>
      <c r="Q1833" s="14" t="s">
        <v>8322</v>
      </c>
      <c r="R1833" t="s">
        <v>8323</v>
      </c>
      <c r="S1833" s="17">
        <f t="shared" si="118"/>
        <v>41026.996099537035</v>
      </c>
      <c r="T1833" s="17">
        <f t="shared" si="119"/>
        <v>41041.996099537035</v>
      </c>
      <c r="U1833">
        <f>MONTH(Table1[[#This Row],[Launched]])</f>
        <v>4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8218</v>
      </c>
      <c r="G1834" t="s">
        <v>8223</v>
      </c>
      <c r="H1834" t="s">
        <v>8245</v>
      </c>
      <c r="I1834" s="8">
        <v>1299243427</v>
      </c>
      <c r="J1834">
        <v>1296651427</v>
      </c>
      <c r="K1834" t="b">
        <v>0</v>
      </c>
      <c r="L1834" s="10">
        <v>20</v>
      </c>
      <c r="M1834" t="b">
        <v>1</v>
      </c>
      <c r="N1834" t="s">
        <v>8274</v>
      </c>
      <c r="O1834" s="11">
        <f t="shared" si="116"/>
        <v>143</v>
      </c>
      <c r="P1834" s="12">
        <f t="shared" si="117"/>
        <v>25</v>
      </c>
      <c r="Q1834" s="14" t="s">
        <v>8322</v>
      </c>
      <c r="R1834" t="s">
        <v>8323</v>
      </c>
      <c r="S1834" s="17">
        <f t="shared" si="118"/>
        <v>40576.539664351854</v>
      </c>
      <c r="T1834" s="17">
        <f t="shared" si="119"/>
        <v>40606.539664351854</v>
      </c>
      <c r="U1834">
        <f>MONTH(Table1[[#This Row],[Launched]])</f>
        <v>2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8218</v>
      </c>
      <c r="G1835" t="s">
        <v>8223</v>
      </c>
      <c r="H1835" t="s">
        <v>8245</v>
      </c>
      <c r="I1835" s="8">
        <v>1362211140</v>
      </c>
      <c r="J1835">
        <v>1359421403</v>
      </c>
      <c r="K1835" t="b">
        <v>0</v>
      </c>
      <c r="L1835" s="10">
        <v>25</v>
      </c>
      <c r="M1835" t="b">
        <v>1</v>
      </c>
      <c r="N1835" t="s">
        <v>8274</v>
      </c>
      <c r="O1835" s="11">
        <f t="shared" si="116"/>
        <v>263</v>
      </c>
      <c r="P1835" s="12">
        <f t="shared" si="117"/>
        <v>42</v>
      </c>
      <c r="Q1835" s="14" t="s">
        <v>8322</v>
      </c>
      <c r="R1835" t="s">
        <v>8323</v>
      </c>
      <c r="S1835" s="17">
        <f t="shared" si="118"/>
        <v>41303.044016203705</v>
      </c>
      <c r="T1835" s="17">
        <f t="shared" si="119"/>
        <v>41335.332638888889</v>
      </c>
      <c r="U1835">
        <f>MONTH(Table1[[#This Row],[Launched]])</f>
        <v>1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 s="8">
        <v>1422140895</v>
      </c>
      <c r="J1836">
        <v>1418684895</v>
      </c>
      <c r="K1836" t="b">
        <v>0</v>
      </c>
      <c r="L1836" s="10">
        <v>90</v>
      </c>
      <c r="M1836" t="b">
        <v>1</v>
      </c>
      <c r="N1836" t="s">
        <v>8274</v>
      </c>
      <c r="O1836" s="11">
        <f t="shared" si="116"/>
        <v>118</v>
      </c>
      <c r="P1836" s="12">
        <f t="shared" si="117"/>
        <v>131</v>
      </c>
      <c r="Q1836" s="14" t="s">
        <v>8322</v>
      </c>
      <c r="R1836" t="s">
        <v>8323</v>
      </c>
      <c r="S1836" s="17">
        <f t="shared" si="118"/>
        <v>41988.964062500003</v>
      </c>
      <c r="T1836" s="17">
        <f t="shared" si="119"/>
        <v>42028.964062500003</v>
      </c>
      <c r="U1836">
        <f>MONTH(Table1[[#This Row],[Launched]])</f>
        <v>12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8218</v>
      </c>
      <c r="G1837" t="s">
        <v>8224</v>
      </c>
      <c r="H1837" t="s">
        <v>8246</v>
      </c>
      <c r="I1837" s="8">
        <v>1459439471</v>
      </c>
      <c r="J1837">
        <v>1456851071</v>
      </c>
      <c r="K1837" t="b">
        <v>0</v>
      </c>
      <c r="L1837" s="10">
        <v>11</v>
      </c>
      <c r="M1837" t="b">
        <v>1</v>
      </c>
      <c r="N1837" t="s">
        <v>8274</v>
      </c>
      <c r="O1837" s="11">
        <f t="shared" si="116"/>
        <v>104</v>
      </c>
      <c r="P1837" s="12">
        <f t="shared" si="117"/>
        <v>47</v>
      </c>
      <c r="Q1837" s="14" t="s">
        <v>8322</v>
      </c>
      <c r="R1837" t="s">
        <v>8323</v>
      </c>
      <c r="S1837" s="17">
        <f t="shared" si="118"/>
        <v>42430.702210648145</v>
      </c>
      <c r="T1837" s="17">
        <f t="shared" si="119"/>
        <v>42460.660543981481</v>
      </c>
      <c r="U1837">
        <f>MONTH(Table1[[#This Row],[Launched]])</f>
        <v>3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 s="8">
        <v>1361129129</v>
      </c>
      <c r="J1838">
        <v>1359660329</v>
      </c>
      <c r="K1838" t="b">
        <v>0</v>
      </c>
      <c r="L1838" s="10">
        <v>55</v>
      </c>
      <c r="M1838" t="b">
        <v>1</v>
      </c>
      <c r="N1838" t="s">
        <v>8274</v>
      </c>
      <c r="O1838" s="11">
        <f t="shared" si="116"/>
        <v>200</v>
      </c>
      <c r="P1838" s="12">
        <f t="shared" si="117"/>
        <v>182</v>
      </c>
      <c r="Q1838" s="14" t="s">
        <v>8322</v>
      </c>
      <c r="R1838" t="s">
        <v>8323</v>
      </c>
      <c r="S1838" s="17">
        <f t="shared" si="118"/>
        <v>41305.809363425928</v>
      </c>
      <c r="T1838" s="17">
        <f t="shared" si="119"/>
        <v>41322.809363425928</v>
      </c>
      <c r="U1838">
        <f>MONTH(Table1[[#This Row],[Launched]])</f>
        <v>1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8218</v>
      </c>
      <c r="G1839" t="s">
        <v>8223</v>
      </c>
      <c r="H1839" t="s">
        <v>8245</v>
      </c>
      <c r="I1839" s="8">
        <v>1332029335</v>
      </c>
      <c r="J1839">
        <v>1326848935</v>
      </c>
      <c r="K1839" t="b">
        <v>0</v>
      </c>
      <c r="L1839" s="10">
        <v>30</v>
      </c>
      <c r="M1839" t="b">
        <v>1</v>
      </c>
      <c r="N1839" t="s">
        <v>8274</v>
      </c>
      <c r="O1839" s="11">
        <f t="shared" si="116"/>
        <v>307</v>
      </c>
      <c r="P1839" s="12">
        <f t="shared" si="117"/>
        <v>61</v>
      </c>
      <c r="Q1839" s="14" t="s">
        <v>8322</v>
      </c>
      <c r="R1839" t="s">
        <v>8323</v>
      </c>
      <c r="S1839" s="17">
        <f t="shared" si="118"/>
        <v>40926.047858796301</v>
      </c>
      <c r="T1839" s="17">
        <f t="shared" si="119"/>
        <v>40986.006192129629</v>
      </c>
      <c r="U1839">
        <f>MONTH(Table1[[#This Row],[Launched]])</f>
        <v>1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 s="8">
        <v>1317438000</v>
      </c>
      <c r="J1840">
        <v>1314989557</v>
      </c>
      <c r="K1840" t="b">
        <v>0</v>
      </c>
      <c r="L1840" s="10">
        <v>28</v>
      </c>
      <c r="M1840" t="b">
        <v>1</v>
      </c>
      <c r="N1840" t="s">
        <v>8274</v>
      </c>
      <c r="O1840" s="11">
        <f t="shared" si="116"/>
        <v>100</v>
      </c>
      <c r="P1840" s="12">
        <f t="shared" si="117"/>
        <v>36</v>
      </c>
      <c r="Q1840" s="14" t="s">
        <v>8322</v>
      </c>
      <c r="R1840" t="s">
        <v>8323</v>
      </c>
      <c r="S1840" s="17">
        <f t="shared" si="118"/>
        <v>40788.786539351851</v>
      </c>
      <c r="T1840" s="17">
        <f t="shared" si="119"/>
        <v>40817.125</v>
      </c>
      <c r="U1840">
        <f>MONTH(Table1[[#This Row],[Launched]])</f>
        <v>9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 s="8">
        <v>1475342382</v>
      </c>
      <c r="J1841">
        <v>1472750382</v>
      </c>
      <c r="K1841" t="b">
        <v>0</v>
      </c>
      <c r="L1841" s="10">
        <v>45</v>
      </c>
      <c r="M1841" t="b">
        <v>1</v>
      </c>
      <c r="N1841" t="s">
        <v>8274</v>
      </c>
      <c r="O1841" s="11">
        <f t="shared" si="116"/>
        <v>205</v>
      </c>
      <c r="P1841" s="12">
        <f t="shared" si="117"/>
        <v>46</v>
      </c>
      <c r="Q1841" s="14" t="s">
        <v>8322</v>
      </c>
      <c r="R1841" t="s">
        <v>8323</v>
      </c>
      <c r="S1841" s="17">
        <f t="shared" si="118"/>
        <v>42614.722013888888</v>
      </c>
      <c r="T1841" s="17">
        <f t="shared" si="119"/>
        <v>42644.722013888888</v>
      </c>
      <c r="U1841">
        <f>MONTH(Table1[[#This Row],[Launched]])</f>
        <v>9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8218</v>
      </c>
      <c r="G1842" t="s">
        <v>8223</v>
      </c>
      <c r="H1842" t="s">
        <v>8245</v>
      </c>
      <c r="I1842" s="8">
        <v>1367902740</v>
      </c>
      <c r="J1842">
        <v>1366251510</v>
      </c>
      <c r="K1842" t="b">
        <v>0</v>
      </c>
      <c r="L1842" s="10">
        <v>13</v>
      </c>
      <c r="M1842" t="b">
        <v>1</v>
      </c>
      <c r="N1842" t="s">
        <v>8274</v>
      </c>
      <c r="O1842" s="11">
        <f t="shared" si="116"/>
        <v>109</v>
      </c>
      <c r="P1842" s="12">
        <f t="shared" si="117"/>
        <v>75</v>
      </c>
      <c r="Q1842" s="14" t="s">
        <v>8322</v>
      </c>
      <c r="R1842" t="s">
        <v>8323</v>
      </c>
      <c r="S1842" s="17">
        <f t="shared" si="118"/>
        <v>41382.096180555556</v>
      </c>
      <c r="T1842" s="17">
        <f t="shared" si="119"/>
        <v>41401.207638888889</v>
      </c>
      <c r="U1842">
        <f>MONTH(Table1[[#This Row],[Launched]])</f>
        <v>4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 s="8">
        <v>1400561940</v>
      </c>
      <c r="J1843">
        <v>1397679445</v>
      </c>
      <c r="K1843" t="b">
        <v>0</v>
      </c>
      <c r="L1843" s="10">
        <v>40</v>
      </c>
      <c r="M1843" t="b">
        <v>1</v>
      </c>
      <c r="N1843" t="s">
        <v>8274</v>
      </c>
      <c r="O1843" s="11">
        <f t="shared" si="116"/>
        <v>102</v>
      </c>
      <c r="P1843" s="12">
        <f t="shared" si="117"/>
        <v>51</v>
      </c>
      <c r="Q1843" s="14" t="s">
        <v>8322</v>
      </c>
      <c r="R1843" t="s">
        <v>8323</v>
      </c>
      <c r="S1843" s="17">
        <f t="shared" si="118"/>
        <v>41745.84542824074</v>
      </c>
      <c r="T1843" s="17">
        <f t="shared" si="119"/>
        <v>41779.207638888889</v>
      </c>
      <c r="U1843">
        <f>MONTH(Table1[[#This Row],[Launched]])</f>
        <v>4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 s="8">
        <v>1425275940</v>
      </c>
      <c r="J1844">
        <v>1422371381</v>
      </c>
      <c r="K1844" t="b">
        <v>0</v>
      </c>
      <c r="L1844" s="10">
        <v>21</v>
      </c>
      <c r="M1844" t="b">
        <v>1</v>
      </c>
      <c r="N1844" t="s">
        <v>8274</v>
      </c>
      <c r="O1844" s="11">
        <f t="shared" si="116"/>
        <v>125</v>
      </c>
      <c r="P1844" s="12">
        <f t="shared" si="117"/>
        <v>119</v>
      </c>
      <c r="Q1844" s="14" t="s">
        <v>8322</v>
      </c>
      <c r="R1844" t="s">
        <v>8323</v>
      </c>
      <c r="S1844" s="17">
        <f t="shared" si="118"/>
        <v>42031.631724537037</v>
      </c>
      <c r="T1844" s="17">
        <f t="shared" si="119"/>
        <v>42065.249305555553</v>
      </c>
      <c r="U1844">
        <f>MONTH(Table1[[#This Row],[Launched]])</f>
        <v>1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 s="8">
        <v>1298245954</v>
      </c>
      <c r="J1845">
        <v>1295653954</v>
      </c>
      <c r="K1845" t="b">
        <v>0</v>
      </c>
      <c r="L1845" s="10">
        <v>134</v>
      </c>
      <c r="M1845" t="b">
        <v>1</v>
      </c>
      <c r="N1845" t="s">
        <v>8274</v>
      </c>
      <c r="O1845" s="11">
        <f t="shared" si="116"/>
        <v>124</v>
      </c>
      <c r="P1845" s="12">
        <f t="shared" si="117"/>
        <v>93</v>
      </c>
      <c r="Q1845" s="14" t="s">
        <v>8322</v>
      </c>
      <c r="R1845" t="s">
        <v>8323</v>
      </c>
      <c r="S1845" s="17">
        <f t="shared" si="118"/>
        <v>40564.994837962964</v>
      </c>
      <c r="T1845" s="17">
        <f t="shared" si="119"/>
        <v>40594.994837962964</v>
      </c>
      <c r="U1845">
        <f>MONTH(Table1[[#This Row],[Launched]])</f>
        <v>1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 s="8">
        <v>1307761200</v>
      </c>
      <c r="J1846">
        <v>1304464914</v>
      </c>
      <c r="K1846" t="b">
        <v>0</v>
      </c>
      <c r="L1846" s="10">
        <v>20</v>
      </c>
      <c r="M1846" t="b">
        <v>1</v>
      </c>
      <c r="N1846" t="s">
        <v>8274</v>
      </c>
      <c r="O1846" s="11">
        <f t="shared" si="116"/>
        <v>101</v>
      </c>
      <c r="P1846" s="12">
        <f t="shared" si="117"/>
        <v>76</v>
      </c>
      <c r="Q1846" s="14" t="s">
        <v>8322</v>
      </c>
      <c r="R1846" t="s">
        <v>8323</v>
      </c>
      <c r="S1846" s="17">
        <f t="shared" si="118"/>
        <v>40666.973541666666</v>
      </c>
      <c r="T1846" s="17">
        <f t="shared" si="119"/>
        <v>40705.125</v>
      </c>
      <c r="U1846">
        <f>MONTH(Table1[[#This Row],[Launched]])</f>
        <v>5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 s="8">
        <v>1466139300</v>
      </c>
      <c r="J1847">
        <v>1464854398</v>
      </c>
      <c r="K1847" t="b">
        <v>0</v>
      </c>
      <c r="L1847" s="10">
        <v>19</v>
      </c>
      <c r="M1847" t="b">
        <v>1</v>
      </c>
      <c r="N1847" t="s">
        <v>8274</v>
      </c>
      <c r="O1847" s="11">
        <f t="shared" si="116"/>
        <v>100</v>
      </c>
      <c r="P1847" s="12">
        <f t="shared" si="117"/>
        <v>53</v>
      </c>
      <c r="Q1847" s="14" t="s">
        <v>8322</v>
      </c>
      <c r="R1847" t="s">
        <v>8323</v>
      </c>
      <c r="S1847" s="17">
        <f t="shared" si="118"/>
        <v>42523.333310185189</v>
      </c>
      <c r="T1847" s="17">
        <f t="shared" si="119"/>
        <v>42538.204861111109</v>
      </c>
      <c r="U1847">
        <f>MONTH(Table1[[#This Row],[Launched]])</f>
        <v>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 s="8">
        <v>1355585777</v>
      </c>
      <c r="J1848">
        <v>1352993777</v>
      </c>
      <c r="K1848" t="b">
        <v>0</v>
      </c>
      <c r="L1848" s="10">
        <v>209</v>
      </c>
      <c r="M1848" t="b">
        <v>1</v>
      </c>
      <c r="N1848" t="s">
        <v>8274</v>
      </c>
      <c r="O1848" s="11">
        <f t="shared" si="116"/>
        <v>138</v>
      </c>
      <c r="P1848" s="12">
        <f t="shared" si="117"/>
        <v>99</v>
      </c>
      <c r="Q1848" s="14" t="s">
        <v>8322</v>
      </c>
      <c r="R1848" t="s">
        <v>8323</v>
      </c>
      <c r="S1848" s="17">
        <f t="shared" si="118"/>
        <v>41228.650196759263</v>
      </c>
      <c r="T1848" s="17">
        <f t="shared" si="119"/>
        <v>41258.650196759263</v>
      </c>
      <c r="U1848">
        <f>MONTH(Table1[[#This Row],[Launched]])</f>
        <v>11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 s="8">
        <v>1429594832</v>
      </c>
      <c r="J1849">
        <v>1427780432</v>
      </c>
      <c r="K1849" t="b">
        <v>0</v>
      </c>
      <c r="L1849" s="10">
        <v>38</v>
      </c>
      <c r="M1849" t="b">
        <v>1</v>
      </c>
      <c r="N1849" t="s">
        <v>8274</v>
      </c>
      <c r="O1849" s="11">
        <f t="shared" si="116"/>
        <v>121</v>
      </c>
      <c r="P1849" s="12">
        <f t="shared" si="117"/>
        <v>80</v>
      </c>
      <c r="Q1849" s="14" t="s">
        <v>8322</v>
      </c>
      <c r="R1849" t="s">
        <v>8323</v>
      </c>
      <c r="S1849" s="17">
        <f t="shared" si="118"/>
        <v>42094.236481481479</v>
      </c>
      <c r="T1849" s="17">
        <f t="shared" si="119"/>
        <v>42115.236481481479</v>
      </c>
      <c r="U1849">
        <f>MONTH(Table1[[#This Row],[Launched]])</f>
        <v>3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 s="8">
        <v>1312095540</v>
      </c>
      <c r="J1850">
        <v>1306608888</v>
      </c>
      <c r="K1850" t="b">
        <v>0</v>
      </c>
      <c r="L1850" s="10">
        <v>24</v>
      </c>
      <c r="M1850" t="b">
        <v>1</v>
      </c>
      <c r="N1850" t="s">
        <v>8274</v>
      </c>
      <c r="O1850" s="11">
        <f t="shared" si="116"/>
        <v>107</v>
      </c>
      <c r="P1850" s="12">
        <f t="shared" si="117"/>
        <v>134</v>
      </c>
      <c r="Q1850" s="14" t="s">
        <v>8322</v>
      </c>
      <c r="R1850" t="s">
        <v>8323</v>
      </c>
      <c r="S1850" s="17">
        <f t="shared" si="118"/>
        <v>40691.788055555553</v>
      </c>
      <c r="T1850" s="17">
        <f t="shared" si="119"/>
        <v>40755.290972222225</v>
      </c>
      <c r="U1850">
        <f>MONTH(Table1[[#This Row],[Launched]])</f>
        <v>5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8218</v>
      </c>
      <c r="G1851" t="s">
        <v>8223</v>
      </c>
      <c r="H1851" t="s">
        <v>8245</v>
      </c>
      <c r="I1851" s="8">
        <v>1350505059</v>
      </c>
      <c r="J1851">
        <v>1347913059</v>
      </c>
      <c r="K1851" t="b">
        <v>0</v>
      </c>
      <c r="L1851" s="10">
        <v>8</v>
      </c>
      <c r="M1851" t="b">
        <v>1</v>
      </c>
      <c r="N1851" t="s">
        <v>8274</v>
      </c>
      <c r="O1851" s="11">
        <f t="shared" si="116"/>
        <v>100</v>
      </c>
      <c r="P1851" s="12">
        <f t="shared" si="117"/>
        <v>38</v>
      </c>
      <c r="Q1851" s="14" t="s">
        <v>8322</v>
      </c>
      <c r="R1851" t="s">
        <v>8323</v>
      </c>
      <c r="S1851" s="17">
        <f t="shared" si="118"/>
        <v>41169.845590277779</v>
      </c>
      <c r="T1851" s="17">
        <f t="shared" si="119"/>
        <v>41199.845590277779</v>
      </c>
      <c r="U1851">
        <f>MONTH(Table1[[#This Row],[Launched]])</f>
        <v>9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 s="8">
        <v>1405033300</v>
      </c>
      <c r="J1852">
        <v>1402441300</v>
      </c>
      <c r="K1852" t="b">
        <v>0</v>
      </c>
      <c r="L1852" s="10">
        <v>179</v>
      </c>
      <c r="M1852" t="b">
        <v>1</v>
      </c>
      <c r="N1852" t="s">
        <v>8274</v>
      </c>
      <c r="O1852" s="11">
        <f t="shared" si="116"/>
        <v>102</v>
      </c>
      <c r="P1852" s="12">
        <f t="shared" si="117"/>
        <v>51</v>
      </c>
      <c r="Q1852" s="14" t="s">
        <v>8322</v>
      </c>
      <c r="R1852" t="s">
        <v>8323</v>
      </c>
      <c r="S1852" s="17">
        <f t="shared" si="118"/>
        <v>41800.959490740745</v>
      </c>
      <c r="T1852" s="17">
        <f t="shared" si="119"/>
        <v>41830.959490740745</v>
      </c>
      <c r="U1852">
        <f>MONTH(Table1[[#This Row],[Launched]])</f>
        <v>6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 s="8">
        <v>1406509200</v>
      </c>
      <c r="J1853">
        <v>1404769538</v>
      </c>
      <c r="K1853" t="b">
        <v>0</v>
      </c>
      <c r="L1853" s="10">
        <v>26</v>
      </c>
      <c r="M1853" t="b">
        <v>1</v>
      </c>
      <c r="N1853" t="s">
        <v>8274</v>
      </c>
      <c r="O1853" s="11">
        <f t="shared" si="116"/>
        <v>100</v>
      </c>
      <c r="P1853" s="12">
        <f t="shared" si="117"/>
        <v>50</v>
      </c>
      <c r="Q1853" s="14" t="s">
        <v>8322</v>
      </c>
      <c r="R1853" t="s">
        <v>8323</v>
      </c>
      <c r="S1853" s="17">
        <f t="shared" si="118"/>
        <v>41827.906689814816</v>
      </c>
      <c r="T1853" s="17">
        <f t="shared" si="119"/>
        <v>41848.041666666664</v>
      </c>
      <c r="U1853">
        <f>MONTH(Table1[[#This Row],[Launched]])</f>
        <v>7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 s="8">
        <v>1429920000</v>
      </c>
      <c r="J1854">
        <v>1426703452</v>
      </c>
      <c r="K1854" t="b">
        <v>0</v>
      </c>
      <c r="L1854" s="10">
        <v>131</v>
      </c>
      <c r="M1854" t="b">
        <v>1</v>
      </c>
      <c r="N1854" t="s">
        <v>8274</v>
      </c>
      <c r="O1854" s="11">
        <f t="shared" si="116"/>
        <v>117</v>
      </c>
      <c r="P1854" s="12">
        <f t="shared" si="117"/>
        <v>134</v>
      </c>
      <c r="Q1854" s="14" t="s">
        <v>8322</v>
      </c>
      <c r="R1854" t="s">
        <v>8323</v>
      </c>
      <c r="S1854" s="17">
        <f t="shared" si="118"/>
        <v>42081.77143518519</v>
      </c>
      <c r="T1854" s="17">
        <f t="shared" si="119"/>
        <v>42119</v>
      </c>
      <c r="U1854">
        <f>MONTH(Table1[[#This Row],[Launched]])</f>
        <v>3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8218</v>
      </c>
      <c r="G1855" t="s">
        <v>8223</v>
      </c>
      <c r="H1855" t="s">
        <v>8245</v>
      </c>
      <c r="I1855" s="8">
        <v>1352860017</v>
      </c>
      <c r="J1855">
        <v>1348536417</v>
      </c>
      <c r="K1855" t="b">
        <v>0</v>
      </c>
      <c r="L1855" s="10">
        <v>14</v>
      </c>
      <c r="M1855" t="b">
        <v>1</v>
      </c>
      <c r="N1855" t="s">
        <v>8274</v>
      </c>
      <c r="O1855" s="11">
        <f t="shared" si="116"/>
        <v>102</v>
      </c>
      <c r="P1855" s="12">
        <f t="shared" si="117"/>
        <v>58</v>
      </c>
      <c r="Q1855" s="14" t="s">
        <v>8322</v>
      </c>
      <c r="R1855" t="s">
        <v>8323</v>
      </c>
      <c r="S1855" s="17">
        <f t="shared" si="118"/>
        <v>41177.060381944444</v>
      </c>
      <c r="T1855" s="17">
        <f t="shared" si="119"/>
        <v>41227.102048611108</v>
      </c>
      <c r="U1855">
        <f>MONTH(Table1[[#This Row],[Launched]])</f>
        <v>9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 s="8">
        <v>1369355437</v>
      </c>
      <c r="J1856">
        <v>1366763437</v>
      </c>
      <c r="K1856" t="b">
        <v>0</v>
      </c>
      <c r="L1856" s="10">
        <v>174</v>
      </c>
      <c r="M1856" t="b">
        <v>1</v>
      </c>
      <c r="N1856" t="s">
        <v>8274</v>
      </c>
      <c r="O1856" s="11">
        <f t="shared" si="116"/>
        <v>102</v>
      </c>
      <c r="P1856" s="12">
        <f t="shared" si="117"/>
        <v>88</v>
      </c>
      <c r="Q1856" s="14" t="s">
        <v>8322</v>
      </c>
      <c r="R1856" t="s">
        <v>8323</v>
      </c>
      <c r="S1856" s="17">
        <f t="shared" si="118"/>
        <v>41388.021261574075</v>
      </c>
      <c r="T1856" s="17">
        <f t="shared" si="119"/>
        <v>41418.021261574075</v>
      </c>
      <c r="U1856">
        <f>MONTH(Table1[[#This Row],[Launched]])</f>
        <v>4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 s="8">
        <v>1389012940</v>
      </c>
      <c r="J1857">
        <v>1385124940</v>
      </c>
      <c r="K1857" t="b">
        <v>0</v>
      </c>
      <c r="L1857" s="10">
        <v>191</v>
      </c>
      <c r="M1857" t="b">
        <v>1</v>
      </c>
      <c r="N1857" t="s">
        <v>8274</v>
      </c>
      <c r="O1857" s="11">
        <f t="shared" si="116"/>
        <v>154</v>
      </c>
      <c r="P1857" s="12">
        <f t="shared" si="117"/>
        <v>71</v>
      </c>
      <c r="Q1857" s="14" t="s">
        <v>8322</v>
      </c>
      <c r="R1857" t="s">
        <v>8323</v>
      </c>
      <c r="S1857" s="17">
        <f t="shared" si="118"/>
        <v>41600.538657407407</v>
      </c>
      <c r="T1857" s="17">
        <f t="shared" si="119"/>
        <v>41645.538657407407</v>
      </c>
      <c r="U1857">
        <f>MONTH(Table1[[#This Row],[Launched]])</f>
        <v>11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 s="8">
        <v>1405715472</v>
      </c>
      <c r="J1858">
        <v>1403901072</v>
      </c>
      <c r="K1858" t="b">
        <v>0</v>
      </c>
      <c r="L1858" s="10">
        <v>38</v>
      </c>
      <c r="M1858" t="b">
        <v>1</v>
      </c>
      <c r="N1858" t="s">
        <v>8274</v>
      </c>
      <c r="O1858" s="11">
        <f t="shared" ref="O1858:O1921" si="120">ROUND(E1858/D1858*100,0)</f>
        <v>101</v>
      </c>
      <c r="P1858" s="12">
        <f t="shared" si="117"/>
        <v>53</v>
      </c>
      <c r="Q1858" s="14" t="s">
        <v>8322</v>
      </c>
      <c r="R1858" t="s">
        <v>8323</v>
      </c>
      <c r="S1858" s="17">
        <f t="shared" si="118"/>
        <v>41817.854999999996</v>
      </c>
      <c r="T1858" s="17">
        <f t="shared" si="119"/>
        <v>41838.854999999996</v>
      </c>
      <c r="U1858">
        <f>MONTH(Table1[[#This Row],[Launched]])</f>
        <v>6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 s="8">
        <v>1410546413</v>
      </c>
      <c r="J1859">
        <v>1407954413</v>
      </c>
      <c r="K1859" t="b">
        <v>0</v>
      </c>
      <c r="L1859" s="10">
        <v>22</v>
      </c>
      <c r="M1859" t="b">
        <v>1</v>
      </c>
      <c r="N1859" t="s">
        <v>8274</v>
      </c>
      <c r="O1859" s="11">
        <f t="shared" si="120"/>
        <v>100</v>
      </c>
      <c r="P1859" s="12">
        <f t="shared" ref="P1859:P1922" si="121">IFERROR(ROUND(E1859/L1859,),"No Backers")</f>
        <v>136</v>
      </c>
      <c r="Q1859" s="14" t="s">
        <v>8322</v>
      </c>
      <c r="R1859" t="s">
        <v>8323</v>
      </c>
      <c r="S1859" s="17">
        <f t="shared" ref="S1859:S1922" si="122">(((J1859/60)/60)/24)+DATE(1970,1,1)</f>
        <v>41864.76866898148</v>
      </c>
      <c r="T1859" s="17">
        <f t="shared" ref="T1859:T1922" si="123">(((I1859/60)/60)/24)+DATE(1970,1,1)</f>
        <v>41894.76866898148</v>
      </c>
      <c r="U1859">
        <f>MONTH(Table1[[#This Row],[Launched]])</f>
        <v>8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 s="8">
        <v>1324014521</v>
      </c>
      <c r="J1860">
        <v>1318826921</v>
      </c>
      <c r="K1860" t="b">
        <v>0</v>
      </c>
      <c r="L1860" s="10">
        <v>149</v>
      </c>
      <c r="M1860" t="b">
        <v>1</v>
      </c>
      <c r="N1860" t="s">
        <v>8274</v>
      </c>
      <c r="O1860" s="11">
        <f t="shared" si="120"/>
        <v>109</v>
      </c>
      <c r="P1860" s="12">
        <f t="shared" si="121"/>
        <v>41</v>
      </c>
      <c r="Q1860" s="14" t="s">
        <v>8322</v>
      </c>
      <c r="R1860" t="s">
        <v>8323</v>
      </c>
      <c r="S1860" s="17">
        <f t="shared" si="122"/>
        <v>40833.200474537036</v>
      </c>
      <c r="T1860" s="17">
        <f t="shared" si="123"/>
        <v>40893.242141203707</v>
      </c>
      <c r="U1860">
        <f>MONTH(Table1[[#This Row],[Launched]])</f>
        <v>10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 s="8">
        <v>1316716129</v>
      </c>
      <c r="J1861">
        <v>1314124129</v>
      </c>
      <c r="K1861" t="b">
        <v>0</v>
      </c>
      <c r="L1861" s="10">
        <v>56</v>
      </c>
      <c r="M1861" t="b">
        <v>1</v>
      </c>
      <c r="N1861" t="s">
        <v>8274</v>
      </c>
      <c r="O1861" s="11">
        <f t="shared" si="120"/>
        <v>132</v>
      </c>
      <c r="P1861" s="12">
        <f t="shared" si="121"/>
        <v>71</v>
      </c>
      <c r="Q1861" s="14" t="s">
        <v>8322</v>
      </c>
      <c r="R1861" t="s">
        <v>8323</v>
      </c>
      <c r="S1861" s="17">
        <f t="shared" si="122"/>
        <v>40778.770011574074</v>
      </c>
      <c r="T1861" s="17">
        <f t="shared" si="123"/>
        <v>40808.770011574074</v>
      </c>
      <c r="U1861">
        <f>MONTH(Table1[[#This Row],[Launched]])</f>
        <v>8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8218</v>
      </c>
      <c r="G1862" t="s">
        <v>8223</v>
      </c>
      <c r="H1862" t="s">
        <v>8245</v>
      </c>
      <c r="I1862" s="8">
        <v>1391706084</v>
      </c>
      <c r="J1862">
        <v>1389891684</v>
      </c>
      <c r="K1862" t="b">
        <v>0</v>
      </c>
      <c r="L1862" s="10">
        <v>19</v>
      </c>
      <c r="M1862" t="b">
        <v>1</v>
      </c>
      <c r="N1862" t="s">
        <v>8274</v>
      </c>
      <c r="O1862" s="11">
        <f t="shared" si="120"/>
        <v>133</v>
      </c>
      <c r="P1862" s="12">
        <f t="shared" si="121"/>
        <v>53</v>
      </c>
      <c r="Q1862" s="14" t="s">
        <v>8322</v>
      </c>
      <c r="R1862" t="s">
        <v>8323</v>
      </c>
      <c r="S1862" s="17">
        <f t="shared" si="122"/>
        <v>41655.709305555552</v>
      </c>
      <c r="T1862" s="17">
        <f t="shared" si="123"/>
        <v>41676.709305555552</v>
      </c>
      <c r="U1862">
        <f>MONTH(Table1[[#This Row],[Launched]])</f>
        <v>1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8220</v>
      </c>
      <c r="G1863" t="s">
        <v>8224</v>
      </c>
      <c r="H1863" t="s">
        <v>8246</v>
      </c>
      <c r="I1863" s="8">
        <v>1422256341</v>
      </c>
      <c r="J1863">
        <v>1419664341</v>
      </c>
      <c r="K1863" t="b">
        <v>0</v>
      </c>
      <c r="L1863" s="10">
        <v>0</v>
      </c>
      <c r="M1863" t="b">
        <v>0</v>
      </c>
      <c r="N1863" t="s">
        <v>8281</v>
      </c>
      <c r="O1863" s="11">
        <f t="shared" si="120"/>
        <v>0</v>
      </c>
      <c r="P1863" s="12" t="str">
        <f t="shared" si="121"/>
        <v>No Backers</v>
      </c>
      <c r="Q1863" s="14" t="s">
        <v>8330</v>
      </c>
      <c r="R1863" t="s">
        <v>8332</v>
      </c>
      <c r="S1863" s="17">
        <f t="shared" si="122"/>
        <v>42000.300243055557</v>
      </c>
      <c r="T1863" s="17">
        <f t="shared" si="123"/>
        <v>42030.300243055557</v>
      </c>
      <c r="U1863">
        <f>MONTH(Table1[[#This Row],[Launched]])</f>
        <v>12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 s="8">
        <v>1488958200</v>
      </c>
      <c r="J1864">
        <v>1484912974</v>
      </c>
      <c r="K1864" t="b">
        <v>0</v>
      </c>
      <c r="L1864" s="10">
        <v>16</v>
      </c>
      <c r="M1864" t="b">
        <v>0</v>
      </c>
      <c r="N1864" t="s">
        <v>8281</v>
      </c>
      <c r="O1864" s="11">
        <f t="shared" si="120"/>
        <v>8</v>
      </c>
      <c r="P1864" s="12">
        <f t="shared" si="121"/>
        <v>91</v>
      </c>
      <c r="Q1864" s="14" t="s">
        <v>8330</v>
      </c>
      <c r="R1864" t="s">
        <v>8332</v>
      </c>
      <c r="S1864" s="17">
        <f t="shared" si="122"/>
        <v>42755.492754629624</v>
      </c>
      <c r="T1864" s="17">
        <f t="shared" si="123"/>
        <v>42802.3125</v>
      </c>
      <c r="U1864">
        <f>MONTH(Table1[[#This Row],[Launched]])</f>
        <v>1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8220</v>
      </c>
      <c r="G1865" t="s">
        <v>8223</v>
      </c>
      <c r="H1865" t="s">
        <v>8245</v>
      </c>
      <c r="I1865" s="8">
        <v>1402600085</v>
      </c>
      <c r="J1865">
        <v>1400008085</v>
      </c>
      <c r="K1865" t="b">
        <v>0</v>
      </c>
      <c r="L1865" s="10">
        <v>2</v>
      </c>
      <c r="M1865" t="b">
        <v>0</v>
      </c>
      <c r="N1865" t="s">
        <v>8281</v>
      </c>
      <c r="O1865" s="11">
        <f t="shared" si="120"/>
        <v>0</v>
      </c>
      <c r="P1865" s="12">
        <f t="shared" si="121"/>
        <v>5</v>
      </c>
      <c r="Q1865" s="14" t="s">
        <v>8330</v>
      </c>
      <c r="R1865" t="s">
        <v>8332</v>
      </c>
      <c r="S1865" s="17">
        <f t="shared" si="122"/>
        <v>41772.797280092593</v>
      </c>
      <c r="T1865" s="17">
        <f t="shared" si="123"/>
        <v>41802.797280092593</v>
      </c>
      <c r="U1865">
        <f>MONTH(Table1[[#This Row],[Launched]])</f>
        <v>5</v>
      </c>
    </row>
    <row r="1866" spans="1:21" ht="57.6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 s="8">
        <v>1399223500</v>
      </c>
      <c r="J1866">
        <v>1396631500</v>
      </c>
      <c r="K1866" t="b">
        <v>0</v>
      </c>
      <c r="L1866" s="10">
        <v>48</v>
      </c>
      <c r="M1866" t="b">
        <v>0</v>
      </c>
      <c r="N1866" t="s">
        <v>8281</v>
      </c>
      <c r="O1866" s="11">
        <f t="shared" si="120"/>
        <v>43</v>
      </c>
      <c r="P1866" s="12">
        <f t="shared" si="121"/>
        <v>58</v>
      </c>
      <c r="Q1866" s="14" t="s">
        <v>8330</v>
      </c>
      <c r="R1866" t="s">
        <v>8332</v>
      </c>
      <c r="S1866" s="17">
        <f t="shared" si="122"/>
        <v>41733.716435185182</v>
      </c>
      <c r="T1866" s="17">
        <f t="shared" si="123"/>
        <v>41763.716435185182</v>
      </c>
      <c r="U1866">
        <f>MONTH(Table1[[#This Row],[Launched]])</f>
        <v>4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8220</v>
      </c>
      <c r="G1867" t="s">
        <v>8224</v>
      </c>
      <c r="H1867" t="s">
        <v>8246</v>
      </c>
      <c r="I1867" s="8">
        <v>1478425747</v>
      </c>
      <c r="J1867">
        <v>1475398147</v>
      </c>
      <c r="K1867" t="b">
        <v>0</v>
      </c>
      <c r="L1867" s="10">
        <v>2</v>
      </c>
      <c r="M1867" t="b">
        <v>0</v>
      </c>
      <c r="N1867" t="s">
        <v>8281</v>
      </c>
      <c r="O1867" s="11">
        <f t="shared" si="120"/>
        <v>0</v>
      </c>
      <c r="P1867" s="12">
        <f t="shared" si="121"/>
        <v>2</v>
      </c>
      <c r="Q1867" s="14" t="s">
        <v>8330</v>
      </c>
      <c r="R1867" t="s">
        <v>8332</v>
      </c>
      <c r="S1867" s="17">
        <f t="shared" si="122"/>
        <v>42645.367442129631</v>
      </c>
      <c r="T1867" s="17">
        <f t="shared" si="123"/>
        <v>42680.409108796302</v>
      </c>
      <c r="U1867">
        <f>MONTH(Table1[[#This Row],[Launched]])</f>
        <v>10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 s="8">
        <v>1488340800</v>
      </c>
      <c r="J1868">
        <v>1483768497</v>
      </c>
      <c r="K1868" t="b">
        <v>0</v>
      </c>
      <c r="L1868" s="10">
        <v>2</v>
      </c>
      <c r="M1868" t="b">
        <v>0</v>
      </c>
      <c r="N1868" t="s">
        <v>8281</v>
      </c>
      <c r="O1868" s="11">
        <f t="shared" si="120"/>
        <v>1</v>
      </c>
      <c r="P1868" s="12">
        <f t="shared" si="121"/>
        <v>63</v>
      </c>
      <c r="Q1868" s="14" t="s">
        <v>8330</v>
      </c>
      <c r="R1868" t="s">
        <v>8332</v>
      </c>
      <c r="S1868" s="17">
        <f t="shared" si="122"/>
        <v>42742.246493055558</v>
      </c>
      <c r="T1868" s="17">
        <f t="shared" si="123"/>
        <v>42795.166666666672</v>
      </c>
      <c r="U1868">
        <f>MONTH(Table1[[#This Row],[Launched]])</f>
        <v>1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8220</v>
      </c>
      <c r="G1869" t="s">
        <v>8223</v>
      </c>
      <c r="H1869" t="s">
        <v>8245</v>
      </c>
      <c r="I1869" s="8">
        <v>1478383912</v>
      </c>
      <c r="J1869">
        <v>1475791912</v>
      </c>
      <c r="K1869" t="b">
        <v>0</v>
      </c>
      <c r="L1869" s="10">
        <v>1</v>
      </c>
      <c r="M1869" t="b">
        <v>0</v>
      </c>
      <c r="N1869" t="s">
        <v>8281</v>
      </c>
      <c r="O1869" s="11">
        <f t="shared" si="120"/>
        <v>0</v>
      </c>
      <c r="P1869" s="12">
        <f t="shared" si="121"/>
        <v>10</v>
      </c>
      <c r="Q1869" s="14" t="s">
        <v>8330</v>
      </c>
      <c r="R1869" t="s">
        <v>8332</v>
      </c>
      <c r="S1869" s="17">
        <f t="shared" si="122"/>
        <v>42649.924907407403</v>
      </c>
      <c r="T1869" s="17">
        <f t="shared" si="123"/>
        <v>42679.924907407403</v>
      </c>
      <c r="U1869">
        <f>MONTH(Table1[[#This Row],[Launched]])</f>
        <v>10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 s="8">
        <v>1450166340</v>
      </c>
      <c r="J1870">
        <v>1448044925</v>
      </c>
      <c r="K1870" t="b">
        <v>0</v>
      </c>
      <c r="L1870" s="10">
        <v>17</v>
      </c>
      <c r="M1870" t="b">
        <v>0</v>
      </c>
      <c r="N1870" t="s">
        <v>8281</v>
      </c>
      <c r="O1870" s="11">
        <f t="shared" si="120"/>
        <v>5</v>
      </c>
      <c r="P1870" s="12">
        <f t="shared" si="121"/>
        <v>72</v>
      </c>
      <c r="Q1870" s="14" t="s">
        <v>8330</v>
      </c>
      <c r="R1870" t="s">
        <v>8332</v>
      </c>
      <c r="S1870" s="17">
        <f t="shared" si="122"/>
        <v>42328.779224537036</v>
      </c>
      <c r="T1870" s="17">
        <f t="shared" si="123"/>
        <v>42353.332638888889</v>
      </c>
      <c r="U1870">
        <f>MONTH(Table1[[#This Row],[Launched]])</f>
        <v>11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8220</v>
      </c>
      <c r="G1871" t="s">
        <v>8223</v>
      </c>
      <c r="H1871" t="s">
        <v>8245</v>
      </c>
      <c r="I1871" s="8">
        <v>1483488249</v>
      </c>
      <c r="J1871">
        <v>1480896249</v>
      </c>
      <c r="K1871" t="b">
        <v>0</v>
      </c>
      <c r="L1871" s="10">
        <v>0</v>
      </c>
      <c r="M1871" t="b">
        <v>0</v>
      </c>
      <c r="N1871" t="s">
        <v>8281</v>
      </c>
      <c r="O1871" s="11">
        <f t="shared" si="120"/>
        <v>0</v>
      </c>
      <c r="P1871" s="12" t="str">
        <f t="shared" si="121"/>
        <v>No Backers</v>
      </c>
      <c r="Q1871" s="14" t="s">
        <v>8330</v>
      </c>
      <c r="R1871" t="s">
        <v>8332</v>
      </c>
      <c r="S1871" s="17">
        <f t="shared" si="122"/>
        <v>42709.002881944441</v>
      </c>
      <c r="T1871" s="17">
        <f t="shared" si="123"/>
        <v>42739.002881944441</v>
      </c>
      <c r="U1871">
        <f>MONTH(Table1[[#This Row],[Launched]])</f>
        <v>12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8220</v>
      </c>
      <c r="G1872" t="s">
        <v>8223</v>
      </c>
      <c r="H1872" t="s">
        <v>8245</v>
      </c>
      <c r="I1872" s="8">
        <v>1454213820</v>
      </c>
      <c r="J1872">
        <v>1451723535</v>
      </c>
      <c r="K1872" t="b">
        <v>0</v>
      </c>
      <c r="L1872" s="10">
        <v>11</v>
      </c>
      <c r="M1872" t="b">
        <v>0</v>
      </c>
      <c r="N1872" t="s">
        <v>8281</v>
      </c>
      <c r="O1872" s="11">
        <f t="shared" si="120"/>
        <v>10</v>
      </c>
      <c r="P1872" s="12">
        <f t="shared" si="121"/>
        <v>33</v>
      </c>
      <c r="Q1872" s="14" t="s">
        <v>8330</v>
      </c>
      <c r="R1872" t="s">
        <v>8332</v>
      </c>
      <c r="S1872" s="17">
        <f t="shared" si="122"/>
        <v>42371.355729166666</v>
      </c>
      <c r="T1872" s="17">
        <f t="shared" si="123"/>
        <v>42400.178472222222</v>
      </c>
      <c r="U1872">
        <f>MONTH(Table1[[#This Row],[Launched]])</f>
        <v>1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 s="8">
        <v>1416512901</v>
      </c>
      <c r="J1873">
        <v>1413053301</v>
      </c>
      <c r="K1873" t="b">
        <v>0</v>
      </c>
      <c r="L1873" s="10">
        <v>95</v>
      </c>
      <c r="M1873" t="b">
        <v>0</v>
      </c>
      <c r="N1873" t="s">
        <v>8281</v>
      </c>
      <c r="O1873" s="11">
        <f t="shared" si="120"/>
        <v>72</v>
      </c>
      <c r="P1873" s="12">
        <f t="shared" si="121"/>
        <v>49</v>
      </c>
      <c r="Q1873" s="14" t="s">
        <v>8330</v>
      </c>
      <c r="R1873" t="s">
        <v>8332</v>
      </c>
      <c r="S1873" s="17">
        <f t="shared" si="122"/>
        <v>41923.783576388887</v>
      </c>
      <c r="T1873" s="17">
        <f t="shared" si="123"/>
        <v>41963.825243055559</v>
      </c>
      <c r="U1873">
        <f>MONTH(Table1[[#This Row],[Launched]])</f>
        <v>10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 s="8">
        <v>1435633602</v>
      </c>
      <c r="J1874">
        <v>1433041602</v>
      </c>
      <c r="K1874" t="b">
        <v>0</v>
      </c>
      <c r="L1874" s="10">
        <v>13</v>
      </c>
      <c r="M1874" t="b">
        <v>0</v>
      </c>
      <c r="N1874" t="s">
        <v>8281</v>
      </c>
      <c r="O1874" s="11">
        <f t="shared" si="120"/>
        <v>1</v>
      </c>
      <c r="P1874" s="12">
        <f t="shared" si="121"/>
        <v>16</v>
      </c>
      <c r="Q1874" s="14" t="s">
        <v>8330</v>
      </c>
      <c r="R1874" t="s">
        <v>8332</v>
      </c>
      <c r="S1874" s="17">
        <f t="shared" si="122"/>
        <v>42155.129652777774</v>
      </c>
      <c r="T1874" s="17">
        <f t="shared" si="123"/>
        <v>42185.129652777774</v>
      </c>
      <c r="U1874">
        <f>MONTH(Table1[[#This Row],[Launched]])</f>
        <v>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8220</v>
      </c>
      <c r="G1875" t="s">
        <v>8228</v>
      </c>
      <c r="H1875" t="s">
        <v>8250</v>
      </c>
      <c r="I1875" s="8">
        <v>1436373900</v>
      </c>
      <c r="J1875">
        <v>1433861210</v>
      </c>
      <c r="K1875" t="b">
        <v>0</v>
      </c>
      <c r="L1875" s="10">
        <v>2</v>
      </c>
      <c r="M1875" t="b">
        <v>0</v>
      </c>
      <c r="N1875" t="s">
        <v>8281</v>
      </c>
      <c r="O1875" s="11">
        <f t="shared" si="120"/>
        <v>0</v>
      </c>
      <c r="P1875" s="12">
        <f t="shared" si="121"/>
        <v>18</v>
      </c>
      <c r="Q1875" s="14" t="s">
        <v>8330</v>
      </c>
      <c r="R1875" t="s">
        <v>8332</v>
      </c>
      <c r="S1875" s="17">
        <f t="shared" si="122"/>
        <v>42164.615856481483</v>
      </c>
      <c r="T1875" s="17">
        <f t="shared" si="123"/>
        <v>42193.697916666672</v>
      </c>
      <c r="U1875">
        <f>MONTH(Table1[[#This Row],[Launched]])</f>
        <v>6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 s="8">
        <v>1467155733</v>
      </c>
      <c r="J1876">
        <v>1465427733</v>
      </c>
      <c r="K1876" t="b">
        <v>0</v>
      </c>
      <c r="L1876" s="10">
        <v>2</v>
      </c>
      <c r="M1876" t="b">
        <v>0</v>
      </c>
      <c r="N1876" t="s">
        <v>8281</v>
      </c>
      <c r="O1876" s="11">
        <f t="shared" si="120"/>
        <v>0</v>
      </c>
      <c r="P1876" s="12">
        <f t="shared" si="121"/>
        <v>13</v>
      </c>
      <c r="Q1876" s="14" t="s">
        <v>8330</v>
      </c>
      <c r="R1876" t="s">
        <v>8332</v>
      </c>
      <c r="S1876" s="17">
        <f t="shared" si="122"/>
        <v>42529.969131944439</v>
      </c>
      <c r="T1876" s="17">
        <f t="shared" si="123"/>
        <v>42549.969131944439</v>
      </c>
      <c r="U1876">
        <f>MONTH(Table1[[#This Row],[Launched]])</f>
        <v>6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8220</v>
      </c>
      <c r="G1877" t="s">
        <v>8223</v>
      </c>
      <c r="H1877" t="s">
        <v>8245</v>
      </c>
      <c r="I1877" s="8">
        <v>1470519308</v>
      </c>
      <c r="J1877">
        <v>1465335308</v>
      </c>
      <c r="K1877" t="b">
        <v>0</v>
      </c>
      <c r="L1877" s="10">
        <v>3</v>
      </c>
      <c r="M1877" t="b">
        <v>0</v>
      </c>
      <c r="N1877" t="s">
        <v>8281</v>
      </c>
      <c r="O1877" s="11">
        <f t="shared" si="120"/>
        <v>1</v>
      </c>
      <c r="P1877" s="12">
        <f t="shared" si="121"/>
        <v>17</v>
      </c>
      <c r="Q1877" s="14" t="s">
        <v>8330</v>
      </c>
      <c r="R1877" t="s">
        <v>8332</v>
      </c>
      <c r="S1877" s="17">
        <f t="shared" si="122"/>
        <v>42528.899398148147</v>
      </c>
      <c r="T1877" s="17">
        <f t="shared" si="123"/>
        <v>42588.899398148147</v>
      </c>
      <c r="U1877">
        <f>MONTH(Table1[[#This Row],[Launched]])</f>
        <v>6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8220</v>
      </c>
      <c r="G1878" t="s">
        <v>8225</v>
      </c>
      <c r="H1878" t="s">
        <v>8247</v>
      </c>
      <c r="I1878" s="8">
        <v>1402901405</v>
      </c>
      <c r="J1878">
        <v>1400309405</v>
      </c>
      <c r="K1878" t="b">
        <v>0</v>
      </c>
      <c r="L1878" s="10">
        <v>0</v>
      </c>
      <c r="M1878" t="b">
        <v>0</v>
      </c>
      <c r="N1878" t="s">
        <v>8281</v>
      </c>
      <c r="O1878" s="11">
        <f t="shared" si="120"/>
        <v>0</v>
      </c>
      <c r="P1878" s="12" t="str">
        <f t="shared" si="121"/>
        <v>No Backers</v>
      </c>
      <c r="Q1878" s="14" t="s">
        <v>8330</v>
      </c>
      <c r="R1878" t="s">
        <v>8332</v>
      </c>
      <c r="S1878" s="17">
        <f t="shared" si="122"/>
        <v>41776.284780092588</v>
      </c>
      <c r="T1878" s="17">
        <f t="shared" si="123"/>
        <v>41806.284780092588</v>
      </c>
      <c r="U1878">
        <f>MONTH(Table1[[#This Row],[Launched]])</f>
        <v>5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8220</v>
      </c>
      <c r="G1879" t="s">
        <v>8223</v>
      </c>
      <c r="H1879" t="s">
        <v>8245</v>
      </c>
      <c r="I1879" s="8">
        <v>1425170525</v>
      </c>
      <c r="J1879">
        <v>1422664925</v>
      </c>
      <c r="K1879" t="b">
        <v>0</v>
      </c>
      <c r="L1879" s="10">
        <v>0</v>
      </c>
      <c r="M1879" t="b">
        <v>0</v>
      </c>
      <c r="N1879" t="s">
        <v>8281</v>
      </c>
      <c r="O1879" s="11">
        <f t="shared" si="120"/>
        <v>0</v>
      </c>
      <c r="P1879" s="12" t="str">
        <f t="shared" si="121"/>
        <v>No Backers</v>
      </c>
      <c r="Q1879" s="14" t="s">
        <v>8330</v>
      </c>
      <c r="R1879" t="s">
        <v>8332</v>
      </c>
      <c r="S1879" s="17">
        <f t="shared" si="122"/>
        <v>42035.029224537036</v>
      </c>
      <c r="T1879" s="17">
        <f t="shared" si="123"/>
        <v>42064.029224537036</v>
      </c>
      <c r="U1879">
        <f>MONTH(Table1[[#This Row],[Launched]])</f>
        <v>1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8220</v>
      </c>
      <c r="G1880" t="s">
        <v>8225</v>
      </c>
      <c r="H1880" t="s">
        <v>8247</v>
      </c>
      <c r="I1880" s="8">
        <v>1402618355</v>
      </c>
      <c r="J1880">
        <v>1400026355</v>
      </c>
      <c r="K1880" t="b">
        <v>0</v>
      </c>
      <c r="L1880" s="10">
        <v>0</v>
      </c>
      <c r="M1880" t="b">
        <v>0</v>
      </c>
      <c r="N1880" t="s">
        <v>8281</v>
      </c>
      <c r="O1880" s="11">
        <f t="shared" si="120"/>
        <v>0</v>
      </c>
      <c r="P1880" s="12" t="str">
        <f t="shared" si="121"/>
        <v>No Backers</v>
      </c>
      <c r="Q1880" s="14" t="s">
        <v>8330</v>
      </c>
      <c r="R1880" t="s">
        <v>8332</v>
      </c>
      <c r="S1880" s="17">
        <f t="shared" si="122"/>
        <v>41773.008738425924</v>
      </c>
      <c r="T1880" s="17">
        <f t="shared" si="123"/>
        <v>41803.008738425924</v>
      </c>
      <c r="U1880">
        <f>MONTH(Table1[[#This Row],[Launched]])</f>
        <v>5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8220</v>
      </c>
      <c r="G1881" t="s">
        <v>8226</v>
      </c>
      <c r="H1881" t="s">
        <v>8248</v>
      </c>
      <c r="I1881" s="8">
        <v>1457966129</v>
      </c>
      <c r="J1881">
        <v>1455377729</v>
      </c>
      <c r="K1881" t="b">
        <v>0</v>
      </c>
      <c r="L1881" s="10">
        <v>2</v>
      </c>
      <c r="M1881" t="b">
        <v>0</v>
      </c>
      <c r="N1881" t="s">
        <v>8281</v>
      </c>
      <c r="O1881" s="11">
        <f t="shared" si="120"/>
        <v>0</v>
      </c>
      <c r="P1881" s="12">
        <f t="shared" si="121"/>
        <v>3</v>
      </c>
      <c r="Q1881" s="14" t="s">
        <v>8330</v>
      </c>
      <c r="R1881" t="s">
        <v>8332</v>
      </c>
      <c r="S1881" s="17">
        <f t="shared" si="122"/>
        <v>42413.649641203709</v>
      </c>
      <c r="T1881" s="17">
        <f t="shared" si="123"/>
        <v>42443.607974537037</v>
      </c>
      <c r="U1881">
        <f>MONTH(Table1[[#This Row],[Launched]])</f>
        <v>2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 s="8">
        <v>1459341380</v>
      </c>
      <c r="J1882">
        <v>1456839380</v>
      </c>
      <c r="K1882" t="b">
        <v>0</v>
      </c>
      <c r="L1882" s="10">
        <v>24</v>
      </c>
      <c r="M1882" t="b">
        <v>0</v>
      </c>
      <c r="N1882" t="s">
        <v>8281</v>
      </c>
      <c r="O1882" s="11">
        <f t="shared" si="120"/>
        <v>20</v>
      </c>
      <c r="P1882" s="12">
        <f t="shared" si="121"/>
        <v>42</v>
      </c>
      <c r="Q1882" s="14" t="s">
        <v>8330</v>
      </c>
      <c r="R1882" t="s">
        <v>8332</v>
      </c>
      <c r="S1882" s="17">
        <f t="shared" si="122"/>
        <v>42430.566898148143</v>
      </c>
      <c r="T1882" s="17">
        <f t="shared" si="123"/>
        <v>42459.525231481486</v>
      </c>
      <c r="U1882">
        <f>MONTH(Table1[[#This Row],[Launched]])</f>
        <v>3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 s="8">
        <v>1425955189</v>
      </c>
      <c r="J1883">
        <v>1423366789</v>
      </c>
      <c r="K1883" t="b">
        <v>0</v>
      </c>
      <c r="L1883" s="10">
        <v>70</v>
      </c>
      <c r="M1883" t="b">
        <v>1</v>
      </c>
      <c r="N1883" t="s">
        <v>8277</v>
      </c>
      <c r="O1883" s="11">
        <f t="shared" si="120"/>
        <v>173</v>
      </c>
      <c r="P1883" s="12">
        <f t="shared" si="121"/>
        <v>49</v>
      </c>
      <c r="Q1883" s="14" t="s">
        <v>8322</v>
      </c>
      <c r="R1883" t="s">
        <v>8326</v>
      </c>
      <c r="S1883" s="17">
        <f t="shared" si="122"/>
        <v>42043.152650462958</v>
      </c>
      <c r="T1883" s="17">
        <f t="shared" si="123"/>
        <v>42073.110983796301</v>
      </c>
      <c r="U1883">
        <f>MONTH(Table1[[#This Row],[Launched]])</f>
        <v>2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 s="8">
        <v>1341964080</v>
      </c>
      <c r="J1884">
        <v>1339109212</v>
      </c>
      <c r="K1884" t="b">
        <v>0</v>
      </c>
      <c r="L1884" s="10">
        <v>81</v>
      </c>
      <c r="M1884" t="b">
        <v>1</v>
      </c>
      <c r="N1884" t="s">
        <v>8277</v>
      </c>
      <c r="O1884" s="11">
        <f t="shared" si="120"/>
        <v>101</v>
      </c>
      <c r="P1884" s="12">
        <f t="shared" si="121"/>
        <v>42</v>
      </c>
      <c r="Q1884" s="14" t="s">
        <v>8322</v>
      </c>
      <c r="R1884" t="s">
        <v>8326</v>
      </c>
      <c r="S1884" s="17">
        <f t="shared" si="122"/>
        <v>41067.949212962965</v>
      </c>
      <c r="T1884" s="17">
        <f t="shared" si="123"/>
        <v>41100.991666666669</v>
      </c>
      <c r="U1884">
        <f>MONTH(Table1[[#This Row],[Launched]])</f>
        <v>6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8218</v>
      </c>
      <c r="G1885" t="s">
        <v>8223</v>
      </c>
      <c r="H1885" t="s">
        <v>8245</v>
      </c>
      <c r="I1885" s="8">
        <v>1333921508</v>
      </c>
      <c r="J1885">
        <v>1331333108</v>
      </c>
      <c r="K1885" t="b">
        <v>0</v>
      </c>
      <c r="L1885" s="10">
        <v>32</v>
      </c>
      <c r="M1885" t="b">
        <v>1</v>
      </c>
      <c r="N1885" t="s">
        <v>8277</v>
      </c>
      <c r="O1885" s="11">
        <f t="shared" si="120"/>
        <v>105</v>
      </c>
      <c r="P1885" s="12">
        <f t="shared" si="121"/>
        <v>33</v>
      </c>
      <c r="Q1885" s="14" t="s">
        <v>8322</v>
      </c>
      <c r="R1885" t="s">
        <v>8326</v>
      </c>
      <c r="S1885" s="17">
        <f t="shared" si="122"/>
        <v>40977.948009259257</v>
      </c>
      <c r="T1885" s="17">
        <f t="shared" si="123"/>
        <v>41007.906342592592</v>
      </c>
      <c r="U1885">
        <f>MONTH(Table1[[#This Row],[Launched]])</f>
        <v>3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 s="8">
        <v>1354017600</v>
      </c>
      <c r="J1886">
        <v>1350967535</v>
      </c>
      <c r="K1886" t="b">
        <v>0</v>
      </c>
      <c r="L1886" s="10">
        <v>26</v>
      </c>
      <c r="M1886" t="b">
        <v>1</v>
      </c>
      <c r="N1886" t="s">
        <v>8277</v>
      </c>
      <c r="O1886" s="11">
        <f t="shared" si="120"/>
        <v>135</v>
      </c>
      <c r="P1886" s="12">
        <f t="shared" si="121"/>
        <v>52</v>
      </c>
      <c r="Q1886" s="14" t="s">
        <v>8322</v>
      </c>
      <c r="R1886" t="s">
        <v>8326</v>
      </c>
      <c r="S1886" s="17">
        <f t="shared" si="122"/>
        <v>41205.198321759257</v>
      </c>
      <c r="T1886" s="17">
        <f t="shared" si="123"/>
        <v>41240.5</v>
      </c>
      <c r="U1886">
        <f>MONTH(Table1[[#This Row],[Launched]])</f>
        <v>10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 s="8">
        <v>1344636000</v>
      </c>
      <c r="J1887">
        <v>1341800110</v>
      </c>
      <c r="K1887" t="b">
        <v>0</v>
      </c>
      <c r="L1887" s="10">
        <v>105</v>
      </c>
      <c r="M1887" t="b">
        <v>1</v>
      </c>
      <c r="N1887" t="s">
        <v>8277</v>
      </c>
      <c r="O1887" s="11">
        <f t="shared" si="120"/>
        <v>116</v>
      </c>
      <c r="P1887" s="12">
        <f t="shared" si="121"/>
        <v>51</v>
      </c>
      <c r="Q1887" s="14" t="s">
        <v>8322</v>
      </c>
      <c r="R1887" t="s">
        <v>8326</v>
      </c>
      <c r="S1887" s="17">
        <f t="shared" si="122"/>
        <v>41099.093865740739</v>
      </c>
      <c r="T1887" s="17">
        <f t="shared" si="123"/>
        <v>41131.916666666664</v>
      </c>
      <c r="U1887">
        <f>MONTH(Table1[[#This Row],[Launched]])</f>
        <v>7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 s="8">
        <v>1415832338</v>
      </c>
      <c r="J1888">
        <v>1413236738</v>
      </c>
      <c r="K1888" t="b">
        <v>0</v>
      </c>
      <c r="L1888" s="10">
        <v>29</v>
      </c>
      <c r="M1888" t="b">
        <v>1</v>
      </c>
      <c r="N1888" t="s">
        <v>8277</v>
      </c>
      <c r="O1888" s="11">
        <f t="shared" si="120"/>
        <v>102</v>
      </c>
      <c r="P1888" s="12">
        <f t="shared" si="121"/>
        <v>42</v>
      </c>
      <c r="Q1888" s="14" t="s">
        <v>8322</v>
      </c>
      <c r="R1888" t="s">
        <v>8326</v>
      </c>
      <c r="S1888" s="17">
        <f t="shared" si="122"/>
        <v>41925.906689814816</v>
      </c>
      <c r="T1888" s="17">
        <f t="shared" si="123"/>
        <v>41955.94835648148</v>
      </c>
      <c r="U1888">
        <f>MONTH(Table1[[#This Row],[Launched]])</f>
        <v>10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 s="8">
        <v>1449178200</v>
      </c>
      <c r="J1889">
        <v>1447614732</v>
      </c>
      <c r="K1889" t="b">
        <v>0</v>
      </c>
      <c r="L1889" s="10">
        <v>8</v>
      </c>
      <c r="M1889" t="b">
        <v>1</v>
      </c>
      <c r="N1889" t="s">
        <v>8277</v>
      </c>
      <c r="O1889" s="11">
        <f t="shared" si="120"/>
        <v>111</v>
      </c>
      <c r="P1889" s="12">
        <f t="shared" si="121"/>
        <v>417</v>
      </c>
      <c r="Q1889" s="14" t="s">
        <v>8322</v>
      </c>
      <c r="R1889" t="s">
        <v>8326</v>
      </c>
      <c r="S1889" s="17">
        <f t="shared" si="122"/>
        <v>42323.800138888888</v>
      </c>
      <c r="T1889" s="17">
        <f t="shared" si="123"/>
        <v>42341.895833333328</v>
      </c>
      <c r="U1889">
        <f>MONTH(Table1[[#This Row],[Launched]])</f>
        <v>11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 s="8">
        <v>1275368340</v>
      </c>
      <c r="J1890">
        <v>1272692732</v>
      </c>
      <c r="K1890" t="b">
        <v>0</v>
      </c>
      <c r="L1890" s="10">
        <v>89</v>
      </c>
      <c r="M1890" t="b">
        <v>1</v>
      </c>
      <c r="N1890" t="s">
        <v>8277</v>
      </c>
      <c r="O1890" s="11">
        <f t="shared" si="120"/>
        <v>166</v>
      </c>
      <c r="P1890" s="12">
        <f t="shared" si="121"/>
        <v>47</v>
      </c>
      <c r="Q1890" s="14" t="s">
        <v>8322</v>
      </c>
      <c r="R1890" t="s">
        <v>8326</v>
      </c>
      <c r="S1890" s="17">
        <f t="shared" si="122"/>
        <v>40299.239953703705</v>
      </c>
      <c r="T1890" s="17">
        <f t="shared" si="123"/>
        <v>40330.207638888889</v>
      </c>
      <c r="U1890">
        <f>MONTH(Table1[[#This Row],[Launched]])</f>
        <v>5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 s="8">
        <v>1363024946</v>
      </c>
      <c r="J1891">
        <v>1359140546</v>
      </c>
      <c r="K1891" t="b">
        <v>0</v>
      </c>
      <c r="L1891" s="10">
        <v>44</v>
      </c>
      <c r="M1891" t="b">
        <v>1</v>
      </c>
      <c r="N1891" t="s">
        <v>8277</v>
      </c>
      <c r="O1891" s="11">
        <f t="shared" si="120"/>
        <v>107</v>
      </c>
      <c r="P1891" s="12">
        <f t="shared" si="121"/>
        <v>48</v>
      </c>
      <c r="Q1891" s="14" t="s">
        <v>8322</v>
      </c>
      <c r="R1891" t="s">
        <v>8326</v>
      </c>
      <c r="S1891" s="17">
        <f t="shared" si="122"/>
        <v>41299.793356481481</v>
      </c>
      <c r="T1891" s="17">
        <f t="shared" si="123"/>
        <v>41344.751689814817</v>
      </c>
      <c r="U1891">
        <f>MONTH(Table1[[#This Row],[Launched]])</f>
        <v>1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 s="8">
        <v>1355597528</v>
      </c>
      <c r="J1892">
        <v>1353005528</v>
      </c>
      <c r="K1892" t="b">
        <v>0</v>
      </c>
      <c r="L1892" s="10">
        <v>246</v>
      </c>
      <c r="M1892" t="b">
        <v>1</v>
      </c>
      <c r="N1892" t="s">
        <v>8277</v>
      </c>
      <c r="O1892" s="11">
        <f t="shared" si="120"/>
        <v>145</v>
      </c>
      <c r="P1892" s="12">
        <f t="shared" si="121"/>
        <v>71</v>
      </c>
      <c r="Q1892" s="14" t="s">
        <v>8322</v>
      </c>
      <c r="R1892" t="s">
        <v>8326</v>
      </c>
      <c r="S1892" s="17">
        <f t="shared" si="122"/>
        <v>41228.786203703705</v>
      </c>
      <c r="T1892" s="17">
        <f t="shared" si="123"/>
        <v>41258.786203703705</v>
      </c>
      <c r="U1892">
        <f>MONTH(Table1[[#This Row],[Launched]])</f>
        <v>11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 s="8">
        <v>1279778400</v>
      </c>
      <c r="J1893">
        <v>1275851354</v>
      </c>
      <c r="K1893" t="b">
        <v>0</v>
      </c>
      <c r="L1893" s="10">
        <v>120</v>
      </c>
      <c r="M1893" t="b">
        <v>1</v>
      </c>
      <c r="N1893" t="s">
        <v>8277</v>
      </c>
      <c r="O1893" s="11">
        <f t="shared" si="120"/>
        <v>106</v>
      </c>
      <c r="P1893" s="12">
        <f t="shared" si="121"/>
        <v>88</v>
      </c>
      <c r="Q1893" s="14" t="s">
        <v>8322</v>
      </c>
      <c r="R1893" t="s">
        <v>8326</v>
      </c>
      <c r="S1893" s="17">
        <f t="shared" si="122"/>
        <v>40335.798078703701</v>
      </c>
      <c r="T1893" s="17">
        <f t="shared" si="123"/>
        <v>40381.25</v>
      </c>
      <c r="U1893">
        <f>MONTH(Table1[[#This Row],[Launched]])</f>
        <v>6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8218</v>
      </c>
      <c r="G1894" t="s">
        <v>8223</v>
      </c>
      <c r="H1894" t="s">
        <v>8245</v>
      </c>
      <c r="I1894" s="8">
        <v>1307459881</v>
      </c>
      <c r="J1894">
        <v>1304867881</v>
      </c>
      <c r="K1894" t="b">
        <v>0</v>
      </c>
      <c r="L1894" s="10">
        <v>26</v>
      </c>
      <c r="M1894" t="b">
        <v>1</v>
      </c>
      <c r="N1894" t="s">
        <v>8277</v>
      </c>
      <c r="O1894" s="11">
        <f t="shared" si="120"/>
        <v>137</v>
      </c>
      <c r="P1894" s="12">
        <f t="shared" si="121"/>
        <v>26</v>
      </c>
      <c r="Q1894" s="14" t="s">
        <v>8322</v>
      </c>
      <c r="R1894" t="s">
        <v>8326</v>
      </c>
      <c r="S1894" s="17">
        <f t="shared" si="122"/>
        <v>40671.637511574074</v>
      </c>
      <c r="T1894" s="17">
        <f t="shared" si="123"/>
        <v>40701.637511574074</v>
      </c>
      <c r="U1894">
        <f>MONTH(Table1[[#This Row],[Launched]])</f>
        <v>5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 s="8">
        <v>1302926340</v>
      </c>
      <c r="J1895">
        <v>1301524585</v>
      </c>
      <c r="K1895" t="b">
        <v>0</v>
      </c>
      <c r="L1895" s="10">
        <v>45</v>
      </c>
      <c r="M1895" t="b">
        <v>1</v>
      </c>
      <c r="N1895" t="s">
        <v>8277</v>
      </c>
      <c r="O1895" s="11">
        <f t="shared" si="120"/>
        <v>104</v>
      </c>
      <c r="P1895" s="12">
        <f t="shared" si="121"/>
        <v>58</v>
      </c>
      <c r="Q1895" s="14" t="s">
        <v>8322</v>
      </c>
      <c r="R1895" t="s">
        <v>8326</v>
      </c>
      <c r="S1895" s="17">
        <f t="shared" si="122"/>
        <v>40632.94195601852</v>
      </c>
      <c r="T1895" s="17">
        <f t="shared" si="123"/>
        <v>40649.165972222225</v>
      </c>
      <c r="U1895">
        <f>MONTH(Table1[[#This Row],[Launched]])</f>
        <v>3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 s="8">
        <v>1329082983</v>
      </c>
      <c r="J1896">
        <v>1326404583</v>
      </c>
      <c r="K1896" t="b">
        <v>0</v>
      </c>
      <c r="L1896" s="10">
        <v>20</v>
      </c>
      <c r="M1896" t="b">
        <v>1</v>
      </c>
      <c r="N1896" t="s">
        <v>8277</v>
      </c>
      <c r="O1896" s="11">
        <f t="shared" si="120"/>
        <v>115</v>
      </c>
      <c r="P1896" s="12">
        <f t="shared" si="121"/>
        <v>57</v>
      </c>
      <c r="Q1896" s="14" t="s">
        <v>8322</v>
      </c>
      <c r="R1896" t="s">
        <v>8326</v>
      </c>
      <c r="S1896" s="17">
        <f t="shared" si="122"/>
        <v>40920.904895833337</v>
      </c>
      <c r="T1896" s="17">
        <f t="shared" si="123"/>
        <v>40951.904895833337</v>
      </c>
      <c r="U1896">
        <f>MONTH(Table1[[#This Row],[Launched]])</f>
        <v>1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 s="8">
        <v>1445363722</v>
      </c>
      <c r="J1897">
        <v>1442771722</v>
      </c>
      <c r="K1897" t="b">
        <v>0</v>
      </c>
      <c r="L1897" s="10">
        <v>47</v>
      </c>
      <c r="M1897" t="b">
        <v>1</v>
      </c>
      <c r="N1897" t="s">
        <v>8277</v>
      </c>
      <c r="O1897" s="11">
        <f t="shared" si="120"/>
        <v>102</v>
      </c>
      <c r="P1897" s="12">
        <f t="shared" si="121"/>
        <v>196</v>
      </c>
      <c r="Q1897" s="14" t="s">
        <v>8322</v>
      </c>
      <c r="R1897" t="s">
        <v>8326</v>
      </c>
      <c r="S1897" s="17">
        <f t="shared" si="122"/>
        <v>42267.746782407412</v>
      </c>
      <c r="T1897" s="17">
        <f t="shared" si="123"/>
        <v>42297.746782407412</v>
      </c>
      <c r="U1897">
        <f>MONTH(Table1[[#This Row],[Launched]])</f>
        <v>9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8218</v>
      </c>
      <c r="G1898" t="s">
        <v>8223</v>
      </c>
      <c r="H1898" t="s">
        <v>8245</v>
      </c>
      <c r="I1898" s="8">
        <v>1334250165</v>
      </c>
      <c r="J1898">
        <v>1331658165</v>
      </c>
      <c r="K1898" t="b">
        <v>0</v>
      </c>
      <c r="L1898" s="10">
        <v>13</v>
      </c>
      <c r="M1898" t="b">
        <v>1</v>
      </c>
      <c r="N1898" t="s">
        <v>8277</v>
      </c>
      <c r="O1898" s="11">
        <f t="shared" si="120"/>
        <v>124</v>
      </c>
      <c r="P1898" s="12">
        <f t="shared" si="121"/>
        <v>43</v>
      </c>
      <c r="Q1898" s="14" t="s">
        <v>8322</v>
      </c>
      <c r="R1898" t="s">
        <v>8326</v>
      </c>
      <c r="S1898" s="17">
        <f t="shared" si="122"/>
        <v>40981.710243055553</v>
      </c>
      <c r="T1898" s="17">
        <f t="shared" si="123"/>
        <v>41011.710243055553</v>
      </c>
      <c r="U1898">
        <f>MONTH(Table1[[#This Row],[Launched]])</f>
        <v>3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 s="8">
        <v>1393966800</v>
      </c>
      <c r="J1899">
        <v>1392040806</v>
      </c>
      <c r="K1899" t="b">
        <v>0</v>
      </c>
      <c r="L1899" s="10">
        <v>183</v>
      </c>
      <c r="M1899" t="b">
        <v>1</v>
      </c>
      <c r="N1899" t="s">
        <v>8277</v>
      </c>
      <c r="O1899" s="11">
        <f t="shared" si="120"/>
        <v>102</v>
      </c>
      <c r="P1899" s="12">
        <f t="shared" si="121"/>
        <v>36</v>
      </c>
      <c r="Q1899" s="14" t="s">
        <v>8322</v>
      </c>
      <c r="R1899" t="s">
        <v>8326</v>
      </c>
      <c r="S1899" s="17">
        <f t="shared" si="122"/>
        <v>41680.583402777782</v>
      </c>
      <c r="T1899" s="17">
        <f t="shared" si="123"/>
        <v>41702.875</v>
      </c>
      <c r="U1899">
        <f>MONTH(Table1[[#This Row],[Launched]])</f>
        <v>2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 s="8">
        <v>1454349600</v>
      </c>
      <c r="J1900">
        <v>1451277473</v>
      </c>
      <c r="K1900" t="b">
        <v>0</v>
      </c>
      <c r="L1900" s="10">
        <v>21</v>
      </c>
      <c r="M1900" t="b">
        <v>1</v>
      </c>
      <c r="N1900" t="s">
        <v>8277</v>
      </c>
      <c r="O1900" s="11">
        <f t="shared" si="120"/>
        <v>145</v>
      </c>
      <c r="P1900" s="12">
        <f t="shared" si="121"/>
        <v>69</v>
      </c>
      <c r="Q1900" s="14" t="s">
        <v>8322</v>
      </c>
      <c r="R1900" t="s">
        <v>8326</v>
      </c>
      <c r="S1900" s="17">
        <f t="shared" si="122"/>
        <v>42366.192974537036</v>
      </c>
      <c r="T1900" s="17">
        <f t="shared" si="123"/>
        <v>42401.75</v>
      </c>
      <c r="U1900">
        <f>MONTH(Table1[[#This Row],[Launched]])</f>
        <v>12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8218</v>
      </c>
      <c r="G1901" t="s">
        <v>8223</v>
      </c>
      <c r="H1901" t="s">
        <v>8245</v>
      </c>
      <c r="I1901" s="8">
        <v>1427319366</v>
      </c>
      <c r="J1901">
        <v>1424730966</v>
      </c>
      <c r="K1901" t="b">
        <v>0</v>
      </c>
      <c r="L1901" s="10">
        <v>42</v>
      </c>
      <c r="M1901" t="b">
        <v>1</v>
      </c>
      <c r="N1901" t="s">
        <v>8277</v>
      </c>
      <c r="O1901" s="11">
        <f t="shared" si="120"/>
        <v>133</v>
      </c>
      <c r="P1901" s="12">
        <f t="shared" si="121"/>
        <v>29</v>
      </c>
      <c r="Q1901" s="14" t="s">
        <v>8322</v>
      </c>
      <c r="R1901" t="s">
        <v>8326</v>
      </c>
      <c r="S1901" s="17">
        <f t="shared" si="122"/>
        <v>42058.941736111112</v>
      </c>
      <c r="T1901" s="17">
        <f t="shared" si="123"/>
        <v>42088.90006944444</v>
      </c>
      <c r="U1901">
        <f>MONTH(Table1[[#This Row],[Launched]])</f>
        <v>2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 s="8">
        <v>1349517540</v>
      </c>
      <c r="J1902">
        <v>1347137731</v>
      </c>
      <c r="K1902" t="b">
        <v>0</v>
      </c>
      <c r="L1902" s="10">
        <v>54</v>
      </c>
      <c r="M1902" t="b">
        <v>1</v>
      </c>
      <c r="N1902" t="s">
        <v>8277</v>
      </c>
      <c r="O1902" s="11">
        <f t="shared" si="120"/>
        <v>109</v>
      </c>
      <c r="P1902" s="12">
        <f t="shared" si="121"/>
        <v>51</v>
      </c>
      <c r="Q1902" s="14" t="s">
        <v>8322</v>
      </c>
      <c r="R1902" t="s">
        <v>8326</v>
      </c>
      <c r="S1902" s="17">
        <f t="shared" si="122"/>
        <v>41160.871886574074</v>
      </c>
      <c r="T1902" s="17">
        <f t="shared" si="123"/>
        <v>41188.415972222225</v>
      </c>
      <c r="U1902">
        <f>MONTH(Table1[[#This Row],[Launched]])</f>
        <v>9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 s="8">
        <v>1432299600</v>
      </c>
      <c r="J1903">
        <v>1429707729</v>
      </c>
      <c r="K1903" t="b">
        <v>0</v>
      </c>
      <c r="L1903" s="10">
        <v>25</v>
      </c>
      <c r="M1903" t="b">
        <v>0</v>
      </c>
      <c r="N1903" t="s">
        <v>8292</v>
      </c>
      <c r="O1903" s="11">
        <f t="shared" si="120"/>
        <v>3</v>
      </c>
      <c r="P1903" s="12">
        <f t="shared" si="121"/>
        <v>107</v>
      </c>
      <c r="Q1903" s="14" t="s">
        <v>8316</v>
      </c>
      <c r="R1903" t="s">
        <v>8345</v>
      </c>
      <c r="S1903" s="17">
        <f t="shared" si="122"/>
        <v>42116.54315972222</v>
      </c>
      <c r="T1903" s="17">
        <f t="shared" si="123"/>
        <v>42146.541666666672</v>
      </c>
      <c r="U1903">
        <f>MONTH(Table1[[#This Row],[Launched]])</f>
        <v>4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8220</v>
      </c>
      <c r="G1904" t="s">
        <v>8232</v>
      </c>
      <c r="H1904" t="s">
        <v>8248</v>
      </c>
      <c r="I1904" s="8">
        <v>1425495447</v>
      </c>
      <c r="J1904">
        <v>1422903447</v>
      </c>
      <c r="K1904" t="b">
        <v>0</v>
      </c>
      <c r="L1904" s="10">
        <v>3</v>
      </c>
      <c r="M1904" t="b">
        <v>0</v>
      </c>
      <c r="N1904" t="s">
        <v>8292</v>
      </c>
      <c r="O1904" s="11">
        <f t="shared" si="120"/>
        <v>1</v>
      </c>
      <c r="P1904" s="12">
        <f t="shared" si="121"/>
        <v>4</v>
      </c>
      <c r="Q1904" s="14" t="s">
        <v>8316</v>
      </c>
      <c r="R1904" t="s">
        <v>8345</v>
      </c>
      <c r="S1904" s="17">
        <f t="shared" si="122"/>
        <v>42037.789895833332</v>
      </c>
      <c r="T1904" s="17">
        <f t="shared" si="123"/>
        <v>42067.789895833332</v>
      </c>
      <c r="U1904">
        <f>MONTH(Table1[[#This Row],[Launched]])</f>
        <v>2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 s="8">
        <v>1485541791</v>
      </c>
      <c r="J1905">
        <v>1480357791</v>
      </c>
      <c r="K1905" t="b">
        <v>0</v>
      </c>
      <c r="L1905" s="10">
        <v>41</v>
      </c>
      <c r="M1905" t="b">
        <v>0</v>
      </c>
      <c r="N1905" t="s">
        <v>8292</v>
      </c>
      <c r="O1905" s="11">
        <f t="shared" si="120"/>
        <v>47</v>
      </c>
      <c r="P1905" s="12">
        <f t="shared" si="121"/>
        <v>34</v>
      </c>
      <c r="Q1905" s="14" t="s">
        <v>8316</v>
      </c>
      <c r="R1905" t="s">
        <v>8345</v>
      </c>
      <c r="S1905" s="17">
        <f t="shared" si="122"/>
        <v>42702.770729166667</v>
      </c>
      <c r="T1905" s="17">
        <f t="shared" si="123"/>
        <v>42762.770729166667</v>
      </c>
      <c r="U1905">
        <f>MONTH(Table1[[#This Row],[Launched]])</f>
        <v>11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8220</v>
      </c>
      <c r="G1906" t="s">
        <v>8223</v>
      </c>
      <c r="H1906" t="s">
        <v>8245</v>
      </c>
      <c r="I1906" s="8">
        <v>1451752021</v>
      </c>
      <c r="J1906">
        <v>1447864021</v>
      </c>
      <c r="K1906" t="b">
        <v>0</v>
      </c>
      <c r="L1906" s="10">
        <v>2</v>
      </c>
      <c r="M1906" t="b">
        <v>0</v>
      </c>
      <c r="N1906" t="s">
        <v>8292</v>
      </c>
      <c r="O1906" s="11">
        <f t="shared" si="120"/>
        <v>0</v>
      </c>
      <c r="P1906" s="12">
        <f t="shared" si="121"/>
        <v>25</v>
      </c>
      <c r="Q1906" s="14" t="s">
        <v>8316</v>
      </c>
      <c r="R1906" t="s">
        <v>8345</v>
      </c>
      <c r="S1906" s="17">
        <f t="shared" si="122"/>
        <v>42326.685428240744</v>
      </c>
      <c r="T1906" s="17">
        <f t="shared" si="123"/>
        <v>42371.685428240744</v>
      </c>
      <c r="U1906">
        <f>MONTH(Table1[[#This Row],[Launched]])</f>
        <v>11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8220</v>
      </c>
      <c r="G1907" t="s">
        <v>8223</v>
      </c>
      <c r="H1907" t="s">
        <v>8245</v>
      </c>
      <c r="I1907" s="8">
        <v>1410127994</v>
      </c>
      <c r="J1907">
        <v>1407535994</v>
      </c>
      <c r="K1907" t="b">
        <v>0</v>
      </c>
      <c r="L1907" s="10">
        <v>4</v>
      </c>
      <c r="M1907" t="b">
        <v>0</v>
      </c>
      <c r="N1907" t="s">
        <v>8292</v>
      </c>
      <c r="O1907" s="11">
        <f t="shared" si="120"/>
        <v>0</v>
      </c>
      <c r="P1907" s="12">
        <f t="shared" si="121"/>
        <v>11</v>
      </c>
      <c r="Q1907" s="14" t="s">
        <v>8316</v>
      </c>
      <c r="R1907" t="s">
        <v>8345</v>
      </c>
      <c r="S1907" s="17">
        <f t="shared" si="122"/>
        <v>41859.925856481481</v>
      </c>
      <c r="T1907" s="17">
        <f t="shared" si="123"/>
        <v>41889.925856481481</v>
      </c>
      <c r="U1907">
        <f>MONTH(Table1[[#This Row],[Launched]])</f>
        <v>8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 s="8">
        <v>1466697983</v>
      </c>
      <c r="J1908">
        <v>1464105983</v>
      </c>
      <c r="K1908" t="b">
        <v>0</v>
      </c>
      <c r="L1908" s="10">
        <v>99</v>
      </c>
      <c r="M1908" t="b">
        <v>0</v>
      </c>
      <c r="N1908" t="s">
        <v>8292</v>
      </c>
      <c r="O1908" s="11">
        <f t="shared" si="120"/>
        <v>43</v>
      </c>
      <c r="P1908" s="12">
        <f t="shared" si="121"/>
        <v>216</v>
      </c>
      <c r="Q1908" s="14" t="s">
        <v>8316</v>
      </c>
      <c r="R1908" t="s">
        <v>8345</v>
      </c>
      <c r="S1908" s="17">
        <f t="shared" si="122"/>
        <v>42514.671099537038</v>
      </c>
      <c r="T1908" s="17">
        <f t="shared" si="123"/>
        <v>42544.671099537038</v>
      </c>
      <c r="U1908">
        <f>MONTH(Table1[[#This Row],[Launched]])</f>
        <v>5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8220</v>
      </c>
      <c r="G1909" t="s">
        <v>8223</v>
      </c>
      <c r="H1909" t="s">
        <v>8245</v>
      </c>
      <c r="I1909" s="8">
        <v>1400853925</v>
      </c>
      <c r="J1909">
        <v>1399557925</v>
      </c>
      <c r="K1909" t="b">
        <v>0</v>
      </c>
      <c r="L1909" s="10">
        <v>4</v>
      </c>
      <c r="M1909" t="b">
        <v>0</v>
      </c>
      <c r="N1909" t="s">
        <v>8292</v>
      </c>
      <c r="O1909" s="11">
        <f t="shared" si="120"/>
        <v>0</v>
      </c>
      <c r="P1909" s="12">
        <f t="shared" si="121"/>
        <v>21</v>
      </c>
      <c r="Q1909" s="14" t="s">
        <v>8316</v>
      </c>
      <c r="R1909" t="s">
        <v>8345</v>
      </c>
      <c r="S1909" s="17">
        <f t="shared" si="122"/>
        <v>41767.587094907409</v>
      </c>
      <c r="T1909" s="17">
        <f t="shared" si="123"/>
        <v>41782.587094907409</v>
      </c>
      <c r="U1909">
        <f>MONTH(Table1[[#This Row],[Launched]])</f>
        <v>5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 s="8">
        <v>1483048900</v>
      </c>
      <c r="J1910">
        <v>1480456900</v>
      </c>
      <c r="K1910" t="b">
        <v>0</v>
      </c>
      <c r="L1910" s="10">
        <v>4</v>
      </c>
      <c r="M1910" t="b">
        <v>0</v>
      </c>
      <c r="N1910" t="s">
        <v>8292</v>
      </c>
      <c r="O1910" s="11">
        <f t="shared" si="120"/>
        <v>2</v>
      </c>
      <c r="P1910" s="12">
        <f t="shared" si="121"/>
        <v>108</v>
      </c>
      <c r="Q1910" s="14" t="s">
        <v>8316</v>
      </c>
      <c r="R1910" t="s">
        <v>8345</v>
      </c>
      <c r="S1910" s="17">
        <f t="shared" si="122"/>
        <v>42703.917824074073</v>
      </c>
      <c r="T1910" s="17">
        <f t="shared" si="123"/>
        <v>42733.917824074073</v>
      </c>
      <c r="U1910">
        <f>MONTH(Table1[[#This Row],[Launched]])</f>
        <v>11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 s="8">
        <v>1414059479</v>
      </c>
      <c r="J1911">
        <v>1411467479</v>
      </c>
      <c r="K1911" t="b">
        <v>0</v>
      </c>
      <c r="L1911" s="10">
        <v>38</v>
      </c>
      <c r="M1911" t="b">
        <v>0</v>
      </c>
      <c r="N1911" t="s">
        <v>8292</v>
      </c>
      <c r="O1911" s="11">
        <f t="shared" si="120"/>
        <v>14</v>
      </c>
      <c r="P1911" s="12">
        <f t="shared" si="121"/>
        <v>130</v>
      </c>
      <c r="Q1911" s="14" t="s">
        <v>8316</v>
      </c>
      <c r="R1911" t="s">
        <v>8345</v>
      </c>
      <c r="S1911" s="17">
        <f t="shared" si="122"/>
        <v>41905.429155092592</v>
      </c>
      <c r="T1911" s="17">
        <f t="shared" si="123"/>
        <v>41935.429155092592</v>
      </c>
      <c r="U1911">
        <f>MONTH(Table1[[#This Row],[Launched]])</f>
        <v>9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 s="8">
        <v>1446331500</v>
      </c>
      <c r="J1912">
        <v>1442531217</v>
      </c>
      <c r="K1912" t="b">
        <v>0</v>
      </c>
      <c r="L1912" s="10">
        <v>285</v>
      </c>
      <c r="M1912" t="b">
        <v>0</v>
      </c>
      <c r="N1912" t="s">
        <v>8292</v>
      </c>
      <c r="O1912" s="11">
        <f t="shared" si="120"/>
        <v>39</v>
      </c>
      <c r="P1912" s="12">
        <f t="shared" si="121"/>
        <v>117</v>
      </c>
      <c r="Q1912" s="14" t="s">
        <v>8316</v>
      </c>
      <c r="R1912" t="s">
        <v>8345</v>
      </c>
      <c r="S1912" s="17">
        <f t="shared" si="122"/>
        <v>42264.963159722218</v>
      </c>
      <c r="T1912" s="17">
        <f t="shared" si="123"/>
        <v>42308.947916666672</v>
      </c>
      <c r="U1912">
        <f>MONTH(Table1[[#This Row],[Launched]])</f>
        <v>9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8220</v>
      </c>
      <c r="G1913" t="s">
        <v>8227</v>
      </c>
      <c r="H1913" t="s">
        <v>8249</v>
      </c>
      <c r="I1913" s="8">
        <v>1407545334</v>
      </c>
      <c r="J1913">
        <v>1404953334</v>
      </c>
      <c r="K1913" t="b">
        <v>0</v>
      </c>
      <c r="L1913" s="10">
        <v>1</v>
      </c>
      <c r="M1913" t="b">
        <v>0</v>
      </c>
      <c r="N1913" t="s">
        <v>8292</v>
      </c>
      <c r="O1913" s="11">
        <f t="shared" si="120"/>
        <v>0</v>
      </c>
      <c r="P1913" s="12">
        <f t="shared" si="121"/>
        <v>10</v>
      </c>
      <c r="Q1913" s="14" t="s">
        <v>8316</v>
      </c>
      <c r="R1913" t="s">
        <v>8345</v>
      </c>
      <c r="S1913" s="17">
        <f t="shared" si="122"/>
        <v>41830.033958333333</v>
      </c>
      <c r="T1913" s="17">
        <f t="shared" si="123"/>
        <v>41860.033958333333</v>
      </c>
      <c r="U1913">
        <f>MONTH(Table1[[#This Row],[Launched]])</f>
        <v>7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 s="8">
        <v>1433395560</v>
      </c>
      <c r="J1914">
        <v>1430803560</v>
      </c>
      <c r="K1914" t="b">
        <v>0</v>
      </c>
      <c r="L1914" s="10">
        <v>42</v>
      </c>
      <c r="M1914" t="b">
        <v>0</v>
      </c>
      <c r="N1914" t="s">
        <v>8292</v>
      </c>
      <c r="O1914" s="11">
        <f t="shared" si="120"/>
        <v>59</v>
      </c>
      <c r="P1914" s="12">
        <f t="shared" si="121"/>
        <v>71</v>
      </c>
      <c r="Q1914" s="14" t="s">
        <v>8316</v>
      </c>
      <c r="R1914" t="s">
        <v>8345</v>
      </c>
      <c r="S1914" s="17">
        <f t="shared" si="122"/>
        <v>42129.226388888885</v>
      </c>
      <c r="T1914" s="17">
        <f t="shared" si="123"/>
        <v>42159.226388888885</v>
      </c>
      <c r="U1914">
        <f>MONTH(Table1[[#This Row],[Launched]])</f>
        <v>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 s="8">
        <v>1412770578</v>
      </c>
      <c r="J1915">
        <v>1410178578</v>
      </c>
      <c r="K1915" t="b">
        <v>0</v>
      </c>
      <c r="L1915" s="10">
        <v>26</v>
      </c>
      <c r="M1915" t="b">
        <v>0</v>
      </c>
      <c r="N1915" t="s">
        <v>8292</v>
      </c>
      <c r="O1915" s="11">
        <f t="shared" si="120"/>
        <v>1</v>
      </c>
      <c r="P1915" s="12">
        <f t="shared" si="121"/>
        <v>25</v>
      </c>
      <c r="Q1915" s="14" t="s">
        <v>8316</v>
      </c>
      <c r="R1915" t="s">
        <v>8345</v>
      </c>
      <c r="S1915" s="17">
        <f t="shared" si="122"/>
        <v>41890.511319444442</v>
      </c>
      <c r="T1915" s="17">
        <f t="shared" si="123"/>
        <v>41920.511319444442</v>
      </c>
      <c r="U1915">
        <f>MONTH(Table1[[#This Row],[Launched]])</f>
        <v>9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8220</v>
      </c>
      <c r="G1916" t="s">
        <v>8223</v>
      </c>
      <c r="H1916" t="s">
        <v>8245</v>
      </c>
      <c r="I1916" s="8">
        <v>1414814340</v>
      </c>
      <c r="J1916">
        <v>1413519073</v>
      </c>
      <c r="K1916" t="b">
        <v>0</v>
      </c>
      <c r="L1916" s="10">
        <v>2</v>
      </c>
      <c r="M1916" t="b">
        <v>0</v>
      </c>
      <c r="N1916" t="s">
        <v>8292</v>
      </c>
      <c r="O1916" s="11">
        <f t="shared" si="120"/>
        <v>9</v>
      </c>
      <c r="P1916" s="12">
        <f t="shared" si="121"/>
        <v>30</v>
      </c>
      <c r="Q1916" s="14" t="s">
        <v>8316</v>
      </c>
      <c r="R1916" t="s">
        <v>8345</v>
      </c>
      <c r="S1916" s="17">
        <f t="shared" si="122"/>
        <v>41929.174456018518</v>
      </c>
      <c r="T1916" s="17">
        <f t="shared" si="123"/>
        <v>41944.165972222225</v>
      </c>
      <c r="U1916">
        <f>MONTH(Table1[[#This Row],[Launched]])</f>
        <v>10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8220</v>
      </c>
      <c r="G1917" t="s">
        <v>8223</v>
      </c>
      <c r="H1917" t="s">
        <v>8245</v>
      </c>
      <c r="I1917" s="8">
        <v>1409620222</v>
      </c>
      <c r="J1917">
        <v>1407892222</v>
      </c>
      <c r="K1917" t="b">
        <v>0</v>
      </c>
      <c r="L1917" s="10">
        <v>4</v>
      </c>
      <c r="M1917" t="b">
        <v>0</v>
      </c>
      <c r="N1917" t="s">
        <v>8292</v>
      </c>
      <c r="O1917" s="11">
        <f t="shared" si="120"/>
        <v>2</v>
      </c>
      <c r="P1917" s="12">
        <f t="shared" si="121"/>
        <v>2</v>
      </c>
      <c r="Q1917" s="14" t="s">
        <v>8316</v>
      </c>
      <c r="R1917" t="s">
        <v>8345</v>
      </c>
      <c r="S1917" s="17">
        <f t="shared" si="122"/>
        <v>41864.04886574074</v>
      </c>
      <c r="T1917" s="17">
        <f t="shared" si="123"/>
        <v>41884.04886574074</v>
      </c>
      <c r="U1917">
        <f>MONTH(Table1[[#This Row],[Launched]])</f>
        <v>8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 s="8">
        <v>1478542375</v>
      </c>
      <c r="J1918">
        <v>1476378775</v>
      </c>
      <c r="K1918" t="b">
        <v>0</v>
      </c>
      <c r="L1918" s="10">
        <v>6</v>
      </c>
      <c r="M1918" t="b">
        <v>0</v>
      </c>
      <c r="N1918" t="s">
        <v>8292</v>
      </c>
      <c r="O1918" s="11">
        <f t="shared" si="120"/>
        <v>1</v>
      </c>
      <c r="P1918" s="12">
        <f t="shared" si="121"/>
        <v>17</v>
      </c>
      <c r="Q1918" s="14" t="s">
        <v>8316</v>
      </c>
      <c r="R1918" t="s">
        <v>8345</v>
      </c>
      <c r="S1918" s="17">
        <f t="shared" si="122"/>
        <v>42656.717303240745</v>
      </c>
      <c r="T1918" s="17">
        <f t="shared" si="123"/>
        <v>42681.758969907409</v>
      </c>
      <c r="U1918">
        <f>MONTH(Table1[[#This Row],[Launched]])</f>
        <v>10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 s="8">
        <v>1486708133</v>
      </c>
      <c r="J1919">
        <v>1484116133</v>
      </c>
      <c r="K1919" t="b">
        <v>0</v>
      </c>
      <c r="L1919" s="10">
        <v>70</v>
      </c>
      <c r="M1919" t="b">
        <v>0</v>
      </c>
      <c r="N1919" t="s">
        <v>8292</v>
      </c>
      <c r="O1919" s="11">
        <f t="shared" si="120"/>
        <v>53</v>
      </c>
      <c r="P1919" s="12">
        <f t="shared" si="121"/>
        <v>2929</v>
      </c>
      <c r="Q1919" s="14" t="s">
        <v>8316</v>
      </c>
      <c r="R1919" t="s">
        <v>8345</v>
      </c>
      <c r="S1919" s="17">
        <f t="shared" si="122"/>
        <v>42746.270057870366</v>
      </c>
      <c r="T1919" s="17">
        <f t="shared" si="123"/>
        <v>42776.270057870366</v>
      </c>
      <c r="U1919">
        <f>MONTH(Table1[[#This Row],[Launched]])</f>
        <v>1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 s="8">
        <v>1407869851</v>
      </c>
      <c r="J1920">
        <v>1404845851</v>
      </c>
      <c r="K1920" t="b">
        <v>0</v>
      </c>
      <c r="L1920" s="10">
        <v>9</v>
      </c>
      <c r="M1920" t="b">
        <v>0</v>
      </c>
      <c r="N1920" t="s">
        <v>8292</v>
      </c>
      <c r="O1920" s="11">
        <f t="shared" si="120"/>
        <v>1</v>
      </c>
      <c r="P1920" s="12">
        <f t="shared" si="121"/>
        <v>29</v>
      </c>
      <c r="Q1920" s="14" t="s">
        <v>8316</v>
      </c>
      <c r="R1920" t="s">
        <v>8345</v>
      </c>
      <c r="S1920" s="17">
        <f t="shared" si="122"/>
        <v>41828.789942129632</v>
      </c>
      <c r="T1920" s="17">
        <f t="shared" si="123"/>
        <v>41863.789942129632</v>
      </c>
      <c r="U1920">
        <f>MONTH(Table1[[#This Row],[Launched]])</f>
        <v>7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8220</v>
      </c>
      <c r="G1921" t="s">
        <v>8223</v>
      </c>
      <c r="H1921" t="s">
        <v>8245</v>
      </c>
      <c r="I1921" s="8">
        <v>1432069249</v>
      </c>
      <c r="J1921">
        <v>1429477249</v>
      </c>
      <c r="K1921" t="b">
        <v>0</v>
      </c>
      <c r="L1921" s="10">
        <v>8</v>
      </c>
      <c r="M1921" t="b">
        <v>0</v>
      </c>
      <c r="N1921" t="s">
        <v>8292</v>
      </c>
      <c r="O1921" s="11">
        <f t="shared" si="120"/>
        <v>47</v>
      </c>
      <c r="P1921" s="12">
        <f t="shared" si="121"/>
        <v>30</v>
      </c>
      <c r="Q1921" s="14" t="s">
        <v>8316</v>
      </c>
      <c r="R1921" t="s">
        <v>8345</v>
      </c>
      <c r="S1921" s="17">
        <f t="shared" si="122"/>
        <v>42113.875567129624</v>
      </c>
      <c r="T1921" s="17">
        <f t="shared" si="123"/>
        <v>42143.875567129624</v>
      </c>
      <c r="U1921">
        <f>MONTH(Table1[[#This Row],[Launched]])</f>
        <v>4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 s="8">
        <v>1445468400</v>
      </c>
      <c r="J1922">
        <v>1443042061</v>
      </c>
      <c r="K1922" t="b">
        <v>0</v>
      </c>
      <c r="L1922" s="10">
        <v>105</v>
      </c>
      <c r="M1922" t="b">
        <v>0</v>
      </c>
      <c r="N1922" t="s">
        <v>8292</v>
      </c>
      <c r="O1922" s="11">
        <f t="shared" ref="O1922:O1985" si="124">ROUND(E1922/D1922*100,0)</f>
        <v>43</v>
      </c>
      <c r="P1922" s="12">
        <f t="shared" si="121"/>
        <v>41</v>
      </c>
      <c r="Q1922" s="14" t="s">
        <v>8316</v>
      </c>
      <c r="R1922" t="s">
        <v>8345</v>
      </c>
      <c r="S1922" s="17">
        <f t="shared" si="122"/>
        <v>42270.875706018516</v>
      </c>
      <c r="T1922" s="17">
        <f t="shared" si="123"/>
        <v>42298.958333333328</v>
      </c>
      <c r="U1922">
        <f>MONTH(Table1[[#This Row],[Launched]])</f>
        <v>9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 s="8">
        <v>1342243143</v>
      </c>
      <c r="J1923">
        <v>1339651143</v>
      </c>
      <c r="K1923" t="b">
        <v>0</v>
      </c>
      <c r="L1923" s="10">
        <v>38</v>
      </c>
      <c r="M1923" t="b">
        <v>1</v>
      </c>
      <c r="N1923" t="s">
        <v>8277</v>
      </c>
      <c r="O1923" s="11">
        <f t="shared" si="124"/>
        <v>137</v>
      </c>
      <c r="P1923" s="12">
        <f t="shared" ref="P1923:P1986" si="125">IFERROR(ROUND(E1923/L1923,),"No Backers")</f>
        <v>54</v>
      </c>
      <c r="Q1923" s="14" t="s">
        <v>8322</v>
      </c>
      <c r="R1923" t="s">
        <v>8326</v>
      </c>
      <c r="S1923" s="17">
        <f t="shared" ref="S1923:S1986" si="126">(((J1923/60)/60)/24)+DATE(1970,1,1)</f>
        <v>41074.221562500003</v>
      </c>
      <c r="T1923" s="17">
        <f t="shared" ref="T1923:T1986" si="127">(((I1923/60)/60)/24)+DATE(1970,1,1)</f>
        <v>41104.221562500003</v>
      </c>
      <c r="U1923">
        <f>MONTH(Table1[[#This Row],[Launched]])</f>
        <v>6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 s="8">
        <v>1386828507</v>
      </c>
      <c r="J1924">
        <v>1384236507</v>
      </c>
      <c r="K1924" t="b">
        <v>0</v>
      </c>
      <c r="L1924" s="10">
        <v>64</v>
      </c>
      <c r="M1924" t="b">
        <v>1</v>
      </c>
      <c r="N1924" t="s">
        <v>8277</v>
      </c>
      <c r="O1924" s="11">
        <f t="shared" si="124"/>
        <v>116</v>
      </c>
      <c r="P1924" s="12">
        <f t="shared" si="125"/>
        <v>36</v>
      </c>
      <c r="Q1924" s="14" t="s">
        <v>8322</v>
      </c>
      <c r="R1924" t="s">
        <v>8326</v>
      </c>
      <c r="S1924" s="17">
        <f t="shared" si="126"/>
        <v>41590.255868055552</v>
      </c>
      <c r="T1924" s="17">
        <f t="shared" si="127"/>
        <v>41620.255868055552</v>
      </c>
      <c r="U1924">
        <f>MONTH(Table1[[#This Row],[Launched]])</f>
        <v>11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8218</v>
      </c>
      <c r="G1925" t="s">
        <v>8223</v>
      </c>
      <c r="H1925" t="s">
        <v>8245</v>
      </c>
      <c r="I1925" s="8">
        <v>1317099540</v>
      </c>
      <c r="J1925">
        <v>1313612532</v>
      </c>
      <c r="K1925" t="b">
        <v>0</v>
      </c>
      <c r="L1925" s="10">
        <v>13</v>
      </c>
      <c r="M1925" t="b">
        <v>1</v>
      </c>
      <c r="N1925" t="s">
        <v>8277</v>
      </c>
      <c r="O1925" s="11">
        <f t="shared" si="124"/>
        <v>241</v>
      </c>
      <c r="P1925" s="12">
        <f t="shared" si="125"/>
        <v>23</v>
      </c>
      <c r="Q1925" s="14" t="s">
        <v>8322</v>
      </c>
      <c r="R1925" t="s">
        <v>8326</v>
      </c>
      <c r="S1925" s="17">
        <f t="shared" si="126"/>
        <v>40772.848749999997</v>
      </c>
      <c r="T1925" s="17">
        <f t="shared" si="127"/>
        <v>40813.207638888889</v>
      </c>
      <c r="U1925">
        <f>MONTH(Table1[[#This Row],[Launched]])</f>
        <v>8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 s="8">
        <v>1389814380</v>
      </c>
      <c r="J1926">
        <v>1387390555</v>
      </c>
      <c r="K1926" t="b">
        <v>0</v>
      </c>
      <c r="L1926" s="10">
        <v>33</v>
      </c>
      <c r="M1926" t="b">
        <v>1</v>
      </c>
      <c r="N1926" t="s">
        <v>8277</v>
      </c>
      <c r="O1926" s="11">
        <f t="shared" si="124"/>
        <v>114</v>
      </c>
      <c r="P1926" s="12">
        <f t="shared" si="125"/>
        <v>104</v>
      </c>
      <c r="Q1926" s="14" t="s">
        <v>8322</v>
      </c>
      <c r="R1926" t="s">
        <v>8326</v>
      </c>
      <c r="S1926" s="17">
        <f t="shared" si="126"/>
        <v>41626.761053240742</v>
      </c>
      <c r="T1926" s="17">
        <f t="shared" si="127"/>
        <v>41654.814583333333</v>
      </c>
      <c r="U1926">
        <f>MONTH(Table1[[#This Row],[Launched]])</f>
        <v>12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 s="8">
        <v>1381449600</v>
      </c>
      <c r="J1927">
        <v>1379540288</v>
      </c>
      <c r="K1927" t="b">
        <v>0</v>
      </c>
      <c r="L1927" s="10">
        <v>52</v>
      </c>
      <c r="M1927" t="b">
        <v>1</v>
      </c>
      <c r="N1927" t="s">
        <v>8277</v>
      </c>
      <c r="O1927" s="11">
        <f t="shared" si="124"/>
        <v>110</v>
      </c>
      <c r="P1927" s="12">
        <f t="shared" si="125"/>
        <v>32</v>
      </c>
      <c r="Q1927" s="14" t="s">
        <v>8322</v>
      </c>
      <c r="R1927" t="s">
        <v>8326</v>
      </c>
      <c r="S1927" s="17">
        <f t="shared" si="126"/>
        <v>41535.90148148148</v>
      </c>
      <c r="T1927" s="17">
        <f t="shared" si="127"/>
        <v>41558</v>
      </c>
      <c r="U1927">
        <f>MONTH(Table1[[#This Row],[Launched]])</f>
        <v>9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 s="8">
        <v>1288657560</v>
      </c>
      <c r="J1928">
        <v>1286319256</v>
      </c>
      <c r="K1928" t="b">
        <v>0</v>
      </c>
      <c r="L1928" s="10">
        <v>107</v>
      </c>
      <c r="M1928" t="b">
        <v>1</v>
      </c>
      <c r="N1928" t="s">
        <v>8277</v>
      </c>
      <c r="O1928" s="11">
        <f t="shared" si="124"/>
        <v>195</v>
      </c>
      <c r="P1928" s="12">
        <f t="shared" si="125"/>
        <v>27</v>
      </c>
      <c r="Q1928" s="14" t="s">
        <v>8322</v>
      </c>
      <c r="R1928" t="s">
        <v>8326</v>
      </c>
      <c r="S1928" s="17">
        <f t="shared" si="126"/>
        <v>40456.954351851848</v>
      </c>
      <c r="T1928" s="17">
        <f t="shared" si="127"/>
        <v>40484.018055555556</v>
      </c>
      <c r="U1928">
        <f>MONTH(Table1[[#This Row],[Launched]])</f>
        <v>10</v>
      </c>
    </row>
    <row r="1929" spans="1:21" ht="15.6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8218</v>
      </c>
      <c r="G1929" t="s">
        <v>8223</v>
      </c>
      <c r="H1929" t="s">
        <v>8245</v>
      </c>
      <c r="I1929" s="8">
        <v>1331182740</v>
      </c>
      <c r="J1929">
        <v>1329856839</v>
      </c>
      <c r="K1929" t="b">
        <v>0</v>
      </c>
      <c r="L1929" s="10">
        <v>11</v>
      </c>
      <c r="M1929" t="b">
        <v>1</v>
      </c>
      <c r="N1929" t="s">
        <v>8277</v>
      </c>
      <c r="O1929" s="11">
        <f t="shared" si="124"/>
        <v>103</v>
      </c>
      <c r="P1929" s="12">
        <f t="shared" si="125"/>
        <v>56</v>
      </c>
      <c r="Q1929" s="14" t="s">
        <v>8322</v>
      </c>
      <c r="R1929" t="s">
        <v>8326</v>
      </c>
      <c r="S1929" s="17">
        <f t="shared" si="126"/>
        <v>40960.861562500002</v>
      </c>
      <c r="T1929" s="17">
        <f t="shared" si="127"/>
        <v>40976.207638888889</v>
      </c>
      <c r="U1929">
        <f>MONTH(Table1[[#This Row],[Launched]])</f>
        <v>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 s="8">
        <v>1367940794</v>
      </c>
      <c r="J1930">
        <v>1365348794</v>
      </c>
      <c r="K1930" t="b">
        <v>0</v>
      </c>
      <c r="L1930" s="10">
        <v>34</v>
      </c>
      <c r="M1930" t="b">
        <v>1</v>
      </c>
      <c r="N1930" t="s">
        <v>8277</v>
      </c>
      <c r="O1930" s="11">
        <f t="shared" si="124"/>
        <v>103</v>
      </c>
      <c r="P1930" s="12">
        <f t="shared" si="125"/>
        <v>77</v>
      </c>
      <c r="Q1930" s="14" t="s">
        <v>8322</v>
      </c>
      <c r="R1930" t="s">
        <v>8326</v>
      </c>
      <c r="S1930" s="17">
        <f t="shared" si="126"/>
        <v>41371.648078703707</v>
      </c>
      <c r="T1930" s="17">
        <f t="shared" si="127"/>
        <v>41401.648078703707</v>
      </c>
      <c r="U1930">
        <f>MONTH(Table1[[#This Row],[Launched]])</f>
        <v>4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 s="8">
        <v>1309825866</v>
      </c>
      <c r="J1931">
        <v>1306197066</v>
      </c>
      <c r="K1931" t="b">
        <v>0</v>
      </c>
      <c r="L1931" s="10">
        <v>75</v>
      </c>
      <c r="M1931" t="b">
        <v>1</v>
      </c>
      <c r="N1931" t="s">
        <v>8277</v>
      </c>
      <c r="O1931" s="11">
        <f t="shared" si="124"/>
        <v>100</v>
      </c>
      <c r="P1931" s="12">
        <f t="shared" si="125"/>
        <v>43</v>
      </c>
      <c r="Q1931" s="14" t="s">
        <v>8322</v>
      </c>
      <c r="R1931" t="s">
        <v>8326</v>
      </c>
      <c r="S1931" s="17">
        <f t="shared" si="126"/>
        <v>40687.021597222221</v>
      </c>
      <c r="T1931" s="17">
        <f t="shared" si="127"/>
        <v>40729.021597222221</v>
      </c>
      <c r="U1931">
        <f>MONTH(Table1[[#This Row],[Launched]])</f>
        <v>5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 s="8">
        <v>1373203482</v>
      </c>
      <c r="J1932">
        <v>1368019482</v>
      </c>
      <c r="K1932" t="b">
        <v>0</v>
      </c>
      <c r="L1932" s="10">
        <v>26</v>
      </c>
      <c r="M1932" t="b">
        <v>1</v>
      </c>
      <c r="N1932" t="s">
        <v>8277</v>
      </c>
      <c r="O1932" s="11">
        <f t="shared" si="124"/>
        <v>127</v>
      </c>
      <c r="P1932" s="12">
        <f t="shared" si="125"/>
        <v>49</v>
      </c>
      <c r="Q1932" s="14" t="s">
        <v>8322</v>
      </c>
      <c r="R1932" t="s">
        <v>8326</v>
      </c>
      <c r="S1932" s="17">
        <f t="shared" si="126"/>
        <v>41402.558819444443</v>
      </c>
      <c r="T1932" s="17">
        <f t="shared" si="127"/>
        <v>41462.558819444443</v>
      </c>
      <c r="U1932">
        <f>MONTH(Table1[[#This Row],[Launched]])</f>
        <v>5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 s="8">
        <v>1337657400</v>
      </c>
      <c r="J1933">
        <v>1336512309</v>
      </c>
      <c r="K1933" t="b">
        <v>0</v>
      </c>
      <c r="L1933" s="10">
        <v>50</v>
      </c>
      <c r="M1933" t="b">
        <v>1</v>
      </c>
      <c r="N1933" t="s">
        <v>8277</v>
      </c>
      <c r="O1933" s="11">
        <f t="shared" si="124"/>
        <v>121</v>
      </c>
      <c r="P1933" s="12">
        <f t="shared" si="125"/>
        <v>48</v>
      </c>
      <c r="Q1933" s="14" t="s">
        <v>8322</v>
      </c>
      <c r="R1933" t="s">
        <v>8326</v>
      </c>
      <c r="S1933" s="17">
        <f t="shared" si="126"/>
        <v>41037.892465277779</v>
      </c>
      <c r="T1933" s="17">
        <f t="shared" si="127"/>
        <v>41051.145833333336</v>
      </c>
      <c r="U1933">
        <f>MONTH(Table1[[#This Row],[Launched]])</f>
        <v>5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 s="8">
        <v>1327433173</v>
      </c>
      <c r="J1934">
        <v>1325618773</v>
      </c>
      <c r="K1934" t="b">
        <v>0</v>
      </c>
      <c r="L1934" s="10">
        <v>80</v>
      </c>
      <c r="M1934" t="b">
        <v>1</v>
      </c>
      <c r="N1934" t="s">
        <v>8277</v>
      </c>
      <c r="O1934" s="11">
        <f t="shared" si="124"/>
        <v>107</v>
      </c>
      <c r="P1934" s="12">
        <f t="shared" si="125"/>
        <v>70</v>
      </c>
      <c r="Q1934" s="14" t="s">
        <v>8322</v>
      </c>
      <c r="R1934" t="s">
        <v>8326</v>
      </c>
      <c r="S1934" s="17">
        <f t="shared" si="126"/>
        <v>40911.809872685182</v>
      </c>
      <c r="T1934" s="17">
        <f t="shared" si="127"/>
        <v>40932.809872685182</v>
      </c>
      <c r="U1934">
        <f>MONTH(Table1[[#This Row],[Launched]])</f>
        <v>1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 s="8">
        <v>1411787307</v>
      </c>
      <c r="J1935">
        <v>1409195307</v>
      </c>
      <c r="K1935" t="b">
        <v>0</v>
      </c>
      <c r="L1935" s="10">
        <v>110</v>
      </c>
      <c r="M1935" t="b">
        <v>1</v>
      </c>
      <c r="N1935" t="s">
        <v>8277</v>
      </c>
      <c r="O1935" s="11">
        <f t="shared" si="124"/>
        <v>172</v>
      </c>
      <c r="P1935" s="12">
        <f t="shared" si="125"/>
        <v>94</v>
      </c>
      <c r="Q1935" s="14" t="s">
        <v>8322</v>
      </c>
      <c r="R1935" t="s">
        <v>8326</v>
      </c>
      <c r="S1935" s="17">
        <f t="shared" si="126"/>
        <v>41879.130868055552</v>
      </c>
      <c r="T1935" s="17">
        <f t="shared" si="127"/>
        <v>41909.130868055552</v>
      </c>
      <c r="U1935">
        <f>MONTH(Table1[[#This Row],[Launched]])</f>
        <v>8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 s="8">
        <v>1324789200</v>
      </c>
      <c r="J1936">
        <v>1321649321</v>
      </c>
      <c r="K1936" t="b">
        <v>0</v>
      </c>
      <c r="L1936" s="10">
        <v>77</v>
      </c>
      <c r="M1936" t="b">
        <v>1</v>
      </c>
      <c r="N1936" t="s">
        <v>8277</v>
      </c>
      <c r="O1936" s="11">
        <f t="shared" si="124"/>
        <v>124</v>
      </c>
      <c r="P1936" s="12">
        <f t="shared" si="125"/>
        <v>80</v>
      </c>
      <c r="Q1936" s="14" t="s">
        <v>8322</v>
      </c>
      <c r="R1936" t="s">
        <v>8326</v>
      </c>
      <c r="S1936" s="17">
        <f t="shared" si="126"/>
        <v>40865.867141203707</v>
      </c>
      <c r="T1936" s="17">
        <f t="shared" si="127"/>
        <v>40902.208333333336</v>
      </c>
      <c r="U1936">
        <f>MONTH(Table1[[#This Row],[Launched]])</f>
        <v>11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 s="8">
        <v>1403326740</v>
      </c>
      <c r="J1937">
        <v>1400106171</v>
      </c>
      <c r="K1937" t="b">
        <v>0</v>
      </c>
      <c r="L1937" s="10">
        <v>50</v>
      </c>
      <c r="M1937" t="b">
        <v>1</v>
      </c>
      <c r="N1937" t="s">
        <v>8277</v>
      </c>
      <c r="O1937" s="11">
        <f t="shared" si="124"/>
        <v>108</v>
      </c>
      <c r="P1937" s="12">
        <f t="shared" si="125"/>
        <v>54</v>
      </c>
      <c r="Q1937" s="14" t="s">
        <v>8322</v>
      </c>
      <c r="R1937" t="s">
        <v>8326</v>
      </c>
      <c r="S1937" s="17">
        <f t="shared" si="126"/>
        <v>41773.932534722226</v>
      </c>
      <c r="T1937" s="17">
        <f t="shared" si="127"/>
        <v>41811.207638888889</v>
      </c>
      <c r="U1937">
        <f>MONTH(Table1[[#This Row],[Launched]])</f>
        <v>5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 s="8">
        <v>1323151140</v>
      </c>
      <c r="J1938">
        <v>1320528070</v>
      </c>
      <c r="K1938" t="b">
        <v>0</v>
      </c>
      <c r="L1938" s="10">
        <v>145</v>
      </c>
      <c r="M1938" t="b">
        <v>1</v>
      </c>
      <c r="N1938" t="s">
        <v>8277</v>
      </c>
      <c r="O1938" s="11">
        <f t="shared" si="124"/>
        <v>117</v>
      </c>
      <c r="P1938" s="12">
        <f t="shared" si="125"/>
        <v>60</v>
      </c>
      <c r="Q1938" s="14" t="s">
        <v>8322</v>
      </c>
      <c r="R1938" t="s">
        <v>8326</v>
      </c>
      <c r="S1938" s="17">
        <f t="shared" si="126"/>
        <v>40852.889699074076</v>
      </c>
      <c r="T1938" s="17">
        <f t="shared" si="127"/>
        <v>40883.249305555553</v>
      </c>
      <c r="U1938">
        <f>MONTH(Table1[[#This Row],[Launched]])</f>
        <v>11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 s="8">
        <v>1339732740</v>
      </c>
      <c r="J1939">
        <v>1338346281</v>
      </c>
      <c r="K1939" t="b">
        <v>0</v>
      </c>
      <c r="L1939" s="10">
        <v>29</v>
      </c>
      <c r="M1939" t="b">
        <v>1</v>
      </c>
      <c r="N1939" t="s">
        <v>8277</v>
      </c>
      <c r="O1939" s="11">
        <f t="shared" si="124"/>
        <v>187</v>
      </c>
      <c r="P1939" s="12">
        <f t="shared" si="125"/>
        <v>39</v>
      </c>
      <c r="Q1939" s="14" t="s">
        <v>8322</v>
      </c>
      <c r="R1939" t="s">
        <v>8326</v>
      </c>
      <c r="S1939" s="17">
        <f t="shared" si="126"/>
        <v>41059.118993055556</v>
      </c>
      <c r="T1939" s="17">
        <f t="shared" si="127"/>
        <v>41075.165972222225</v>
      </c>
      <c r="U1939">
        <f>MONTH(Table1[[#This Row],[Launched]])</f>
        <v>5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 s="8">
        <v>1372741200</v>
      </c>
      <c r="J1940">
        <v>1370067231</v>
      </c>
      <c r="K1940" t="b">
        <v>0</v>
      </c>
      <c r="L1940" s="10">
        <v>114</v>
      </c>
      <c r="M1940" t="b">
        <v>1</v>
      </c>
      <c r="N1940" t="s">
        <v>8277</v>
      </c>
      <c r="O1940" s="11">
        <f t="shared" si="124"/>
        <v>116</v>
      </c>
      <c r="P1940" s="12">
        <f t="shared" si="125"/>
        <v>153</v>
      </c>
      <c r="Q1940" s="14" t="s">
        <v>8322</v>
      </c>
      <c r="R1940" t="s">
        <v>8326</v>
      </c>
      <c r="S1940" s="17">
        <f t="shared" si="126"/>
        <v>41426.259618055556</v>
      </c>
      <c r="T1940" s="17">
        <f t="shared" si="127"/>
        <v>41457.208333333336</v>
      </c>
      <c r="U1940">
        <f>MONTH(Table1[[#This Row],[Launched]])</f>
        <v>6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 s="8">
        <v>1362955108</v>
      </c>
      <c r="J1941">
        <v>1360366708</v>
      </c>
      <c r="K1941" t="b">
        <v>0</v>
      </c>
      <c r="L1941" s="10">
        <v>96</v>
      </c>
      <c r="M1941" t="b">
        <v>1</v>
      </c>
      <c r="N1941" t="s">
        <v>8277</v>
      </c>
      <c r="O1941" s="11">
        <f t="shared" si="124"/>
        <v>111</v>
      </c>
      <c r="P1941" s="12">
        <f t="shared" si="125"/>
        <v>115</v>
      </c>
      <c r="Q1941" s="14" t="s">
        <v>8322</v>
      </c>
      <c r="R1941" t="s">
        <v>8326</v>
      </c>
      <c r="S1941" s="17">
        <f t="shared" si="126"/>
        <v>41313.985046296293</v>
      </c>
      <c r="T1941" s="17">
        <f t="shared" si="127"/>
        <v>41343.943379629629</v>
      </c>
      <c r="U1941">
        <f>MONTH(Table1[[#This Row],[Launched]])</f>
        <v>2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8218</v>
      </c>
      <c r="G1942" t="s">
        <v>8223</v>
      </c>
      <c r="H1942" t="s">
        <v>8245</v>
      </c>
      <c r="I1942" s="8">
        <v>1308110340</v>
      </c>
      <c r="J1942">
        <v>1304770233</v>
      </c>
      <c r="K1942" t="b">
        <v>0</v>
      </c>
      <c r="L1942" s="10">
        <v>31</v>
      </c>
      <c r="M1942" t="b">
        <v>1</v>
      </c>
      <c r="N1942" t="s">
        <v>8277</v>
      </c>
      <c r="O1942" s="11">
        <f t="shared" si="124"/>
        <v>171</v>
      </c>
      <c r="P1942" s="12">
        <f t="shared" si="125"/>
        <v>36</v>
      </c>
      <c r="Q1942" s="14" t="s">
        <v>8322</v>
      </c>
      <c r="R1942" t="s">
        <v>8326</v>
      </c>
      <c r="S1942" s="17">
        <f t="shared" si="126"/>
        <v>40670.507326388892</v>
      </c>
      <c r="T1942" s="17">
        <f t="shared" si="127"/>
        <v>40709.165972222225</v>
      </c>
      <c r="U1942">
        <f>MONTH(Table1[[#This Row],[Launched]])</f>
        <v>5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 s="8">
        <v>1400137131</v>
      </c>
      <c r="J1943">
        <v>1397545131</v>
      </c>
      <c r="K1943" t="b">
        <v>1</v>
      </c>
      <c r="L1943" s="10">
        <v>4883</v>
      </c>
      <c r="M1943" t="b">
        <v>1</v>
      </c>
      <c r="N1943" t="s">
        <v>8293</v>
      </c>
      <c r="O1943" s="11">
        <f t="shared" si="124"/>
        <v>126</v>
      </c>
      <c r="P1943" s="12">
        <f t="shared" si="125"/>
        <v>65</v>
      </c>
      <c r="Q1943" s="14" t="s">
        <v>8316</v>
      </c>
      <c r="R1943" t="s">
        <v>8346</v>
      </c>
      <c r="S1943" s="17">
        <f t="shared" si="126"/>
        <v>41744.290868055556</v>
      </c>
      <c r="T1943" s="17">
        <f t="shared" si="127"/>
        <v>41774.290868055556</v>
      </c>
      <c r="U1943">
        <f>MONTH(Table1[[#This Row],[Launched]])</f>
        <v>4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 s="8">
        <v>1309809140</v>
      </c>
      <c r="J1944">
        <v>1302033140</v>
      </c>
      <c r="K1944" t="b">
        <v>1</v>
      </c>
      <c r="L1944" s="10">
        <v>95</v>
      </c>
      <c r="M1944" t="b">
        <v>1</v>
      </c>
      <c r="N1944" t="s">
        <v>8293</v>
      </c>
      <c r="O1944" s="11">
        <f t="shared" si="124"/>
        <v>138</v>
      </c>
      <c r="P1944" s="12">
        <f t="shared" si="125"/>
        <v>87</v>
      </c>
      <c r="Q1944" s="14" t="s">
        <v>8316</v>
      </c>
      <c r="R1944" t="s">
        <v>8346</v>
      </c>
      <c r="S1944" s="17">
        <f t="shared" si="126"/>
        <v>40638.828009259261</v>
      </c>
      <c r="T1944" s="17">
        <f t="shared" si="127"/>
        <v>40728.828009259261</v>
      </c>
      <c r="U1944">
        <f>MONTH(Table1[[#This Row],[Launched]])</f>
        <v>4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 s="8">
        <v>1470896916</v>
      </c>
      <c r="J1945">
        <v>1467008916</v>
      </c>
      <c r="K1945" t="b">
        <v>1</v>
      </c>
      <c r="L1945" s="10">
        <v>2478</v>
      </c>
      <c r="M1945" t="b">
        <v>1</v>
      </c>
      <c r="N1945" t="s">
        <v>8293</v>
      </c>
      <c r="O1945" s="11">
        <f t="shared" si="124"/>
        <v>1705</v>
      </c>
      <c r="P1945" s="12">
        <f t="shared" si="125"/>
        <v>69</v>
      </c>
      <c r="Q1945" s="14" t="s">
        <v>8316</v>
      </c>
      <c r="R1945" t="s">
        <v>8346</v>
      </c>
      <c r="S1945" s="17">
        <f t="shared" si="126"/>
        <v>42548.269861111112</v>
      </c>
      <c r="T1945" s="17">
        <f t="shared" si="127"/>
        <v>42593.269861111112</v>
      </c>
      <c r="U1945">
        <f>MONTH(Table1[[#This Row],[Launched]])</f>
        <v>6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 s="8">
        <v>1398952890</v>
      </c>
      <c r="J1946">
        <v>1396360890</v>
      </c>
      <c r="K1946" t="b">
        <v>1</v>
      </c>
      <c r="L1946" s="10">
        <v>1789</v>
      </c>
      <c r="M1946" t="b">
        <v>1</v>
      </c>
      <c r="N1946" t="s">
        <v>8293</v>
      </c>
      <c r="O1946" s="11">
        <f t="shared" si="124"/>
        <v>788</v>
      </c>
      <c r="P1946" s="12">
        <f t="shared" si="125"/>
        <v>176</v>
      </c>
      <c r="Q1946" s="14" t="s">
        <v>8316</v>
      </c>
      <c r="R1946" t="s">
        <v>8346</v>
      </c>
      <c r="S1946" s="17">
        <f t="shared" si="126"/>
        <v>41730.584374999999</v>
      </c>
      <c r="T1946" s="17">
        <f t="shared" si="127"/>
        <v>41760.584374999999</v>
      </c>
      <c r="U1946">
        <f>MONTH(Table1[[#This Row],[Launched]])</f>
        <v>4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 s="8">
        <v>1436680958</v>
      </c>
      <c r="J1947">
        <v>1433224958</v>
      </c>
      <c r="K1947" t="b">
        <v>1</v>
      </c>
      <c r="L1947" s="10">
        <v>680</v>
      </c>
      <c r="M1947" t="b">
        <v>1</v>
      </c>
      <c r="N1947" t="s">
        <v>8293</v>
      </c>
      <c r="O1947" s="11">
        <f t="shared" si="124"/>
        <v>348</v>
      </c>
      <c r="P1947" s="12">
        <f t="shared" si="125"/>
        <v>512</v>
      </c>
      <c r="Q1947" s="14" t="s">
        <v>8316</v>
      </c>
      <c r="R1947" t="s">
        <v>8346</v>
      </c>
      <c r="S1947" s="17">
        <f t="shared" si="126"/>
        <v>42157.251828703709</v>
      </c>
      <c r="T1947" s="17">
        <f t="shared" si="127"/>
        <v>42197.251828703709</v>
      </c>
      <c r="U1947">
        <f>MONTH(Table1[[#This Row],[Launched]])</f>
        <v>6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 s="8">
        <v>1397961361</v>
      </c>
      <c r="J1948">
        <v>1392780961</v>
      </c>
      <c r="K1948" t="b">
        <v>1</v>
      </c>
      <c r="L1948" s="10">
        <v>70</v>
      </c>
      <c r="M1948" t="b">
        <v>1</v>
      </c>
      <c r="N1948" t="s">
        <v>8293</v>
      </c>
      <c r="O1948" s="11">
        <f t="shared" si="124"/>
        <v>150</v>
      </c>
      <c r="P1948" s="12">
        <f t="shared" si="125"/>
        <v>160</v>
      </c>
      <c r="Q1948" s="14" t="s">
        <v>8316</v>
      </c>
      <c r="R1948" t="s">
        <v>8346</v>
      </c>
      <c r="S1948" s="17">
        <f t="shared" si="126"/>
        <v>41689.150011574071</v>
      </c>
      <c r="T1948" s="17">
        <f t="shared" si="127"/>
        <v>41749.108344907407</v>
      </c>
      <c r="U1948">
        <f>MONTH(Table1[[#This Row],[Launched]])</f>
        <v>2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 s="8">
        <v>1258955940</v>
      </c>
      <c r="J1949">
        <v>1255730520</v>
      </c>
      <c r="K1949" t="b">
        <v>1</v>
      </c>
      <c r="L1949" s="10">
        <v>23</v>
      </c>
      <c r="M1949" t="b">
        <v>1</v>
      </c>
      <c r="N1949" t="s">
        <v>8293</v>
      </c>
      <c r="O1949" s="11">
        <f t="shared" si="124"/>
        <v>101</v>
      </c>
      <c r="P1949" s="12">
        <f t="shared" si="125"/>
        <v>35</v>
      </c>
      <c r="Q1949" s="14" t="s">
        <v>8316</v>
      </c>
      <c r="R1949" t="s">
        <v>8346</v>
      </c>
      <c r="S1949" s="17">
        <f t="shared" si="126"/>
        <v>40102.918055555558</v>
      </c>
      <c r="T1949" s="17">
        <f t="shared" si="127"/>
        <v>40140.249305555553</v>
      </c>
      <c r="U1949">
        <f>MONTH(Table1[[#This Row],[Launched]])</f>
        <v>10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 s="8">
        <v>1465232520</v>
      </c>
      <c r="J1950">
        <v>1460557809</v>
      </c>
      <c r="K1950" t="b">
        <v>1</v>
      </c>
      <c r="L1950" s="10">
        <v>4245</v>
      </c>
      <c r="M1950" t="b">
        <v>1</v>
      </c>
      <c r="N1950" t="s">
        <v>8293</v>
      </c>
      <c r="O1950" s="11">
        <f t="shared" si="124"/>
        <v>800</v>
      </c>
      <c r="P1950" s="12">
        <f t="shared" si="125"/>
        <v>189</v>
      </c>
      <c r="Q1950" s="14" t="s">
        <v>8316</v>
      </c>
      <c r="R1950" t="s">
        <v>8346</v>
      </c>
      <c r="S1950" s="17">
        <f t="shared" si="126"/>
        <v>42473.604270833333</v>
      </c>
      <c r="T1950" s="17">
        <f t="shared" si="127"/>
        <v>42527.709722222222</v>
      </c>
      <c r="U1950">
        <f>MONTH(Table1[[#This Row],[Launched]])</f>
        <v>4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 s="8">
        <v>1404986951</v>
      </c>
      <c r="J1951">
        <v>1402394951</v>
      </c>
      <c r="K1951" t="b">
        <v>1</v>
      </c>
      <c r="L1951" s="10">
        <v>943</v>
      </c>
      <c r="M1951" t="b">
        <v>1</v>
      </c>
      <c r="N1951" t="s">
        <v>8293</v>
      </c>
      <c r="O1951" s="11">
        <f t="shared" si="124"/>
        <v>106</v>
      </c>
      <c r="P1951" s="12">
        <f t="shared" si="125"/>
        <v>56</v>
      </c>
      <c r="Q1951" s="14" t="s">
        <v>8316</v>
      </c>
      <c r="R1951" t="s">
        <v>8346</v>
      </c>
      <c r="S1951" s="17">
        <f t="shared" si="126"/>
        <v>41800.423043981478</v>
      </c>
      <c r="T1951" s="17">
        <f t="shared" si="127"/>
        <v>41830.423043981478</v>
      </c>
      <c r="U1951">
        <f>MONTH(Table1[[#This Row],[Launched]])</f>
        <v>6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 s="8">
        <v>1303446073</v>
      </c>
      <c r="J1952">
        <v>1300767673</v>
      </c>
      <c r="K1952" t="b">
        <v>1</v>
      </c>
      <c r="L1952" s="10">
        <v>1876</v>
      </c>
      <c r="M1952" t="b">
        <v>1</v>
      </c>
      <c r="N1952" t="s">
        <v>8293</v>
      </c>
      <c r="O1952" s="11">
        <f t="shared" si="124"/>
        <v>201</v>
      </c>
      <c r="P1952" s="12">
        <f t="shared" si="125"/>
        <v>51</v>
      </c>
      <c r="Q1952" s="14" t="s">
        <v>8316</v>
      </c>
      <c r="R1952" t="s">
        <v>8346</v>
      </c>
      <c r="S1952" s="17">
        <f t="shared" si="126"/>
        <v>40624.181400462963</v>
      </c>
      <c r="T1952" s="17">
        <f t="shared" si="127"/>
        <v>40655.181400462963</v>
      </c>
      <c r="U1952">
        <f>MONTH(Table1[[#This Row],[Launched]])</f>
        <v>3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 s="8">
        <v>1478516737</v>
      </c>
      <c r="J1953">
        <v>1475921137</v>
      </c>
      <c r="K1953" t="b">
        <v>1</v>
      </c>
      <c r="L1953" s="10">
        <v>834</v>
      </c>
      <c r="M1953" t="b">
        <v>1</v>
      </c>
      <c r="N1953" t="s">
        <v>8293</v>
      </c>
      <c r="O1953" s="11">
        <f t="shared" si="124"/>
        <v>212</v>
      </c>
      <c r="P1953" s="12">
        <f t="shared" si="125"/>
        <v>127</v>
      </c>
      <c r="Q1953" s="14" t="s">
        <v>8316</v>
      </c>
      <c r="R1953" t="s">
        <v>8346</v>
      </c>
      <c r="S1953" s="17">
        <f t="shared" si="126"/>
        <v>42651.420567129629</v>
      </c>
      <c r="T1953" s="17">
        <f t="shared" si="127"/>
        <v>42681.462233796294</v>
      </c>
      <c r="U1953">
        <f>MONTH(Table1[[#This Row],[Launched]])</f>
        <v>10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 s="8">
        <v>1381934015</v>
      </c>
      <c r="J1954">
        <v>1378737215</v>
      </c>
      <c r="K1954" t="b">
        <v>1</v>
      </c>
      <c r="L1954" s="10">
        <v>682</v>
      </c>
      <c r="M1954" t="b">
        <v>1</v>
      </c>
      <c r="N1954" t="s">
        <v>8293</v>
      </c>
      <c r="O1954" s="11">
        <f t="shared" si="124"/>
        <v>198</v>
      </c>
      <c r="P1954" s="12">
        <f t="shared" si="125"/>
        <v>102</v>
      </c>
      <c r="Q1954" s="14" t="s">
        <v>8316</v>
      </c>
      <c r="R1954" t="s">
        <v>8346</v>
      </c>
      <c r="S1954" s="17">
        <f t="shared" si="126"/>
        <v>41526.60665509259</v>
      </c>
      <c r="T1954" s="17">
        <f t="shared" si="127"/>
        <v>41563.60665509259</v>
      </c>
      <c r="U1954">
        <f>MONTH(Table1[[#This Row],[Launched]])</f>
        <v>9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 s="8">
        <v>1330657200</v>
      </c>
      <c r="J1955">
        <v>1328158065</v>
      </c>
      <c r="K1955" t="b">
        <v>1</v>
      </c>
      <c r="L1955" s="10">
        <v>147</v>
      </c>
      <c r="M1955" t="b">
        <v>1</v>
      </c>
      <c r="N1955" t="s">
        <v>8293</v>
      </c>
      <c r="O1955" s="11">
        <f t="shared" si="124"/>
        <v>226</v>
      </c>
      <c r="P1955" s="12">
        <f t="shared" si="125"/>
        <v>231</v>
      </c>
      <c r="Q1955" s="14" t="s">
        <v>8316</v>
      </c>
      <c r="R1955" t="s">
        <v>8346</v>
      </c>
      <c r="S1955" s="17">
        <f t="shared" si="126"/>
        <v>40941.199826388889</v>
      </c>
      <c r="T1955" s="17">
        <f t="shared" si="127"/>
        <v>40970.125</v>
      </c>
      <c r="U1955">
        <f>MONTH(Table1[[#This Row],[Launched]])</f>
        <v>2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 s="8">
        <v>1457758800</v>
      </c>
      <c r="J1956">
        <v>1453730176</v>
      </c>
      <c r="K1956" t="b">
        <v>1</v>
      </c>
      <c r="L1956" s="10">
        <v>415</v>
      </c>
      <c r="M1956" t="b">
        <v>1</v>
      </c>
      <c r="N1956" t="s">
        <v>8293</v>
      </c>
      <c r="O1956" s="11">
        <f t="shared" si="124"/>
        <v>699</v>
      </c>
      <c r="P1956" s="12">
        <f t="shared" si="125"/>
        <v>842</v>
      </c>
      <c r="Q1956" s="14" t="s">
        <v>8316</v>
      </c>
      <c r="R1956" t="s">
        <v>8346</v>
      </c>
      <c r="S1956" s="17">
        <f t="shared" si="126"/>
        <v>42394.580740740741</v>
      </c>
      <c r="T1956" s="17">
        <f t="shared" si="127"/>
        <v>42441.208333333328</v>
      </c>
      <c r="U1956">
        <f>MONTH(Table1[[#This Row],[Launched]])</f>
        <v>1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 s="8">
        <v>1337799600</v>
      </c>
      <c r="J1957">
        <v>1334989881</v>
      </c>
      <c r="K1957" t="b">
        <v>1</v>
      </c>
      <c r="L1957" s="10">
        <v>290</v>
      </c>
      <c r="M1957" t="b">
        <v>1</v>
      </c>
      <c r="N1957" t="s">
        <v>8293</v>
      </c>
      <c r="O1957" s="11">
        <f t="shared" si="124"/>
        <v>399</v>
      </c>
      <c r="P1957" s="12">
        <f t="shared" si="125"/>
        <v>577</v>
      </c>
      <c r="Q1957" s="14" t="s">
        <v>8316</v>
      </c>
      <c r="R1957" t="s">
        <v>8346</v>
      </c>
      <c r="S1957" s="17">
        <f t="shared" si="126"/>
        <v>41020.271770833337</v>
      </c>
      <c r="T1957" s="17">
        <f t="shared" si="127"/>
        <v>41052.791666666664</v>
      </c>
      <c r="U1957">
        <f>MONTH(Table1[[#This Row],[Launched]])</f>
        <v>4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 s="8">
        <v>1429391405</v>
      </c>
      <c r="J1958">
        <v>1425507005</v>
      </c>
      <c r="K1958" t="b">
        <v>1</v>
      </c>
      <c r="L1958" s="10">
        <v>365</v>
      </c>
      <c r="M1958" t="b">
        <v>1</v>
      </c>
      <c r="N1958" t="s">
        <v>8293</v>
      </c>
      <c r="O1958" s="11">
        <f t="shared" si="124"/>
        <v>294</v>
      </c>
      <c r="P1958" s="12">
        <f t="shared" si="125"/>
        <v>483</v>
      </c>
      <c r="Q1958" s="14" t="s">
        <v>8316</v>
      </c>
      <c r="R1958" t="s">
        <v>8346</v>
      </c>
      <c r="S1958" s="17">
        <f t="shared" si="126"/>
        <v>42067.923668981486</v>
      </c>
      <c r="T1958" s="17">
        <f t="shared" si="127"/>
        <v>42112.882002314815</v>
      </c>
      <c r="U1958">
        <f>MONTH(Table1[[#This Row],[Launched]])</f>
        <v>3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 s="8">
        <v>1351304513</v>
      </c>
      <c r="J1959">
        <v>1348712513</v>
      </c>
      <c r="K1959" t="b">
        <v>1</v>
      </c>
      <c r="L1959" s="10">
        <v>660</v>
      </c>
      <c r="M1959" t="b">
        <v>1</v>
      </c>
      <c r="N1959" t="s">
        <v>8293</v>
      </c>
      <c r="O1959" s="11">
        <f t="shared" si="124"/>
        <v>168</v>
      </c>
      <c r="P1959" s="12">
        <f t="shared" si="125"/>
        <v>76</v>
      </c>
      <c r="Q1959" s="14" t="s">
        <v>8316</v>
      </c>
      <c r="R1959" t="s">
        <v>8346</v>
      </c>
      <c r="S1959" s="17">
        <f t="shared" si="126"/>
        <v>41179.098530092589</v>
      </c>
      <c r="T1959" s="17">
        <f t="shared" si="127"/>
        <v>41209.098530092589</v>
      </c>
      <c r="U1959">
        <f>MONTH(Table1[[#This Row],[Launched]])</f>
        <v>9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 s="8">
        <v>1364078561</v>
      </c>
      <c r="J1960">
        <v>1361490161</v>
      </c>
      <c r="K1960" t="b">
        <v>1</v>
      </c>
      <c r="L1960" s="10">
        <v>1356</v>
      </c>
      <c r="M1960" t="b">
        <v>1</v>
      </c>
      <c r="N1960" t="s">
        <v>8293</v>
      </c>
      <c r="O1960" s="11">
        <f t="shared" si="124"/>
        <v>1436</v>
      </c>
      <c r="P1960" s="12">
        <f t="shared" si="125"/>
        <v>74</v>
      </c>
      <c r="Q1960" s="14" t="s">
        <v>8316</v>
      </c>
      <c r="R1960" t="s">
        <v>8346</v>
      </c>
      <c r="S1960" s="17">
        <f t="shared" si="126"/>
        <v>41326.987974537034</v>
      </c>
      <c r="T1960" s="17">
        <f t="shared" si="127"/>
        <v>41356.94630787037</v>
      </c>
      <c r="U1960">
        <f>MONTH(Table1[[#This Row],[Launched]])</f>
        <v>2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 s="8">
        <v>1412121600</v>
      </c>
      <c r="J1961">
        <v>1408565860</v>
      </c>
      <c r="K1961" t="b">
        <v>1</v>
      </c>
      <c r="L1961" s="10">
        <v>424</v>
      </c>
      <c r="M1961" t="b">
        <v>1</v>
      </c>
      <c r="N1961" t="s">
        <v>8293</v>
      </c>
      <c r="O1961" s="11">
        <f t="shared" si="124"/>
        <v>157</v>
      </c>
      <c r="P1961" s="12">
        <f t="shared" si="125"/>
        <v>37</v>
      </c>
      <c r="Q1961" s="14" t="s">
        <v>8316</v>
      </c>
      <c r="R1961" t="s">
        <v>8346</v>
      </c>
      <c r="S1961" s="17">
        <f t="shared" si="126"/>
        <v>41871.845601851855</v>
      </c>
      <c r="T1961" s="17">
        <f t="shared" si="127"/>
        <v>41913</v>
      </c>
      <c r="U1961">
        <f>MONTH(Table1[[#This Row],[Launched]])</f>
        <v>8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 s="8">
        <v>1419151341</v>
      </c>
      <c r="J1962">
        <v>1416559341</v>
      </c>
      <c r="K1962" t="b">
        <v>1</v>
      </c>
      <c r="L1962" s="10">
        <v>33</v>
      </c>
      <c r="M1962" t="b">
        <v>1</v>
      </c>
      <c r="N1962" t="s">
        <v>8293</v>
      </c>
      <c r="O1962" s="11">
        <f t="shared" si="124"/>
        <v>118</v>
      </c>
      <c r="P1962" s="12">
        <f t="shared" si="125"/>
        <v>2501</v>
      </c>
      <c r="Q1962" s="14" t="s">
        <v>8316</v>
      </c>
      <c r="R1962" t="s">
        <v>8346</v>
      </c>
      <c r="S1962" s="17">
        <f t="shared" si="126"/>
        <v>41964.362743055557</v>
      </c>
      <c r="T1962" s="17">
        <f t="shared" si="127"/>
        <v>41994.362743055557</v>
      </c>
      <c r="U1962">
        <f>MONTH(Table1[[#This Row],[Launched]])</f>
        <v>11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 s="8">
        <v>1349495940</v>
      </c>
      <c r="J1963">
        <v>1346042417</v>
      </c>
      <c r="K1963" t="b">
        <v>1</v>
      </c>
      <c r="L1963" s="10">
        <v>1633</v>
      </c>
      <c r="M1963" t="b">
        <v>1</v>
      </c>
      <c r="N1963" t="s">
        <v>8293</v>
      </c>
      <c r="O1963" s="11">
        <f t="shared" si="124"/>
        <v>1105</v>
      </c>
      <c r="P1963" s="12">
        <f t="shared" si="125"/>
        <v>68</v>
      </c>
      <c r="Q1963" s="14" t="s">
        <v>8316</v>
      </c>
      <c r="R1963" t="s">
        <v>8346</v>
      </c>
      <c r="S1963" s="17">
        <f t="shared" si="126"/>
        <v>41148.194641203707</v>
      </c>
      <c r="T1963" s="17">
        <f t="shared" si="127"/>
        <v>41188.165972222225</v>
      </c>
      <c r="U1963">
        <f>MONTH(Table1[[#This Row],[Launched]])</f>
        <v>8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 s="8">
        <v>1400006636</v>
      </c>
      <c r="J1964">
        <v>1397414636</v>
      </c>
      <c r="K1964" t="b">
        <v>1</v>
      </c>
      <c r="L1964" s="10">
        <v>306</v>
      </c>
      <c r="M1964" t="b">
        <v>1</v>
      </c>
      <c r="N1964" t="s">
        <v>8293</v>
      </c>
      <c r="O1964" s="11">
        <f t="shared" si="124"/>
        <v>193</v>
      </c>
      <c r="P1964" s="12">
        <f t="shared" si="125"/>
        <v>63</v>
      </c>
      <c r="Q1964" s="14" t="s">
        <v>8316</v>
      </c>
      <c r="R1964" t="s">
        <v>8346</v>
      </c>
      <c r="S1964" s="17">
        <f t="shared" si="126"/>
        <v>41742.780509259261</v>
      </c>
      <c r="T1964" s="17">
        <f t="shared" si="127"/>
        <v>41772.780509259261</v>
      </c>
      <c r="U1964">
        <f>MONTH(Table1[[#This Row],[Launched]])</f>
        <v>4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 s="8">
        <v>1410862734</v>
      </c>
      <c r="J1965">
        <v>1407838734</v>
      </c>
      <c r="K1965" t="b">
        <v>1</v>
      </c>
      <c r="L1965" s="10">
        <v>205</v>
      </c>
      <c r="M1965" t="b">
        <v>1</v>
      </c>
      <c r="N1965" t="s">
        <v>8293</v>
      </c>
      <c r="O1965" s="11">
        <f t="shared" si="124"/>
        <v>127</v>
      </c>
      <c r="P1965" s="12">
        <f t="shared" si="125"/>
        <v>118</v>
      </c>
      <c r="Q1965" s="14" t="s">
        <v>8316</v>
      </c>
      <c r="R1965" t="s">
        <v>8346</v>
      </c>
      <c r="S1965" s="17">
        <f t="shared" si="126"/>
        <v>41863.429791666669</v>
      </c>
      <c r="T1965" s="17">
        <f t="shared" si="127"/>
        <v>41898.429791666669</v>
      </c>
      <c r="U1965">
        <f>MONTH(Table1[[#This Row],[Launched]])</f>
        <v>8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 s="8">
        <v>1461306772</v>
      </c>
      <c r="J1966">
        <v>1458714772</v>
      </c>
      <c r="K1966" t="b">
        <v>1</v>
      </c>
      <c r="L1966" s="10">
        <v>1281</v>
      </c>
      <c r="M1966" t="b">
        <v>1</v>
      </c>
      <c r="N1966" t="s">
        <v>8293</v>
      </c>
      <c r="O1966" s="11">
        <f t="shared" si="124"/>
        <v>260</v>
      </c>
      <c r="P1966" s="12">
        <f t="shared" si="125"/>
        <v>181</v>
      </c>
      <c r="Q1966" s="14" t="s">
        <v>8316</v>
      </c>
      <c r="R1966" t="s">
        <v>8346</v>
      </c>
      <c r="S1966" s="17">
        <f t="shared" si="126"/>
        <v>42452.272824074069</v>
      </c>
      <c r="T1966" s="17">
        <f t="shared" si="127"/>
        <v>42482.272824074069</v>
      </c>
      <c r="U1966">
        <f>MONTH(Table1[[#This Row],[Launched]])</f>
        <v>3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 s="8">
        <v>1326330000</v>
      </c>
      <c r="J1967">
        <v>1324433310</v>
      </c>
      <c r="K1967" t="b">
        <v>1</v>
      </c>
      <c r="L1967" s="10">
        <v>103</v>
      </c>
      <c r="M1967" t="b">
        <v>1</v>
      </c>
      <c r="N1967" t="s">
        <v>8293</v>
      </c>
      <c r="O1967" s="11">
        <f t="shared" si="124"/>
        <v>262</v>
      </c>
      <c r="P1967" s="12">
        <f t="shared" si="125"/>
        <v>127</v>
      </c>
      <c r="Q1967" s="14" t="s">
        <v>8316</v>
      </c>
      <c r="R1967" t="s">
        <v>8346</v>
      </c>
      <c r="S1967" s="17">
        <f t="shared" si="126"/>
        <v>40898.089236111111</v>
      </c>
      <c r="T1967" s="17">
        <f t="shared" si="127"/>
        <v>40920.041666666664</v>
      </c>
      <c r="U1967">
        <f>MONTH(Table1[[#This Row],[Launched]])</f>
        <v>12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 s="8">
        <v>1408021098</v>
      </c>
      <c r="J1968">
        <v>1405429098</v>
      </c>
      <c r="K1968" t="b">
        <v>1</v>
      </c>
      <c r="L1968" s="10">
        <v>1513</v>
      </c>
      <c r="M1968" t="b">
        <v>1</v>
      </c>
      <c r="N1968" t="s">
        <v>8293</v>
      </c>
      <c r="O1968" s="11">
        <f t="shared" si="124"/>
        <v>207</v>
      </c>
      <c r="P1968" s="12">
        <f t="shared" si="125"/>
        <v>137</v>
      </c>
      <c r="Q1968" s="14" t="s">
        <v>8316</v>
      </c>
      <c r="R1968" t="s">
        <v>8346</v>
      </c>
      <c r="S1968" s="17">
        <f t="shared" si="126"/>
        <v>41835.540486111109</v>
      </c>
      <c r="T1968" s="17">
        <f t="shared" si="127"/>
        <v>41865.540486111109</v>
      </c>
      <c r="U1968">
        <f>MONTH(Table1[[#This Row],[Launched]])</f>
        <v>7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 s="8">
        <v>1398959729</v>
      </c>
      <c r="J1969">
        <v>1396367729</v>
      </c>
      <c r="K1969" t="b">
        <v>1</v>
      </c>
      <c r="L1969" s="10">
        <v>405</v>
      </c>
      <c r="M1969" t="b">
        <v>1</v>
      </c>
      <c r="N1969" t="s">
        <v>8293</v>
      </c>
      <c r="O1969" s="11">
        <f t="shared" si="124"/>
        <v>370</v>
      </c>
      <c r="P1969" s="12">
        <f t="shared" si="125"/>
        <v>183</v>
      </c>
      <c r="Q1969" s="14" t="s">
        <v>8316</v>
      </c>
      <c r="R1969" t="s">
        <v>8346</v>
      </c>
      <c r="S1969" s="17">
        <f t="shared" si="126"/>
        <v>41730.663530092592</v>
      </c>
      <c r="T1969" s="17">
        <f t="shared" si="127"/>
        <v>41760.663530092592</v>
      </c>
      <c r="U1969">
        <f>MONTH(Table1[[#This Row],[Launched]])</f>
        <v>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 s="8">
        <v>1480777515</v>
      </c>
      <c r="J1970">
        <v>1478095515</v>
      </c>
      <c r="K1970" t="b">
        <v>1</v>
      </c>
      <c r="L1970" s="10">
        <v>510</v>
      </c>
      <c r="M1970" t="b">
        <v>1</v>
      </c>
      <c r="N1970" t="s">
        <v>8293</v>
      </c>
      <c r="O1970" s="11">
        <f t="shared" si="124"/>
        <v>285</v>
      </c>
      <c r="P1970" s="12">
        <f t="shared" si="125"/>
        <v>279</v>
      </c>
      <c r="Q1970" s="14" t="s">
        <v>8316</v>
      </c>
      <c r="R1970" t="s">
        <v>8346</v>
      </c>
      <c r="S1970" s="17">
        <f t="shared" si="126"/>
        <v>42676.586979166663</v>
      </c>
      <c r="T1970" s="17">
        <f t="shared" si="127"/>
        <v>42707.628645833334</v>
      </c>
      <c r="U1970">
        <f>MONTH(Table1[[#This Row],[Launched]])</f>
        <v>11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 s="8">
        <v>1470423668</v>
      </c>
      <c r="J1971">
        <v>1467831668</v>
      </c>
      <c r="K1971" t="b">
        <v>1</v>
      </c>
      <c r="L1971" s="10">
        <v>1887</v>
      </c>
      <c r="M1971" t="b">
        <v>1</v>
      </c>
      <c r="N1971" t="s">
        <v>8293</v>
      </c>
      <c r="O1971" s="11">
        <f t="shared" si="124"/>
        <v>579</v>
      </c>
      <c r="P1971" s="12">
        <f t="shared" si="125"/>
        <v>61</v>
      </c>
      <c r="Q1971" s="14" t="s">
        <v>8316</v>
      </c>
      <c r="R1971" t="s">
        <v>8346</v>
      </c>
      <c r="S1971" s="17">
        <f t="shared" si="126"/>
        <v>42557.792453703703</v>
      </c>
      <c r="T1971" s="17">
        <f t="shared" si="127"/>
        <v>42587.792453703703</v>
      </c>
      <c r="U1971">
        <f>MONTH(Table1[[#This Row],[Launched]])</f>
        <v>7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 s="8">
        <v>1366429101</v>
      </c>
      <c r="J1972">
        <v>1361248701</v>
      </c>
      <c r="K1972" t="b">
        <v>1</v>
      </c>
      <c r="L1972" s="10">
        <v>701</v>
      </c>
      <c r="M1972" t="b">
        <v>1</v>
      </c>
      <c r="N1972" t="s">
        <v>8293</v>
      </c>
      <c r="O1972" s="11">
        <f t="shared" si="124"/>
        <v>1132</v>
      </c>
      <c r="P1972" s="12">
        <f t="shared" si="125"/>
        <v>81</v>
      </c>
      <c r="Q1972" s="14" t="s">
        <v>8316</v>
      </c>
      <c r="R1972" t="s">
        <v>8346</v>
      </c>
      <c r="S1972" s="17">
        <f t="shared" si="126"/>
        <v>41324.193298611113</v>
      </c>
      <c r="T1972" s="17">
        <f t="shared" si="127"/>
        <v>41384.151631944449</v>
      </c>
      <c r="U1972">
        <f>MONTH(Table1[[#This Row],[Launched]])</f>
        <v>2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 s="8">
        <v>1384488000</v>
      </c>
      <c r="J1973">
        <v>1381752061</v>
      </c>
      <c r="K1973" t="b">
        <v>1</v>
      </c>
      <c r="L1973" s="10">
        <v>3863</v>
      </c>
      <c r="M1973" t="b">
        <v>1</v>
      </c>
      <c r="N1973" t="s">
        <v>8293</v>
      </c>
      <c r="O1973" s="11">
        <f t="shared" si="124"/>
        <v>263</v>
      </c>
      <c r="P1973" s="12">
        <f t="shared" si="125"/>
        <v>272</v>
      </c>
      <c r="Q1973" s="14" t="s">
        <v>8316</v>
      </c>
      <c r="R1973" t="s">
        <v>8346</v>
      </c>
      <c r="S1973" s="17">
        <f t="shared" si="126"/>
        <v>41561.500706018516</v>
      </c>
      <c r="T1973" s="17">
        <f t="shared" si="127"/>
        <v>41593.166666666664</v>
      </c>
      <c r="U1973">
        <f>MONTH(Table1[[#This Row],[Launched]])</f>
        <v>10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 s="8">
        <v>1353201444</v>
      </c>
      <c r="J1974">
        <v>1350605844</v>
      </c>
      <c r="K1974" t="b">
        <v>1</v>
      </c>
      <c r="L1974" s="10">
        <v>238</v>
      </c>
      <c r="M1974" t="b">
        <v>1</v>
      </c>
      <c r="N1974" t="s">
        <v>8293</v>
      </c>
      <c r="O1974" s="11">
        <f t="shared" si="124"/>
        <v>674</v>
      </c>
      <c r="P1974" s="12">
        <f t="shared" si="125"/>
        <v>71</v>
      </c>
      <c r="Q1974" s="14" t="s">
        <v>8316</v>
      </c>
      <c r="R1974" t="s">
        <v>8346</v>
      </c>
      <c r="S1974" s="17">
        <f t="shared" si="126"/>
        <v>41201.012083333335</v>
      </c>
      <c r="T1974" s="17">
        <f t="shared" si="127"/>
        <v>41231.053749999999</v>
      </c>
      <c r="U1974">
        <f>MONTH(Table1[[#This Row],[Launched]])</f>
        <v>10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 s="8">
        <v>1470466800</v>
      </c>
      <c r="J1975">
        <v>1467134464</v>
      </c>
      <c r="K1975" t="b">
        <v>1</v>
      </c>
      <c r="L1975" s="10">
        <v>2051</v>
      </c>
      <c r="M1975" t="b">
        <v>1</v>
      </c>
      <c r="N1975" t="s">
        <v>8293</v>
      </c>
      <c r="O1975" s="11">
        <f t="shared" si="124"/>
        <v>257</v>
      </c>
      <c r="P1975" s="12">
        <f t="shared" si="125"/>
        <v>248</v>
      </c>
      <c r="Q1975" s="14" t="s">
        <v>8316</v>
      </c>
      <c r="R1975" t="s">
        <v>8346</v>
      </c>
      <c r="S1975" s="17">
        <f t="shared" si="126"/>
        <v>42549.722962962958</v>
      </c>
      <c r="T1975" s="17">
        <f t="shared" si="127"/>
        <v>42588.291666666672</v>
      </c>
      <c r="U1975">
        <f>MONTH(Table1[[#This Row],[Launched]])</f>
        <v>6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 s="8">
        <v>1376899269</v>
      </c>
      <c r="J1976">
        <v>1371715269</v>
      </c>
      <c r="K1976" t="b">
        <v>1</v>
      </c>
      <c r="L1976" s="10">
        <v>402</v>
      </c>
      <c r="M1976" t="b">
        <v>1</v>
      </c>
      <c r="N1976" t="s">
        <v>8293</v>
      </c>
      <c r="O1976" s="11">
        <f t="shared" si="124"/>
        <v>375</v>
      </c>
      <c r="P1976" s="12">
        <f t="shared" si="125"/>
        <v>187</v>
      </c>
      <c r="Q1976" s="14" t="s">
        <v>8316</v>
      </c>
      <c r="R1976" t="s">
        <v>8346</v>
      </c>
      <c r="S1976" s="17">
        <f t="shared" si="126"/>
        <v>41445.334131944444</v>
      </c>
      <c r="T1976" s="17">
        <f t="shared" si="127"/>
        <v>41505.334131944444</v>
      </c>
      <c r="U1976">
        <f>MONTH(Table1[[#This Row],[Launched]])</f>
        <v>6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 s="8">
        <v>1362938851</v>
      </c>
      <c r="J1977">
        <v>1360346851</v>
      </c>
      <c r="K1977" t="b">
        <v>1</v>
      </c>
      <c r="L1977" s="10">
        <v>253</v>
      </c>
      <c r="M1977" t="b">
        <v>1</v>
      </c>
      <c r="N1977" t="s">
        <v>8293</v>
      </c>
      <c r="O1977" s="11">
        <f t="shared" si="124"/>
        <v>209</v>
      </c>
      <c r="P1977" s="12">
        <f t="shared" si="125"/>
        <v>132</v>
      </c>
      <c r="Q1977" s="14" t="s">
        <v>8316</v>
      </c>
      <c r="R1977" t="s">
        <v>8346</v>
      </c>
      <c r="S1977" s="17">
        <f t="shared" si="126"/>
        <v>41313.755219907405</v>
      </c>
      <c r="T1977" s="17">
        <f t="shared" si="127"/>
        <v>41343.755219907405</v>
      </c>
      <c r="U1977">
        <f>MONTH(Table1[[#This Row],[Launched]])</f>
        <v>2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 s="8">
        <v>1373751325</v>
      </c>
      <c r="J1978">
        <v>1371159325</v>
      </c>
      <c r="K1978" t="b">
        <v>1</v>
      </c>
      <c r="L1978" s="10">
        <v>473</v>
      </c>
      <c r="M1978" t="b">
        <v>1</v>
      </c>
      <c r="N1978" t="s">
        <v>8293</v>
      </c>
      <c r="O1978" s="11">
        <f t="shared" si="124"/>
        <v>347</v>
      </c>
      <c r="P1978" s="12">
        <f t="shared" si="125"/>
        <v>29</v>
      </c>
      <c r="Q1978" s="14" t="s">
        <v>8316</v>
      </c>
      <c r="R1978" t="s">
        <v>8346</v>
      </c>
      <c r="S1978" s="17">
        <f t="shared" si="126"/>
        <v>41438.899594907409</v>
      </c>
      <c r="T1978" s="17">
        <f t="shared" si="127"/>
        <v>41468.899594907409</v>
      </c>
      <c r="U1978">
        <f>MONTH(Table1[[#This Row],[Launched]])</f>
        <v>6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 s="8">
        <v>1450511940</v>
      </c>
      <c r="J1979">
        <v>1446527540</v>
      </c>
      <c r="K1979" t="b">
        <v>1</v>
      </c>
      <c r="L1979" s="10">
        <v>821</v>
      </c>
      <c r="M1979" t="b">
        <v>1</v>
      </c>
      <c r="N1979" t="s">
        <v>8293</v>
      </c>
      <c r="O1979" s="11">
        <f t="shared" si="124"/>
        <v>402</v>
      </c>
      <c r="P1979" s="12">
        <f t="shared" si="125"/>
        <v>245</v>
      </c>
      <c r="Q1979" s="14" t="s">
        <v>8316</v>
      </c>
      <c r="R1979" t="s">
        <v>8346</v>
      </c>
      <c r="S1979" s="17">
        <f t="shared" si="126"/>
        <v>42311.216898148152</v>
      </c>
      <c r="T1979" s="17">
        <f t="shared" si="127"/>
        <v>42357.332638888889</v>
      </c>
      <c r="U1979">
        <f>MONTH(Table1[[#This Row],[Launched]])</f>
        <v>11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 s="8">
        <v>1339484400</v>
      </c>
      <c r="J1980">
        <v>1336627492</v>
      </c>
      <c r="K1980" t="b">
        <v>1</v>
      </c>
      <c r="L1980" s="10">
        <v>388</v>
      </c>
      <c r="M1980" t="b">
        <v>1</v>
      </c>
      <c r="N1980" t="s">
        <v>8293</v>
      </c>
      <c r="O1980" s="11">
        <f t="shared" si="124"/>
        <v>1027</v>
      </c>
      <c r="P1980" s="12">
        <f t="shared" si="125"/>
        <v>1323</v>
      </c>
      <c r="Q1980" s="14" t="s">
        <v>8316</v>
      </c>
      <c r="R1980" t="s">
        <v>8346</v>
      </c>
      <c r="S1980" s="17">
        <f t="shared" si="126"/>
        <v>41039.225601851853</v>
      </c>
      <c r="T1980" s="17">
        <f t="shared" si="127"/>
        <v>41072.291666666664</v>
      </c>
      <c r="U1980">
        <f>MONTH(Table1[[#This Row],[Launched]])</f>
        <v>5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 s="8">
        <v>1447909140</v>
      </c>
      <c r="J1981">
        <v>1444734146</v>
      </c>
      <c r="K1981" t="b">
        <v>1</v>
      </c>
      <c r="L1981" s="10">
        <v>813</v>
      </c>
      <c r="M1981" t="b">
        <v>1</v>
      </c>
      <c r="N1981" t="s">
        <v>8293</v>
      </c>
      <c r="O1981" s="11">
        <f t="shared" si="124"/>
        <v>115</v>
      </c>
      <c r="P1981" s="12">
        <f t="shared" si="125"/>
        <v>283</v>
      </c>
      <c r="Q1981" s="14" t="s">
        <v>8316</v>
      </c>
      <c r="R1981" t="s">
        <v>8346</v>
      </c>
      <c r="S1981" s="17">
        <f t="shared" si="126"/>
        <v>42290.460023148145</v>
      </c>
      <c r="T1981" s="17">
        <f t="shared" si="127"/>
        <v>42327.207638888889</v>
      </c>
      <c r="U1981">
        <f>MONTH(Table1[[#This Row],[Launched]])</f>
        <v>10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 s="8">
        <v>1459684862</v>
      </c>
      <c r="J1982">
        <v>1456232462</v>
      </c>
      <c r="K1982" t="b">
        <v>1</v>
      </c>
      <c r="L1982" s="10">
        <v>1945</v>
      </c>
      <c r="M1982" t="b">
        <v>1</v>
      </c>
      <c r="N1982" t="s">
        <v>8293</v>
      </c>
      <c r="O1982" s="11">
        <f t="shared" si="124"/>
        <v>355</v>
      </c>
      <c r="P1982" s="12">
        <f t="shared" si="125"/>
        <v>91</v>
      </c>
      <c r="Q1982" s="14" t="s">
        <v>8316</v>
      </c>
      <c r="R1982" t="s">
        <v>8346</v>
      </c>
      <c r="S1982" s="17">
        <f t="shared" si="126"/>
        <v>42423.542384259257</v>
      </c>
      <c r="T1982" s="17">
        <f t="shared" si="127"/>
        <v>42463.500717592593</v>
      </c>
      <c r="U1982">
        <f>MONTH(Table1[[#This Row],[Launched]])</f>
        <v>2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8220</v>
      </c>
      <c r="G1983" t="s">
        <v>8228</v>
      </c>
      <c r="H1983" t="s">
        <v>8250</v>
      </c>
      <c r="I1983" s="8">
        <v>1404926665</v>
      </c>
      <c r="J1983">
        <v>1402334665</v>
      </c>
      <c r="K1983" t="b">
        <v>0</v>
      </c>
      <c r="L1983" s="10">
        <v>12</v>
      </c>
      <c r="M1983" t="b">
        <v>0</v>
      </c>
      <c r="N1983" t="s">
        <v>8294</v>
      </c>
      <c r="O1983" s="11">
        <f t="shared" si="124"/>
        <v>5</v>
      </c>
      <c r="P1983" s="12">
        <f t="shared" si="125"/>
        <v>32</v>
      </c>
      <c r="Q1983" s="14" t="s">
        <v>8335</v>
      </c>
      <c r="R1983" t="s">
        <v>8347</v>
      </c>
      <c r="S1983" s="17">
        <f t="shared" si="126"/>
        <v>41799.725289351853</v>
      </c>
      <c r="T1983" s="17">
        <f t="shared" si="127"/>
        <v>41829.725289351853</v>
      </c>
      <c r="U1983">
        <f>MONTH(Table1[[#This Row],[Launched]])</f>
        <v>6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8220</v>
      </c>
      <c r="G1984" t="s">
        <v>8230</v>
      </c>
      <c r="H1984" t="s">
        <v>8251</v>
      </c>
      <c r="I1984" s="8">
        <v>1480863887</v>
      </c>
      <c r="J1984">
        <v>1478268287</v>
      </c>
      <c r="K1984" t="b">
        <v>0</v>
      </c>
      <c r="L1984" s="10">
        <v>0</v>
      </c>
      <c r="M1984" t="b">
        <v>0</v>
      </c>
      <c r="N1984" t="s">
        <v>8294</v>
      </c>
      <c r="O1984" s="11">
        <f t="shared" si="124"/>
        <v>0</v>
      </c>
      <c r="P1984" s="12" t="str">
        <f t="shared" si="125"/>
        <v>No Backers</v>
      </c>
      <c r="Q1984" s="14" t="s">
        <v>8335</v>
      </c>
      <c r="R1984" t="s">
        <v>8347</v>
      </c>
      <c r="S1984" s="17">
        <f t="shared" si="126"/>
        <v>42678.586655092593</v>
      </c>
      <c r="T1984" s="17">
        <f t="shared" si="127"/>
        <v>42708.628321759257</v>
      </c>
      <c r="U1984">
        <f>MONTH(Table1[[#This Row],[Launched]])</f>
        <v>11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 s="8">
        <v>1472799600</v>
      </c>
      <c r="J1985">
        <v>1470874618</v>
      </c>
      <c r="K1985" t="b">
        <v>0</v>
      </c>
      <c r="L1985" s="10">
        <v>16</v>
      </c>
      <c r="M1985" t="b">
        <v>0</v>
      </c>
      <c r="N1985" t="s">
        <v>8294</v>
      </c>
      <c r="O1985" s="11">
        <f t="shared" si="124"/>
        <v>4</v>
      </c>
      <c r="P1985" s="12">
        <f t="shared" si="125"/>
        <v>89</v>
      </c>
      <c r="Q1985" s="14" t="s">
        <v>8335</v>
      </c>
      <c r="R1985" t="s">
        <v>8347</v>
      </c>
      <c r="S1985" s="17">
        <f t="shared" si="126"/>
        <v>42593.011782407411</v>
      </c>
      <c r="T1985" s="17">
        <f t="shared" si="127"/>
        <v>42615.291666666672</v>
      </c>
      <c r="U1985">
        <f>MONTH(Table1[[#This Row],[Launched]])</f>
        <v>8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 s="8">
        <v>1417377481</v>
      </c>
      <c r="J1986">
        <v>1412189881</v>
      </c>
      <c r="K1986" t="b">
        <v>0</v>
      </c>
      <c r="L1986" s="10">
        <v>7</v>
      </c>
      <c r="M1986" t="b">
        <v>0</v>
      </c>
      <c r="N1986" t="s">
        <v>8294</v>
      </c>
      <c r="O1986" s="11">
        <f t="shared" ref="O1986:O2049" si="128">ROUND(E1986/D1986*100,0)</f>
        <v>21</v>
      </c>
      <c r="P1986" s="12">
        <f t="shared" si="125"/>
        <v>453</v>
      </c>
      <c r="Q1986" s="14" t="s">
        <v>8335</v>
      </c>
      <c r="R1986" t="s">
        <v>8347</v>
      </c>
      <c r="S1986" s="17">
        <f t="shared" si="126"/>
        <v>41913.790289351848</v>
      </c>
      <c r="T1986" s="17">
        <f t="shared" si="127"/>
        <v>41973.831956018519</v>
      </c>
      <c r="U1986">
        <f>MONTH(Table1[[#This Row],[Launched]])</f>
        <v>10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8220</v>
      </c>
      <c r="G1987" t="s">
        <v>8224</v>
      </c>
      <c r="H1987" t="s">
        <v>8246</v>
      </c>
      <c r="I1987" s="8">
        <v>1470178800</v>
      </c>
      <c r="J1987">
        <v>1467650771</v>
      </c>
      <c r="K1987" t="b">
        <v>0</v>
      </c>
      <c r="L1987" s="10">
        <v>4</v>
      </c>
      <c r="M1987" t="b">
        <v>0</v>
      </c>
      <c r="N1987" t="s">
        <v>8294</v>
      </c>
      <c r="O1987" s="11">
        <f t="shared" si="128"/>
        <v>3</v>
      </c>
      <c r="P1987" s="12">
        <f t="shared" ref="P1987:P2050" si="129">IFERROR(ROUND(E1987/L1987,),"No Backers")</f>
        <v>13</v>
      </c>
      <c r="Q1987" s="14" t="s">
        <v>8335</v>
      </c>
      <c r="R1987" t="s">
        <v>8347</v>
      </c>
      <c r="S1987" s="17">
        <f t="shared" ref="S1987:S2050" si="130">(((J1987/60)/60)/24)+DATE(1970,1,1)</f>
        <v>42555.698738425926</v>
      </c>
      <c r="T1987" s="17">
        <f t="shared" ref="T1987:T2050" si="131">(((I1987/60)/60)/24)+DATE(1970,1,1)</f>
        <v>42584.958333333328</v>
      </c>
      <c r="U1987">
        <f>MONTH(Table1[[#This Row],[Launched]])</f>
        <v>7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8220</v>
      </c>
      <c r="G1988" t="s">
        <v>8224</v>
      </c>
      <c r="H1988" t="s">
        <v>8246</v>
      </c>
      <c r="I1988" s="8">
        <v>1457947483</v>
      </c>
      <c r="J1988">
        <v>1455359083</v>
      </c>
      <c r="K1988" t="b">
        <v>0</v>
      </c>
      <c r="L1988" s="10">
        <v>1</v>
      </c>
      <c r="M1988" t="b">
        <v>0</v>
      </c>
      <c r="N1988" t="s">
        <v>8294</v>
      </c>
      <c r="O1988" s="11">
        <f t="shared" si="128"/>
        <v>0</v>
      </c>
      <c r="P1988" s="12">
        <f t="shared" si="129"/>
        <v>1</v>
      </c>
      <c r="Q1988" s="14" t="s">
        <v>8335</v>
      </c>
      <c r="R1988" t="s">
        <v>8347</v>
      </c>
      <c r="S1988" s="17">
        <f t="shared" si="130"/>
        <v>42413.433831018512</v>
      </c>
      <c r="T1988" s="17">
        <f t="shared" si="131"/>
        <v>42443.392164351855</v>
      </c>
      <c r="U1988">
        <f>MONTH(Table1[[#This Row],[Launched]])</f>
        <v>2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 s="8">
        <v>1425223276</v>
      </c>
      <c r="J1989">
        <v>1422631276</v>
      </c>
      <c r="K1989" t="b">
        <v>0</v>
      </c>
      <c r="L1989" s="10">
        <v>28</v>
      </c>
      <c r="M1989" t="b">
        <v>0</v>
      </c>
      <c r="N1989" t="s">
        <v>8294</v>
      </c>
      <c r="O1989" s="11">
        <f t="shared" si="128"/>
        <v>42</v>
      </c>
      <c r="P1989" s="12">
        <f t="shared" si="129"/>
        <v>83</v>
      </c>
      <c r="Q1989" s="14" t="s">
        <v>8335</v>
      </c>
      <c r="R1989" t="s">
        <v>8347</v>
      </c>
      <c r="S1989" s="17">
        <f t="shared" si="130"/>
        <v>42034.639768518522</v>
      </c>
      <c r="T1989" s="17">
        <f t="shared" si="131"/>
        <v>42064.639768518522</v>
      </c>
      <c r="U1989">
        <f>MONTH(Table1[[#This Row],[Launched]])</f>
        <v>1</v>
      </c>
    </row>
    <row r="1990" spans="1:21" ht="15.6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8220</v>
      </c>
      <c r="G1990" t="s">
        <v>8223</v>
      </c>
      <c r="H1990" t="s">
        <v>8245</v>
      </c>
      <c r="I1990" s="8">
        <v>1440094742</v>
      </c>
      <c r="J1990">
        <v>1437502742</v>
      </c>
      <c r="K1990" t="b">
        <v>0</v>
      </c>
      <c r="L1990" s="10">
        <v>1</v>
      </c>
      <c r="M1990" t="b">
        <v>0</v>
      </c>
      <c r="N1990" t="s">
        <v>8294</v>
      </c>
      <c r="O1990" s="11">
        <f t="shared" si="128"/>
        <v>0</v>
      </c>
      <c r="P1990" s="12">
        <f t="shared" si="129"/>
        <v>25</v>
      </c>
      <c r="Q1990" s="14" t="s">
        <v>8335</v>
      </c>
      <c r="R1990" t="s">
        <v>8347</v>
      </c>
      <c r="S1990" s="17">
        <f t="shared" si="130"/>
        <v>42206.763217592597</v>
      </c>
      <c r="T1990" s="17">
        <f t="shared" si="131"/>
        <v>42236.763217592597</v>
      </c>
      <c r="U1990">
        <f>MONTH(Table1[[#This Row],[Launched]])</f>
        <v>7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8220</v>
      </c>
      <c r="G1991" t="s">
        <v>8223</v>
      </c>
      <c r="H1991" t="s">
        <v>8245</v>
      </c>
      <c r="I1991" s="8">
        <v>1481473208</v>
      </c>
      <c r="J1991">
        <v>1478881208</v>
      </c>
      <c r="K1991" t="b">
        <v>0</v>
      </c>
      <c r="L1991" s="10">
        <v>1</v>
      </c>
      <c r="M1991" t="b">
        <v>0</v>
      </c>
      <c r="N1991" t="s">
        <v>8294</v>
      </c>
      <c r="O1991" s="11">
        <f t="shared" si="128"/>
        <v>1</v>
      </c>
      <c r="P1991" s="12">
        <f t="shared" si="129"/>
        <v>50</v>
      </c>
      <c r="Q1991" s="14" t="s">
        <v>8335</v>
      </c>
      <c r="R1991" t="s">
        <v>8347</v>
      </c>
      <c r="S1991" s="17">
        <f t="shared" si="130"/>
        <v>42685.680648148147</v>
      </c>
      <c r="T1991" s="17">
        <f t="shared" si="131"/>
        <v>42715.680648148147</v>
      </c>
      <c r="U1991">
        <f>MONTH(Table1[[#This Row],[Launched]])</f>
        <v>11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8220</v>
      </c>
      <c r="G1992" t="s">
        <v>8223</v>
      </c>
      <c r="H1992" t="s">
        <v>8245</v>
      </c>
      <c r="I1992" s="8">
        <v>1455338532</v>
      </c>
      <c r="J1992">
        <v>1454042532</v>
      </c>
      <c r="K1992" t="b">
        <v>0</v>
      </c>
      <c r="L1992" s="10">
        <v>5</v>
      </c>
      <c r="M1992" t="b">
        <v>0</v>
      </c>
      <c r="N1992" t="s">
        <v>8294</v>
      </c>
      <c r="O1992" s="11">
        <f t="shared" si="128"/>
        <v>17</v>
      </c>
      <c r="P1992" s="12">
        <f t="shared" si="129"/>
        <v>102</v>
      </c>
      <c r="Q1992" s="14" t="s">
        <v>8335</v>
      </c>
      <c r="R1992" t="s">
        <v>8347</v>
      </c>
      <c r="S1992" s="17">
        <f t="shared" si="130"/>
        <v>42398.195972222224</v>
      </c>
      <c r="T1992" s="17">
        <f t="shared" si="131"/>
        <v>42413.195972222224</v>
      </c>
      <c r="U1992">
        <f>MONTH(Table1[[#This Row],[Launched]])</f>
        <v>1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8220</v>
      </c>
      <c r="G1993" t="s">
        <v>8223</v>
      </c>
      <c r="H1993" t="s">
        <v>8245</v>
      </c>
      <c r="I1993" s="8">
        <v>1435958786</v>
      </c>
      <c r="J1993">
        <v>1434144386</v>
      </c>
      <c r="K1993" t="b">
        <v>0</v>
      </c>
      <c r="L1993" s="10">
        <v>3</v>
      </c>
      <c r="M1993" t="b">
        <v>0</v>
      </c>
      <c r="N1993" t="s">
        <v>8294</v>
      </c>
      <c r="O1993" s="11">
        <f t="shared" si="128"/>
        <v>7</v>
      </c>
      <c r="P1993" s="12">
        <f t="shared" si="129"/>
        <v>47</v>
      </c>
      <c r="Q1993" s="14" t="s">
        <v>8335</v>
      </c>
      <c r="R1993" t="s">
        <v>8347</v>
      </c>
      <c r="S1993" s="17">
        <f t="shared" si="130"/>
        <v>42167.89335648148</v>
      </c>
      <c r="T1993" s="17">
        <f t="shared" si="131"/>
        <v>42188.89335648148</v>
      </c>
      <c r="U1993">
        <f>MONTH(Table1[[#This Row],[Launched]])</f>
        <v>6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8220</v>
      </c>
      <c r="G1994" t="s">
        <v>8223</v>
      </c>
      <c r="H1994" t="s">
        <v>8245</v>
      </c>
      <c r="I1994" s="8">
        <v>1424229991</v>
      </c>
      <c r="J1994">
        <v>1421637991</v>
      </c>
      <c r="K1994" t="b">
        <v>0</v>
      </c>
      <c r="L1994" s="10">
        <v>2</v>
      </c>
      <c r="M1994" t="b">
        <v>0</v>
      </c>
      <c r="N1994" t="s">
        <v>8294</v>
      </c>
      <c r="O1994" s="11">
        <f t="shared" si="128"/>
        <v>0</v>
      </c>
      <c r="P1994" s="12">
        <f t="shared" si="129"/>
        <v>1</v>
      </c>
      <c r="Q1994" s="14" t="s">
        <v>8335</v>
      </c>
      <c r="R1994" t="s">
        <v>8347</v>
      </c>
      <c r="S1994" s="17">
        <f t="shared" si="130"/>
        <v>42023.143414351856</v>
      </c>
      <c r="T1994" s="17">
        <f t="shared" si="131"/>
        <v>42053.143414351856</v>
      </c>
      <c r="U1994">
        <f>MONTH(Table1[[#This Row],[Launched]])</f>
        <v>1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8220</v>
      </c>
      <c r="G1995" t="s">
        <v>8224</v>
      </c>
      <c r="H1995" t="s">
        <v>8246</v>
      </c>
      <c r="I1995" s="8">
        <v>1450706837</v>
      </c>
      <c r="J1995">
        <v>1448114837</v>
      </c>
      <c r="K1995" t="b">
        <v>0</v>
      </c>
      <c r="L1995" s="10">
        <v>0</v>
      </c>
      <c r="M1995" t="b">
        <v>0</v>
      </c>
      <c r="N1995" t="s">
        <v>8294</v>
      </c>
      <c r="O1995" s="11">
        <f t="shared" si="128"/>
        <v>0</v>
      </c>
      <c r="P1995" s="12" t="str">
        <f t="shared" si="129"/>
        <v>No Backers</v>
      </c>
      <c r="Q1995" s="14" t="s">
        <v>8335</v>
      </c>
      <c r="R1995" t="s">
        <v>8347</v>
      </c>
      <c r="S1995" s="17">
        <f t="shared" si="130"/>
        <v>42329.58839120371</v>
      </c>
      <c r="T1995" s="17">
        <f t="shared" si="131"/>
        <v>42359.58839120371</v>
      </c>
      <c r="U1995">
        <f>MONTH(Table1[[#This Row],[Launched]])</f>
        <v>11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8220</v>
      </c>
      <c r="G1996" t="s">
        <v>8223</v>
      </c>
      <c r="H1996" t="s">
        <v>8245</v>
      </c>
      <c r="I1996" s="8">
        <v>1481072942</v>
      </c>
      <c r="J1996">
        <v>1475885342</v>
      </c>
      <c r="K1996" t="b">
        <v>0</v>
      </c>
      <c r="L1996" s="10">
        <v>0</v>
      </c>
      <c r="M1996" t="b">
        <v>0</v>
      </c>
      <c r="N1996" t="s">
        <v>8294</v>
      </c>
      <c r="O1996" s="11">
        <f t="shared" si="128"/>
        <v>0</v>
      </c>
      <c r="P1996" s="12" t="str">
        <f t="shared" si="129"/>
        <v>No Backers</v>
      </c>
      <c r="Q1996" s="14" t="s">
        <v>8335</v>
      </c>
      <c r="R1996" t="s">
        <v>8347</v>
      </c>
      <c r="S1996" s="17">
        <f t="shared" si="130"/>
        <v>42651.006273148145</v>
      </c>
      <c r="T1996" s="17">
        <f t="shared" si="131"/>
        <v>42711.047939814816</v>
      </c>
      <c r="U1996">
        <f>MONTH(Table1[[#This Row],[Launched]])</f>
        <v>10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8220</v>
      </c>
      <c r="G1997" t="s">
        <v>8228</v>
      </c>
      <c r="H1997" t="s">
        <v>8250</v>
      </c>
      <c r="I1997" s="8">
        <v>1437082736</v>
      </c>
      <c r="J1997">
        <v>1435354736</v>
      </c>
      <c r="K1997" t="b">
        <v>0</v>
      </c>
      <c r="L1997" s="10">
        <v>3</v>
      </c>
      <c r="M1997" t="b">
        <v>0</v>
      </c>
      <c r="N1997" t="s">
        <v>8294</v>
      </c>
      <c r="O1997" s="11">
        <f t="shared" si="128"/>
        <v>8</v>
      </c>
      <c r="P1997" s="12">
        <f t="shared" si="129"/>
        <v>26</v>
      </c>
      <c r="Q1997" s="14" t="s">
        <v>8335</v>
      </c>
      <c r="R1997" t="s">
        <v>8347</v>
      </c>
      <c r="S1997" s="17">
        <f t="shared" si="130"/>
        <v>42181.902037037042</v>
      </c>
      <c r="T1997" s="17">
        <f t="shared" si="131"/>
        <v>42201.902037037042</v>
      </c>
      <c r="U1997">
        <f>MONTH(Table1[[#This Row],[Launched]])</f>
        <v>6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8220</v>
      </c>
      <c r="G1998" t="s">
        <v>8223</v>
      </c>
      <c r="H1998" t="s">
        <v>8245</v>
      </c>
      <c r="I1998" s="8">
        <v>1405021211</v>
      </c>
      <c r="J1998">
        <v>1402429211</v>
      </c>
      <c r="K1998" t="b">
        <v>0</v>
      </c>
      <c r="L1998" s="10">
        <v>0</v>
      </c>
      <c r="M1998" t="b">
        <v>0</v>
      </c>
      <c r="N1998" t="s">
        <v>8294</v>
      </c>
      <c r="O1998" s="11">
        <f t="shared" si="128"/>
        <v>0</v>
      </c>
      <c r="P1998" s="12" t="str">
        <f t="shared" si="129"/>
        <v>No Backers</v>
      </c>
      <c r="Q1998" s="14" t="s">
        <v>8335</v>
      </c>
      <c r="R1998" t="s">
        <v>8347</v>
      </c>
      <c r="S1998" s="17">
        <f t="shared" si="130"/>
        <v>41800.819571759261</v>
      </c>
      <c r="T1998" s="17">
        <f t="shared" si="131"/>
        <v>41830.819571759261</v>
      </c>
      <c r="U1998">
        <f>MONTH(Table1[[#This Row],[Launched]])</f>
        <v>6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8220</v>
      </c>
      <c r="G1999" t="s">
        <v>8223</v>
      </c>
      <c r="H1999" t="s">
        <v>8245</v>
      </c>
      <c r="I1999" s="8">
        <v>1409091612</v>
      </c>
      <c r="J1999">
        <v>1406499612</v>
      </c>
      <c r="K1999" t="b">
        <v>0</v>
      </c>
      <c r="L1999" s="10">
        <v>0</v>
      </c>
      <c r="M1999" t="b">
        <v>0</v>
      </c>
      <c r="N1999" t="s">
        <v>8294</v>
      </c>
      <c r="O1999" s="11">
        <f t="shared" si="128"/>
        <v>0</v>
      </c>
      <c r="P1999" s="12" t="str">
        <f t="shared" si="129"/>
        <v>No Backers</v>
      </c>
      <c r="Q1999" s="14" t="s">
        <v>8335</v>
      </c>
      <c r="R1999" t="s">
        <v>8347</v>
      </c>
      <c r="S1999" s="17">
        <f t="shared" si="130"/>
        <v>41847.930694444447</v>
      </c>
      <c r="T1999" s="17">
        <f t="shared" si="131"/>
        <v>41877.930694444447</v>
      </c>
      <c r="U1999">
        <f>MONTH(Table1[[#This Row],[Launched]])</f>
        <v>7</v>
      </c>
    </row>
    <row r="2000" spans="1:21" ht="57.6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8220</v>
      </c>
      <c r="G2000" t="s">
        <v>8223</v>
      </c>
      <c r="H2000" t="s">
        <v>8245</v>
      </c>
      <c r="I2000" s="8">
        <v>1406861438</v>
      </c>
      <c r="J2000">
        <v>1402973438</v>
      </c>
      <c r="K2000" t="b">
        <v>0</v>
      </c>
      <c r="L2000" s="10">
        <v>3</v>
      </c>
      <c r="M2000" t="b">
        <v>0</v>
      </c>
      <c r="N2000" t="s">
        <v>8294</v>
      </c>
      <c r="O2000" s="11">
        <f t="shared" si="128"/>
        <v>26</v>
      </c>
      <c r="P2000" s="12">
        <f t="shared" si="129"/>
        <v>218</v>
      </c>
      <c r="Q2000" s="14" t="s">
        <v>8335</v>
      </c>
      <c r="R2000" t="s">
        <v>8347</v>
      </c>
      <c r="S2000" s="17">
        <f t="shared" si="130"/>
        <v>41807.118495370371</v>
      </c>
      <c r="T2000" s="17">
        <f t="shared" si="131"/>
        <v>41852.118495370371</v>
      </c>
      <c r="U2000">
        <f>MONTH(Table1[[#This Row],[Launched]])</f>
        <v>6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 s="8">
        <v>1415882108</v>
      </c>
      <c r="J2001">
        <v>1413286508</v>
      </c>
      <c r="K2001" t="b">
        <v>0</v>
      </c>
      <c r="L2001" s="10">
        <v>7</v>
      </c>
      <c r="M2001" t="b">
        <v>0</v>
      </c>
      <c r="N2001" t="s">
        <v>8294</v>
      </c>
      <c r="O2001" s="11">
        <f t="shared" si="128"/>
        <v>1</v>
      </c>
      <c r="P2001" s="12">
        <f t="shared" si="129"/>
        <v>34</v>
      </c>
      <c r="Q2001" s="14" t="s">
        <v>8335</v>
      </c>
      <c r="R2001" t="s">
        <v>8347</v>
      </c>
      <c r="S2001" s="17">
        <f t="shared" si="130"/>
        <v>41926.482731481483</v>
      </c>
      <c r="T2001" s="17">
        <f t="shared" si="131"/>
        <v>41956.524398148147</v>
      </c>
      <c r="U2001">
        <f>MONTH(Table1[[#This Row],[Launched]])</f>
        <v>10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8220</v>
      </c>
      <c r="G2002" t="s">
        <v>8228</v>
      </c>
      <c r="H2002" t="s">
        <v>8250</v>
      </c>
      <c r="I2002" s="8">
        <v>1452120613</v>
      </c>
      <c r="J2002">
        <v>1449528613</v>
      </c>
      <c r="K2002" t="b">
        <v>0</v>
      </c>
      <c r="L2002" s="10">
        <v>25</v>
      </c>
      <c r="M2002" t="b">
        <v>0</v>
      </c>
      <c r="N2002" t="s">
        <v>8294</v>
      </c>
      <c r="O2002" s="11">
        <f t="shared" si="128"/>
        <v>13</v>
      </c>
      <c r="P2002" s="12">
        <f t="shared" si="129"/>
        <v>25</v>
      </c>
      <c r="Q2002" s="14" t="s">
        <v>8335</v>
      </c>
      <c r="R2002" t="s">
        <v>8347</v>
      </c>
      <c r="S2002" s="17">
        <f t="shared" si="130"/>
        <v>42345.951539351852</v>
      </c>
      <c r="T2002" s="17">
        <f t="shared" si="131"/>
        <v>42375.951539351852</v>
      </c>
      <c r="U2002">
        <f>MONTH(Table1[[#This Row],[Launched]])</f>
        <v>12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 s="8">
        <v>1434139200</v>
      </c>
      <c r="J2003">
        <v>1431406916</v>
      </c>
      <c r="K2003" t="b">
        <v>1</v>
      </c>
      <c r="L2003" s="10">
        <v>1637</v>
      </c>
      <c r="M2003" t="b">
        <v>1</v>
      </c>
      <c r="N2003" t="s">
        <v>8293</v>
      </c>
      <c r="O2003" s="11">
        <f t="shared" si="128"/>
        <v>382</v>
      </c>
      <c r="P2003" s="12">
        <f t="shared" si="129"/>
        <v>128</v>
      </c>
      <c r="Q2003" s="14" t="s">
        <v>8316</v>
      </c>
      <c r="R2003" t="s">
        <v>8346</v>
      </c>
      <c r="S2003" s="17">
        <f t="shared" si="130"/>
        <v>42136.209675925929</v>
      </c>
      <c r="T2003" s="17">
        <f t="shared" si="131"/>
        <v>42167.833333333328</v>
      </c>
      <c r="U2003">
        <f>MONTH(Table1[[#This Row],[Launched]])</f>
        <v>5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 s="8">
        <v>1485191143</v>
      </c>
      <c r="J2004">
        <v>1482599143</v>
      </c>
      <c r="K2004" t="b">
        <v>1</v>
      </c>
      <c r="L2004" s="10">
        <v>1375</v>
      </c>
      <c r="M2004" t="b">
        <v>1</v>
      </c>
      <c r="N2004" t="s">
        <v>8293</v>
      </c>
      <c r="O2004" s="11">
        <f t="shared" si="128"/>
        <v>217</v>
      </c>
      <c r="P2004" s="12">
        <f t="shared" si="129"/>
        <v>79</v>
      </c>
      <c r="Q2004" s="14" t="s">
        <v>8316</v>
      </c>
      <c r="R2004" t="s">
        <v>8346</v>
      </c>
      <c r="S2004" s="17">
        <f t="shared" si="130"/>
        <v>42728.71230324074</v>
      </c>
      <c r="T2004" s="17">
        <f t="shared" si="131"/>
        <v>42758.71230324074</v>
      </c>
      <c r="U2004">
        <f>MONTH(Table1[[#This Row],[Launched]])</f>
        <v>12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8218</v>
      </c>
      <c r="G2005" t="s">
        <v>8223</v>
      </c>
      <c r="H2005" t="s">
        <v>8245</v>
      </c>
      <c r="I2005" s="8">
        <v>1278111600</v>
      </c>
      <c r="J2005">
        <v>1276830052</v>
      </c>
      <c r="K2005" t="b">
        <v>1</v>
      </c>
      <c r="L2005" s="10">
        <v>17</v>
      </c>
      <c r="M2005" t="b">
        <v>1</v>
      </c>
      <c r="N2005" t="s">
        <v>8293</v>
      </c>
      <c r="O2005" s="11">
        <f t="shared" si="128"/>
        <v>312</v>
      </c>
      <c r="P2005" s="12">
        <f t="shared" si="129"/>
        <v>92</v>
      </c>
      <c r="Q2005" s="14" t="s">
        <v>8316</v>
      </c>
      <c r="R2005" t="s">
        <v>8346</v>
      </c>
      <c r="S2005" s="17">
        <f t="shared" si="130"/>
        <v>40347.125601851854</v>
      </c>
      <c r="T2005" s="17">
        <f t="shared" si="131"/>
        <v>40361.958333333336</v>
      </c>
      <c r="U2005">
        <f>MONTH(Table1[[#This Row],[Launched]])</f>
        <v>6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 s="8">
        <v>1405002663</v>
      </c>
      <c r="J2006">
        <v>1402410663</v>
      </c>
      <c r="K2006" t="b">
        <v>1</v>
      </c>
      <c r="L2006" s="10">
        <v>354</v>
      </c>
      <c r="M2006" t="b">
        <v>1</v>
      </c>
      <c r="N2006" t="s">
        <v>8293</v>
      </c>
      <c r="O2006" s="11">
        <f t="shared" si="128"/>
        <v>234</v>
      </c>
      <c r="P2006" s="12">
        <f t="shared" si="129"/>
        <v>331</v>
      </c>
      <c r="Q2006" s="14" t="s">
        <v>8316</v>
      </c>
      <c r="R2006" t="s">
        <v>8346</v>
      </c>
      <c r="S2006" s="17">
        <f t="shared" si="130"/>
        <v>41800.604895833334</v>
      </c>
      <c r="T2006" s="17">
        <f t="shared" si="131"/>
        <v>41830.604895833334</v>
      </c>
      <c r="U2006">
        <f>MONTH(Table1[[#This Row],[Launched]])</f>
        <v>6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 s="8">
        <v>1381895940</v>
      </c>
      <c r="J2007">
        <v>1379532618</v>
      </c>
      <c r="K2007" t="b">
        <v>1</v>
      </c>
      <c r="L2007" s="10">
        <v>191</v>
      </c>
      <c r="M2007" t="b">
        <v>1</v>
      </c>
      <c r="N2007" t="s">
        <v>8293</v>
      </c>
      <c r="O2007" s="11">
        <f t="shared" si="128"/>
        <v>124</v>
      </c>
      <c r="P2007" s="12">
        <f t="shared" si="129"/>
        <v>194</v>
      </c>
      <c r="Q2007" s="14" t="s">
        <v>8316</v>
      </c>
      <c r="R2007" t="s">
        <v>8346</v>
      </c>
      <c r="S2007" s="17">
        <f t="shared" si="130"/>
        <v>41535.812708333331</v>
      </c>
      <c r="T2007" s="17">
        <f t="shared" si="131"/>
        <v>41563.165972222225</v>
      </c>
      <c r="U2007">
        <f>MONTH(Table1[[#This Row],[Launched]])</f>
        <v>9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 s="8">
        <v>1417611645</v>
      </c>
      <c r="J2008">
        <v>1414584045</v>
      </c>
      <c r="K2008" t="b">
        <v>1</v>
      </c>
      <c r="L2008" s="10">
        <v>303</v>
      </c>
      <c r="M2008" t="b">
        <v>1</v>
      </c>
      <c r="N2008" t="s">
        <v>8293</v>
      </c>
      <c r="O2008" s="11">
        <f t="shared" si="128"/>
        <v>248</v>
      </c>
      <c r="P2008" s="12">
        <f t="shared" si="129"/>
        <v>409</v>
      </c>
      <c r="Q2008" s="14" t="s">
        <v>8316</v>
      </c>
      <c r="R2008" t="s">
        <v>8346</v>
      </c>
      <c r="S2008" s="17">
        <f t="shared" si="130"/>
        <v>41941.500520833331</v>
      </c>
      <c r="T2008" s="17">
        <f t="shared" si="131"/>
        <v>41976.542187500003</v>
      </c>
      <c r="U2008">
        <f>MONTH(Table1[[#This Row],[Launched]])</f>
        <v>10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 s="8">
        <v>1282622400</v>
      </c>
      <c r="J2009">
        <v>1276891586</v>
      </c>
      <c r="K2009" t="b">
        <v>1</v>
      </c>
      <c r="L2009" s="10">
        <v>137</v>
      </c>
      <c r="M2009" t="b">
        <v>1</v>
      </c>
      <c r="N2009" t="s">
        <v>8293</v>
      </c>
      <c r="O2009" s="11">
        <f t="shared" si="128"/>
        <v>116</v>
      </c>
      <c r="P2009" s="12">
        <f t="shared" si="129"/>
        <v>84</v>
      </c>
      <c r="Q2009" s="14" t="s">
        <v>8316</v>
      </c>
      <c r="R2009" t="s">
        <v>8346</v>
      </c>
      <c r="S2009" s="17">
        <f t="shared" si="130"/>
        <v>40347.837800925925</v>
      </c>
      <c r="T2009" s="17">
        <f t="shared" si="131"/>
        <v>40414.166666666664</v>
      </c>
      <c r="U2009">
        <f>MONTH(Table1[[#This Row],[Launched]])</f>
        <v>6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 s="8">
        <v>1316442622</v>
      </c>
      <c r="J2010">
        <v>1312641022</v>
      </c>
      <c r="K2010" t="b">
        <v>1</v>
      </c>
      <c r="L2010" s="10">
        <v>41</v>
      </c>
      <c r="M2010" t="b">
        <v>1</v>
      </c>
      <c r="N2010" t="s">
        <v>8293</v>
      </c>
      <c r="O2010" s="11">
        <f t="shared" si="128"/>
        <v>117</v>
      </c>
      <c r="P2010" s="12">
        <f t="shared" si="129"/>
        <v>45</v>
      </c>
      <c r="Q2010" s="14" t="s">
        <v>8316</v>
      </c>
      <c r="R2010" t="s">
        <v>8346</v>
      </c>
      <c r="S2010" s="17">
        <f t="shared" si="130"/>
        <v>40761.604421296295</v>
      </c>
      <c r="T2010" s="17">
        <f t="shared" si="131"/>
        <v>40805.604421296295</v>
      </c>
      <c r="U2010">
        <f>MONTH(Table1[[#This Row],[Launched]])</f>
        <v>8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 s="8">
        <v>1479890743</v>
      </c>
      <c r="J2011">
        <v>1476776743</v>
      </c>
      <c r="K2011" t="b">
        <v>1</v>
      </c>
      <c r="L2011" s="10">
        <v>398</v>
      </c>
      <c r="M2011" t="b">
        <v>1</v>
      </c>
      <c r="N2011" t="s">
        <v>8293</v>
      </c>
      <c r="O2011" s="11">
        <f t="shared" si="128"/>
        <v>305</v>
      </c>
      <c r="P2011" s="12">
        <f t="shared" si="129"/>
        <v>383</v>
      </c>
      <c r="Q2011" s="14" t="s">
        <v>8316</v>
      </c>
      <c r="R2011" t="s">
        <v>8346</v>
      </c>
      <c r="S2011" s="17">
        <f t="shared" si="130"/>
        <v>42661.323414351849</v>
      </c>
      <c r="T2011" s="17">
        <f t="shared" si="131"/>
        <v>42697.365081018521</v>
      </c>
      <c r="U2011">
        <f>MONTH(Table1[[#This Row],[Launched]])</f>
        <v>10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 s="8">
        <v>1471564491</v>
      </c>
      <c r="J2012">
        <v>1468972491</v>
      </c>
      <c r="K2012" t="b">
        <v>1</v>
      </c>
      <c r="L2012" s="10">
        <v>1737</v>
      </c>
      <c r="M2012" t="b">
        <v>1</v>
      </c>
      <c r="N2012" t="s">
        <v>8293</v>
      </c>
      <c r="O2012" s="11">
        <f t="shared" si="128"/>
        <v>320</v>
      </c>
      <c r="P2012" s="12">
        <f t="shared" si="129"/>
        <v>55</v>
      </c>
      <c r="Q2012" s="14" t="s">
        <v>8316</v>
      </c>
      <c r="R2012" t="s">
        <v>8346</v>
      </c>
      <c r="S2012" s="17">
        <f t="shared" si="130"/>
        <v>42570.996423611112</v>
      </c>
      <c r="T2012" s="17">
        <f t="shared" si="131"/>
        <v>42600.996423611112</v>
      </c>
      <c r="U2012">
        <f>MONTH(Table1[[#This Row],[Launched]])</f>
        <v>7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 s="8">
        <v>1452553200</v>
      </c>
      <c r="J2013">
        <v>1449650173</v>
      </c>
      <c r="K2013" t="b">
        <v>1</v>
      </c>
      <c r="L2013" s="10">
        <v>971</v>
      </c>
      <c r="M2013" t="b">
        <v>1</v>
      </c>
      <c r="N2013" t="s">
        <v>8293</v>
      </c>
      <c r="O2013" s="11">
        <f t="shared" si="128"/>
        <v>820</v>
      </c>
      <c r="P2013" s="12">
        <f t="shared" si="129"/>
        <v>422</v>
      </c>
      <c r="Q2013" s="14" t="s">
        <v>8316</v>
      </c>
      <c r="R2013" t="s">
        <v>8346</v>
      </c>
      <c r="S2013" s="17">
        <f t="shared" si="130"/>
        <v>42347.358483796299</v>
      </c>
      <c r="T2013" s="17">
        <f t="shared" si="131"/>
        <v>42380.958333333328</v>
      </c>
      <c r="U2013">
        <f>MONTH(Table1[[#This Row],[Launched]])</f>
        <v>12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 s="8">
        <v>1423165441</v>
      </c>
      <c r="J2014">
        <v>1420573441</v>
      </c>
      <c r="K2014" t="b">
        <v>1</v>
      </c>
      <c r="L2014" s="10">
        <v>183</v>
      </c>
      <c r="M2014" t="b">
        <v>1</v>
      </c>
      <c r="N2014" t="s">
        <v>8293</v>
      </c>
      <c r="O2014" s="11">
        <f t="shared" si="128"/>
        <v>235</v>
      </c>
      <c r="P2014" s="12">
        <f t="shared" si="129"/>
        <v>64</v>
      </c>
      <c r="Q2014" s="14" t="s">
        <v>8316</v>
      </c>
      <c r="R2014" t="s">
        <v>8346</v>
      </c>
      <c r="S2014" s="17">
        <f t="shared" si="130"/>
        <v>42010.822233796294</v>
      </c>
      <c r="T2014" s="17">
        <f t="shared" si="131"/>
        <v>42040.822233796294</v>
      </c>
      <c r="U2014">
        <f>MONTH(Table1[[#This Row],[Launched]])</f>
        <v>1</v>
      </c>
    </row>
    <row r="2015" spans="1:21" ht="57.6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 s="8">
        <v>1468019014</v>
      </c>
      <c r="J2015">
        <v>1462835014</v>
      </c>
      <c r="K2015" t="b">
        <v>1</v>
      </c>
      <c r="L2015" s="10">
        <v>4562</v>
      </c>
      <c r="M2015" t="b">
        <v>1</v>
      </c>
      <c r="N2015" t="s">
        <v>8293</v>
      </c>
      <c r="O2015" s="11">
        <f t="shared" si="128"/>
        <v>495</v>
      </c>
      <c r="P2015" s="12">
        <f t="shared" si="129"/>
        <v>174</v>
      </c>
      <c r="Q2015" s="14" t="s">
        <v>8316</v>
      </c>
      <c r="R2015" t="s">
        <v>8346</v>
      </c>
      <c r="S2015" s="17">
        <f t="shared" si="130"/>
        <v>42499.960810185185</v>
      </c>
      <c r="T2015" s="17">
        <f t="shared" si="131"/>
        <v>42559.960810185185</v>
      </c>
      <c r="U2015">
        <f>MONTH(Table1[[#This Row],[Launched]])</f>
        <v>5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 s="8">
        <v>1364184539</v>
      </c>
      <c r="J2016">
        <v>1361250539</v>
      </c>
      <c r="K2016" t="b">
        <v>1</v>
      </c>
      <c r="L2016" s="10">
        <v>26457</v>
      </c>
      <c r="M2016" t="b">
        <v>1</v>
      </c>
      <c r="N2016" t="s">
        <v>8293</v>
      </c>
      <c r="O2016" s="11">
        <f t="shared" si="128"/>
        <v>7814</v>
      </c>
      <c r="P2016" s="12">
        <f t="shared" si="129"/>
        <v>89</v>
      </c>
      <c r="Q2016" s="14" t="s">
        <v>8316</v>
      </c>
      <c r="R2016" t="s">
        <v>8346</v>
      </c>
      <c r="S2016" s="17">
        <f t="shared" si="130"/>
        <v>41324.214571759258</v>
      </c>
      <c r="T2016" s="17">
        <f t="shared" si="131"/>
        <v>41358.172905092593</v>
      </c>
      <c r="U2016">
        <f>MONTH(Table1[[#This Row],[Launched]])</f>
        <v>2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 s="8">
        <v>1315602163</v>
      </c>
      <c r="J2017">
        <v>1313010163</v>
      </c>
      <c r="K2017" t="b">
        <v>1</v>
      </c>
      <c r="L2017" s="10">
        <v>162</v>
      </c>
      <c r="M2017" t="b">
        <v>1</v>
      </c>
      <c r="N2017" t="s">
        <v>8293</v>
      </c>
      <c r="O2017" s="11">
        <f t="shared" si="128"/>
        <v>113</v>
      </c>
      <c r="P2017" s="12">
        <f t="shared" si="129"/>
        <v>50</v>
      </c>
      <c r="Q2017" s="14" t="s">
        <v>8316</v>
      </c>
      <c r="R2017" t="s">
        <v>8346</v>
      </c>
      <c r="S2017" s="17">
        <f t="shared" si="130"/>
        <v>40765.876886574071</v>
      </c>
      <c r="T2017" s="17">
        <f t="shared" si="131"/>
        <v>40795.876886574071</v>
      </c>
      <c r="U2017">
        <f>MONTH(Table1[[#This Row],[Launched]])</f>
        <v>8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 s="8">
        <v>1362863299</v>
      </c>
      <c r="J2018">
        <v>1360271299</v>
      </c>
      <c r="K2018" t="b">
        <v>1</v>
      </c>
      <c r="L2018" s="10">
        <v>479</v>
      </c>
      <c r="M2018" t="b">
        <v>1</v>
      </c>
      <c r="N2018" t="s">
        <v>8293</v>
      </c>
      <c r="O2018" s="11">
        <f t="shared" si="128"/>
        <v>922</v>
      </c>
      <c r="P2018" s="12">
        <f t="shared" si="129"/>
        <v>192</v>
      </c>
      <c r="Q2018" s="14" t="s">
        <v>8316</v>
      </c>
      <c r="R2018" t="s">
        <v>8346</v>
      </c>
      <c r="S2018" s="17">
        <f t="shared" si="130"/>
        <v>41312.88077546296</v>
      </c>
      <c r="T2018" s="17">
        <f t="shared" si="131"/>
        <v>41342.88077546296</v>
      </c>
      <c r="U2018">
        <f>MONTH(Table1[[#This Row],[Launched]])</f>
        <v>2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 s="8">
        <v>1332561600</v>
      </c>
      <c r="J2019">
        <v>1329873755</v>
      </c>
      <c r="K2019" t="b">
        <v>1</v>
      </c>
      <c r="L2019" s="10">
        <v>426</v>
      </c>
      <c r="M2019" t="b">
        <v>1</v>
      </c>
      <c r="N2019" t="s">
        <v>8293</v>
      </c>
      <c r="O2019" s="11">
        <f t="shared" si="128"/>
        <v>125</v>
      </c>
      <c r="P2019" s="12">
        <f t="shared" si="129"/>
        <v>73</v>
      </c>
      <c r="Q2019" s="14" t="s">
        <v>8316</v>
      </c>
      <c r="R2019" t="s">
        <v>8346</v>
      </c>
      <c r="S2019" s="17">
        <f t="shared" si="130"/>
        <v>40961.057349537034</v>
      </c>
      <c r="T2019" s="17">
        <f t="shared" si="131"/>
        <v>40992.166666666664</v>
      </c>
      <c r="U2019">
        <f>MONTH(Table1[[#This Row],[Launched]])</f>
        <v>2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 s="8">
        <v>1439455609</v>
      </c>
      <c r="J2020">
        <v>1436863609</v>
      </c>
      <c r="K2020" t="b">
        <v>1</v>
      </c>
      <c r="L2020" s="10">
        <v>450</v>
      </c>
      <c r="M2020" t="b">
        <v>1</v>
      </c>
      <c r="N2020" t="s">
        <v>8293</v>
      </c>
      <c r="O2020" s="11">
        <f t="shared" si="128"/>
        <v>102</v>
      </c>
      <c r="P2020" s="12">
        <f t="shared" si="129"/>
        <v>148</v>
      </c>
      <c r="Q2020" s="14" t="s">
        <v>8316</v>
      </c>
      <c r="R2020" t="s">
        <v>8346</v>
      </c>
      <c r="S2020" s="17">
        <f t="shared" si="130"/>
        <v>42199.365844907406</v>
      </c>
      <c r="T2020" s="17">
        <f t="shared" si="131"/>
        <v>42229.365844907406</v>
      </c>
      <c r="U2020">
        <f>MONTH(Table1[[#This Row],[Launched]])</f>
        <v>7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 s="8">
        <v>1474563621</v>
      </c>
      <c r="J2021">
        <v>1471971621</v>
      </c>
      <c r="K2021" t="b">
        <v>1</v>
      </c>
      <c r="L2021" s="10">
        <v>1780</v>
      </c>
      <c r="M2021" t="b">
        <v>1</v>
      </c>
      <c r="N2021" t="s">
        <v>8293</v>
      </c>
      <c r="O2021" s="11">
        <f t="shared" si="128"/>
        <v>485</v>
      </c>
      <c r="P2021" s="12">
        <f t="shared" si="129"/>
        <v>109</v>
      </c>
      <c r="Q2021" s="14" t="s">
        <v>8316</v>
      </c>
      <c r="R2021" t="s">
        <v>8346</v>
      </c>
      <c r="S2021" s="17">
        <f t="shared" si="130"/>
        <v>42605.70857638889</v>
      </c>
      <c r="T2021" s="17">
        <f t="shared" si="131"/>
        <v>42635.70857638889</v>
      </c>
      <c r="U2021">
        <f>MONTH(Table1[[#This Row],[Launched]])</f>
        <v>8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 s="8">
        <v>1400108640</v>
      </c>
      <c r="J2022">
        <v>1396923624</v>
      </c>
      <c r="K2022" t="b">
        <v>1</v>
      </c>
      <c r="L2022" s="10">
        <v>122</v>
      </c>
      <c r="M2022" t="b">
        <v>1</v>
      </c>
      <c r="N2022" t="s">
        <v>8293</v>
      </c>
      <c r="O2022" s="11">
        <f t="shared" si="128"/>
        <v>192</v>
      </c>
      <c r="P2022" s="12">
        <f t="shared" si="129"/>
        <v>24</v>
      </c>
      <c r="Q2022" s="14" t="s">
        <v>8316</v>
      </c>
      <c r="R2022" t="s">
        <v>8346</v>
      </c>
      <c r="S2022" s="17">
        <f t="shared" si="130"/>
        <v>41737.097499999996</v>
      </c>
      <c r="T2022" s="17">
        <f t="shared" si="131"/>
        <v>41773.961111111108</v>
      </c>
      <c r="U2022">
        <f>MONTH(Table1[[#This Row],[Launched]])</f>
        <v>4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 s="8">
        <v>1411522897</v>
      </c>
      <c r="J2023">
        <v>1407634897</v>
      </c>
      <c r="K2023" t="b">
        <v>1</v>
      </c>
      <c r="L2023" s="10">
        <v>95</v>
      </c>
      <c r="M2023" t="b">
        <v>1</v>
      </c>
      <c r="N2023" t="s">
        <v>8293</v>
      </c>
      <c r="O2023" s="11">
        <f t="shared" si="128"/>
        <v>281</v>
      </c>
      <c r="P2023" s="12">
        <f t="shared" si="129"/>
        <v>148</v>
      </c>
      <c r="Q2023" s="14" t="s">
        <v>8316</v>
      </c>
      <c r="R2023" t="s">
        <v>8346</v>
      </c>
      <c r="S2023" s="17">
        <f t="shared" si="130"/>
        <v>41861.070567129631</v>
      </c>
      <c r="T2023" s="17">
        <f t="shared" si="131"/>
        <v>41906.070567129631</v>
      </c>
      <c r="U2023">
        <f>MONTH(Table1[[#This Row],[Launched]])</f>
        <v>8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 s="8">
        <v>1465652372</v>
      </c>
      <c r="J2024">
        <v>1463060372</v>
      </c>
      <c r="K2024" t="b">
        <v>1</v>
      </c>
      <c r="L2024" s="10">
        <v>325</v>
      </c>
      <c r="M2024" t="b">
        <v>1</v>
      </c>
      <c r="N2024" t="s">
        <v>8293</v>
      </c>
      <c r="O2024" s="11">
        <f t="shared" si="128"/>
        <v>125</v>
      </c>
      <c r="P2024" s="12">
        <f t="shared" si="129"/>
        <v>385</v>
      </c>
      <c r="Q2024" s="14" t="s">
        <v>8316</v>
      </c>
      <c r="R2024" t="s">
        <v>8346</v>
      </c>
      <c r="S2024" s="17">
        <f t="shared" si="130"/>
        <v>42502.569120370375</v>
      </c>
      <c r="T2024" s="17">
        <f t="shared" si="131"/>
        <v>42532.569120370375</v>
      </c>
      <c r="U2024">
        <f>MONTH(Table1[[#This Row],[Launched]])</f>
        <v>5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 s="8">
        <v>1434017153</v>
      </c>
      <c r="J2025">
        <v>1431425153</v>
      </c>
      <c r="K2025" t="b">
        <v>1</v>
      </c>
      <c r="L2025" s="10">
        <v>353</v>
      </c>
      <c r="M2025" t="b">
        <v>1</v>
      </c>
      <c r="N2025" t="s">
        <v>8293</v>
      </c>
      <c r="O2025" s="11">
        <f t="shared" si="128"/>
        <v>161</v>
      </c>
      <c r="P2025" s="12">
        <f t="shared" si="129"/>
        <v>457</v>
      </c>
      <c r="Q2025" s="14" t="s">
        <v>8316</v>
      </c>
      <c r="R2025" t="s">
        <v>8346</v>
      </c>
      <c r="S2025" s="17">
        <f t="shared" si="130"/>
        <v>42136.420752314814</v>
      </c>
      <c r="T2025" s="17">
        <f t="shared" si="131"/>
        <v>42166.420752314814</v>
      </c>
      <c r="U2025">
        <f>MONTH(Table1[[#This Row],[Launched]])</f>
        <v>5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 s="8">
        <v>1344826800</v>
      </c>
      <c r="J2026">
        <v>1341875544</v>
      </c>
      <c r="K2026" t="b">
        <v>1</v>
      </c>
      <c r="L2026" s="10">
        <v>105</v>
      </c>
      <c r="M2026" t="b">
        <v>1</v>
      </c>
      <c r="N2026" t="s">
        <v>8293</v>
      </c>
      <c r="O2026" s="11">
        <f t="shared" si="128"/>
        <v>585</v>
      </c>
      <c r="P2026" s="12">
        <f t="shared" si="129"/>
        <v>223</v>
      </c>
      <c r="Q2026" s="14" t="s">
        <v>8316</v>
      </c>
      <c r="R2026" t="s">
        <v>8346</v>
      </c>
      <c r="S2026" s="17">
        <f t="shared" si="130"/>
        <v>41099.966944444444</v>
      </c>
      <c r="T2026" s="17">
        <f t="shared" si="131"/>
        <v>41134.125</v>
      </c>
      <c r="U2026">
        <f>MONTH(Table1[[#This Row],[Launched]])</f>
        <v>7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 s="8">
        <v>1433996746</v>
      </c>
      <c r="J2027">
        <v>1431404746</v>
      </c>
      <c r="K2027" t="b">
        <v>1</v>
      </c>
      <c r="L2027" s="10">
        <v>729</v>
      </c>
      <c r="M2027" t="b">
        <v>1</v>
      </c>
      <c r="N2027" t="s">
        <v>8293</v>
      </c>
      <c r="O2027" s="11">
        <f t="shared" si="128"/>
        <v>201</v>
      </c>
      <c r="P2027" s="12">
        <f t="shared" si="129"/>
        <v>221</v>
      </c>
      <c r="Q2027" s="14" t="s">
        <v>8316</v>
      </c>
      <c r="R2027" t="s">
        <v>8346</v>
      </c>
      <c r="S2027" s="17">
        <f t="shared" si="130"/>
        <v>42136.184560185182</v>
      </c>
      <c r="T2027" s="17">
        <f t="shared" si="131"/>
        <v>42166.184560185182</v>
      </c>
      <c r="U2027">
        <f>MONTH(Table1[[#This Row],[Launched]])</f>
        <v>5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 s="8">
        <v>1398052740</v>
      </c>
      <c r="J2028">
        <v>1394127585</v>
      </c>
      <c r="K2028" t="b">
        <v>1</v>
      </c>
      <c r="L2028" s="10">
        <v>454</v>
      </c>
      <c r="M2028" t="b">
        <v>1</v>
      </c>
      <c r="N2028" t="s">
        <v>8293</v>
      </c>
      <c r="O2028" s="11">
        <f t="shared" si="128"/>
        <v>133</v>
      </c>
      <c r="P2028" s="12">
        <f t="shared" si="129"/>
        <v>74</v>
      </c>
      <c r="Q2028" s="14" t="s">
        <v>8316</v>
      </c>
      <c r="R2028" t="s">
        <v>8346</v>
      </c>
      <c r="S2028" s="17">
        <f t="shared" si="130"/>
        <v>41704.735937500001</v>
      </c>
      <c r="T2028" s="17">
        <f t="shared" si="131"/>
        <v>41750.165972222225</v>
      </c>
      <c r="U2028">
        <f>MONTH(Table1[[#This Row],[Launched]])</f>
        <v>3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 s="8">
        <v>1427740319</v>
      </c>
      <c r="J2029">
        <v>1423855919</v>
      </c>
      <c r="K2029" t="b">
        <v>1</v>
      </c>
      <c r="L2029" s="10">
        <v>539</v>
      </c>
      <c r="M2029" t="b">
        <v>1</v>
      </c>
      <c r="N2029" t="s">
        <v>8293</v>
      </c>
      <c r="O2029" s="11">
        <f t="shared" si="128"/>
        <v>120</v>
      </c>
      <c r="P2029" s="12">
        <f t="shared" si="129"/>
        <v>223</v>
      </c>
      <c r="Q2029" s="14" t="s">
        <v>8316</v>
      </c>
      <c r="R2029" t="s">
        <v>8346</v>
      </c>
      <c r="S2029" s="17">
        <f t="shared" si="130"/>
        <v>42048.813877314817</v>
      </c>
      <c r="T2029" s="17">
        <f t="shared" si="131"/>
        <v>42093.772210648152</v>
      </c>
      <c r="U2029">
        <f>MONTH(Table1[[#This Row],[Launched]])</f>
        <v>2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 s="8">
        <v>1268690100</v>
      </c>
      <c r="J2030">
        <v>1265493806</v>
      </c>
      <c r="K2030" t="b">
        <v>1</v>
      </c>
      <c r="L2030" s="10">
        <v>79</v>
      </c>
      <c r="M2030" t="b">
        <v>1</v>
      </c>
      <c r="N2030" t="s">
        <v>8293</v>
      </c>
      <c r="O2030" s="11">
        <f t="shared" si="128"/>
        <v>126</v>
      </c>
      <c r="P2030" s="12">
        <f t="shared" si="129"/>
        <v>48</v>
      </c>
      <c r="Q2030" s="14" t="s">
        <v>8316</v>
      </c>
      <c r="R2030" t="s">
        <v>8346</v>
      </c>
      <c r="S2030" s="17">
        <f t="shared" si="130"/>
        <v>40215.919050925928</v>
      </c>
      <c r="T2030" s="17">
        <f t="shared" si="131"/>
        <v>40252.913194444445</v>
      </c>
      <c r="U2030">
        <f>MONTH(Table1[[#This Row],[Launched]])</f>
        <v>2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 s="8">
        <v>1409099481</v>
      </c>
      <c r="J2031">
        <v>1406507481</v>
      </c>
      <c r="K2031" t="b">
        <v>1</v>
      </c>
      <c r="L2031" s="10">
        <v>94</v>
      </c>
      <c r="M2031" t="b">
        <v>1</v>
      </c>
      <c r="N2031" t="s">
        <v>8293</v>
      </c>
      <c r="O2031" s="11">
        <f t="shared" si="128"/>
        <v>361</v>
      </c>
      <c r="P2031" s="12">
        <f t="shared" si="129"/>
        <v>96</v>
      </c>
      <c r="Q2031" s="14" t="s">
        <v>8316</v>
      </c>
      <c r="R2031" t="s">
        <v>8346</v>
      </c>
      <c r="S2031" s="17">
        <f t="shared" si="130"/>
        <v>41848.021770833337</v>
      </c>
      <c r="T2031" s="17">
        <f t="shared" si="131"/>
        <v>41878.021770833337</v>
      </c>
      <c r="U2031">
        <f>MONTH(Table1[[#This Row],[Launched]])</f>
        <v>7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 s="8">
        <v>1354233296</v>
      </c>
      <c r="J2032">
        <v>1351641296</v>
      </c>
      <c r="K2032" t="b">
        <v>1</v>
      </c>
      <c r="L2032" s="10">
        <v>625</v>
      </c>
      <c r="M2032" t="b">
        <v>1</v>
      </c>
      <c r="N2032" t="s">
        <v>8293</v>
      </c>
      <c r="O2032" s="11">
        <f t="shared" si="128"/>
        <v>226</v>
      </c>
      <c r="P2032" s="12">
        <f t="shared" si="129"/>
        <v>119</v>
      </c>
      <c r="Q2032" s="14" t="s">
        <v>8316</v>
      </c>
      <c r="R2032" t="s">
        <v>8346</v>
      </c>
      <c r="S2032" s="17">
        <f t="shared" si="130"/>
        <v>41212.996481481481</v>
      </c>
      <c r="T2032" s="17">
        <f t="shared" si="131"/>
        <v>41242.996481481481</v>
      </c>
      <c r="U2032">
        <f>MONTH(Table1[[#This Row],[Launched]])</f>
        <v>10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 s="8">
        <v>1420765200</v>
      </c>
      <c r="J2033">
        <v>1417506853</v>
      </c>
      <c r="K2033" t="b">
        <v>1</v>
      </c>
      <c r="L2033" s="10">
        <v>508</v>
      </c>
      <c r="M2033" t="b">
        <v>1</v>
      </c>
      <c r="N2033" t="s">
        <v>8293</v>
      </c>
      <c r="O2033" s="11">
        <f t="shared" si="128"/>
        <v>120</v>
      </c>
      <c r="P2033" s="12">
        <f t="shared" si="129"/>
        <v>118</v>
      </c>
      <c r="Q2033" s="14" t="s">
        <v>8316</v>
      </c>
      <c r="R2033" t="s">
        <v>8346</v>
      </c>
      <c r="S2033" s="17">
        <f t="shared" si="130"/>
        <v>41975.329317129625</v>
      </c>
      <c r="T2033" s="17">
        <f t="shared" si="131"/>
        <v>42013.041666666672</v>
      </c>
      <c r="U2033">
        <f>MONTH(Table1[[#This Row],[Launched]])</f>
        <v>12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 s="8">
        <v>1481778000</v>
      </c>
      <c r="J2034">
        <v>1479216874</v>
      </c>
      <c r="K2034" t="b">
        <v>1</v>
      </c>
      <c r="L2034" s="10">
        <v>531</v>
      </c>
      <c r="M2034" t="b">
        <v>1</v>
      </c>
      <c r="N2034" t="s">
        <v>8293</v>
      </c>
      <c r="O2034" s="11">
        <f t="shared" si="128"/>
        <v>304</v>
      </c>
      <c r="P2034" s="12">
        <f t="shared" si="129"/>
        <v>143</v>
      </c>
      <c r="Q2034" s="14" t="s">
        <v>8316</v>
      </c>
      <c r="R2034" t="s">
        <v>8346</v>
      </c>
      <c r="S2034" s="17">
        <f t="shared" si="130"/>
        <v>42689.565671296295</v>
      </c>
      <c r="T2034" s="17">
        <f t="shared" si="131"/>
        <v>42719.208333333328</v>
      </c>
      <c r="U2034">
        <f>MONTH(Table1[[#This Row],[Launched]])</f>
        <v>11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 s="8">
        <v>1398477518</v>
      </c>
      <c r="J2035">
        <v>1395885518</v>
      </c>
      <c r="K2035" t="b">
        <v>1</v>
      </c>
      <c r="L2035" s="10">
        <v>158</v>
      </c>
      <c r="M2035" t="b">
        <v>1</v>
      </c>
      <c r="N2035" t="s">
        <v>8293</v>
      </c>
      <c r="O2035" s="11">
        <f t="shared" si="128"/>
        <v>179</v>
      </c>
      <c r="P2035" s="12">
        <f t="shared" si="129"/>
        <v>283</v>
      </c>
      <c r="Q2035" s="14" t="s">
        <v>8316</v>
      </c>
      <c r="R2035" t="s">
        <v>8346</v>
      </c>
      <c r="S2035" s="17">
        <f t="shared" si="130"/>
        <v>41725.082384259258</v>
      </c>
      <c r="T2035" s="17">
        <f t="shared" si="131"/>
        <v>41755.082384259258</v>
      </c>
      <c r="U2035">
        <f>MONTH(Table1[[#This Row],[Launched]])</f>
        <v>3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 s="8">
        <v>1430981880</v>
      </c>
      <c r="J2036">
        <v>1426216033</v>
      </c>
      <c r="K2036" t="b">
        <v>1</v>
      </c>
      <c r="L2036" s="10">
        <v>508</v>
      </c>
      <c r="M2036" t="b">
        <v>1</v>
      </c>
      <c r="N2036" t="s">
        <v>8293</v>
      </c>
      <c r="O2036" s="11">
        <f t="shared" si="128"/>
        <v>387</v>
      </c>
      <c r="P2036" s="12">
        <f t="shared" si="129"/>
        <v>594</v>
      </c>
      <c r="Q2036" s="14" t="s">
        <v>8316</v>
      </c>
      <c r="R2036" t="s">
        <v>8346</v>
      </c>
      <c r="S2036" s="17">
        <f t="shared" si="130"/>
        <v>42076.130011574074</v>
      </c>
      <c r="T2036" s="17">
        <f t="shared" si="131"/>
        <v>42131.290277777778</v>
      </c>
      <c r="U2036">
        <f>MONTH(Table1[[#This Row],[Launched]])</f>
        <v>3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 s="8">
        <v>1450486800</v>
      </c>
      <c r="J2037">
        <v>1446562807</v>
      </c>
      <c r="K2037" t="b">
        <v>1</v>
      </c>
      <c r="L2037" s="10">
        <v>644</v>
      </c>
      <c r="M2037" t="b">
        <v>1</v>
      </c>
      <c r="N2037" t="s">
        <v>8293</v>
      </c>
      <c r="O2037" s="11">
        <f t="shared" si="128"/>
        <v>211</v>
      </c>
      <c r="P2037" s="12">
        <f t="shared" si="129"/>
        <v>262</v>
      </c>
      <c r="Q2037" s="14" t="s">
        <v>8316</v>
      </c>
      <c r="R2037" t="s">
        <v>8346</v>
      </c>
      <c r="S2037" s="17">
        <f t="shared" si="130"/>
        <v>42311.625081018516</v>
      </c>
      <c r="T2037" s="17">
        <f t="shared" si="131"/>
        <v>42357.041666666672</v>
      </c>
      <c r="U2037">
        <f>MONTH(Table1[[#This Row],[Launched]])</f>
        <v>11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 s="8">
        <v>1399668319</v>
      </c>
      <c r="J2038">
        <v>1397076319</v>
      </c>
      <c r="K2038" t="b">
        <v>1</v>
      </c>
      <c r="L2038" s="10">
        <v>848</v>
      </c>
      <c r="M2038" t="b">
        <v>1</v>
      </c>
      <c r="N2038" t="s">
        <v>8293</v>
      </c>
      <c r="O2038" s="11">
        <f t="shared" si="128"/>
        <v>132</v>
      </c>
      <c r="P2038" s="12">
        <f t="shared" si="129"/>
        <v>47</v>
      </c>
      <c r="Q2038" s="14" t="s">
        <v>8316</v>
      </c>
      <c r="R2038" t="s">
        <v>8346</v>
      </c>
      <c r="S2038" s="17">
        <f t="shared" si="130"/>
        <v>41738.864803240744</v>
      </c>
      <c r="T2038" s="17">
        <f t="shared" si="131"/>
        <v>41768.864803240744</v>
      </c>
      <c r="U2038">
        <f>MONTH(Table1[[#This Row],[Launched]])</f>
        <v>4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 s="8">
        <v>1388383353</v>
      </c>
      <c r="J2039">
        <v>1383195753</v>
      </c>
      <c r="K2039" t="b">
        <v>1</v>
      </c>
      <c r="L2039" s="10">
        <v>429</v>
      </c>
      <c r="M2039" t="b">
        <v>1</v>
      </c>
      <c r="N2039" t="s">
        <v>8293</v>
      </c>
      <c r="O2039" s="11">
        <f t="shared" si="128"/>
        <v>300</v>
      </c>
      <c r="P2039" s="12">
        <f t="shared" si="129"/>
        <v>70</v>
      </c>
      <c r="Q2039" s="14" t="s">
        <v>8316</v>
      </c>
      <c r="R2039" t="s">
        <v>8346</v>
      </c>
      <c r="S2039" s="17">
        <f t="shared" si="130"/>
        <v>41578.210104166668</v>
      </c>
      <c r="T2039" s="17">
        <f t="shared" si="131"/>
        <v>41638.251770833333</v>
      </c>
      <c r="U2039">
        <f>MONTH(Table1[[#This Row],[Launched]])</f>
        <v>10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 s="8">
        <v>1372701600</v>
      </c>
      <c r="J2040">
        <v>1369895421</v>
      </c>
      <c r="K2040" t="b">
        <v>1</v>
      </c>
      <c r="L2040" s="10">
        <v>204</v>
      </c>
      <c r="M2040" t="b">
        <v>1</v>
      </c>
      <c r="N2040" t="s">
        <v>8293</v>
      </c>
      <c r="O2040" s="11">
        <f t="shared" si="128"/>
        <v>421</v>
      </c>
      <c r="P2040" s="12">
        <f t="shared" si="129"/>
        <v>165</v>
      </c>
      <c r="Q2040" s="14" t="s">
        <v>8316</v>
      </c>
      <c r="R2040" t="s">
        <v>8346</v>
      </c>
      <c r="S2040" s="17">
        <f t="shared" si="130"/>
        <v>41424.27107638889</v>
      </c>
      <c r="T2040" s="17">
        <f t="shared" si="131"/>
        <v>41456.75</v>
      </c>
      <c r="U2040">
        <f>MONTH(Table1[[#This Row],[Launched]])</f>
        <v>5</v>
      </c>
    </row>
    <row r="2041" spans="1:21" ht="43.2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 s="8">
        <v>1480568340</v>
      </c>
      <c r="J2041">
        <v>1477996325</v>
      </c>
      <c r="K2041" t="b">
        <v>1</v>
      </c>
      <c r="L2041" s="10">
        <v>379</v>
      </c>
      <c r="M2041" t="b">
        <v>1</v>
      </c>
      <c r="N2041" t="s">
        <v>8293</v>
      </c>
      <c r="O2041" s="11">
        <f t="shared" si="128"/>
        <v>136</v>
      </c>
      <c r="P2041" s="12">
        <f t="shared" si="129"/>
        <v>449</v>
      </c>
      <c r="Q2041" s="14" t="s">
        <v>8316</v>
      </c>
      <c r="R2041" t="s">
        <v>8346</v>
      </c>
      <c r="S2041" s="17">
        <f t="shared" si="130"/>
        <v>42675.438946759255</v>
      </c>
      <c r="T2041" s="17">
        <f t="shared" si="131"/>
        <v>42705.207638888889</v>
      </c>
      <c r="U2041">
        <f>MONTH(Table1[[#This Row],[Launched]])</f>
        <v>11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 s="8">
        <v>1384557303</v>
      </c>
      <c r="J2042">
        <v>1383257703</v>
      </c>
      <c r="K2042" t="b">
        <v>1</v>
      </c>
      <c r="L2042" s="10">
        <v>271</v>
      </c>
      <c r="M2042" t="b">
        <v>1</v>
      </c>
      <c r="N2042" t="s">
        <v>8293</v>
      </c>
      <c r="O2042" s="11">
        <f t="shared" si="128"/>
        <v>248</v>
      </c>
      <c r="P2042" s="12">
        <f t="shared" si="129"/>
        <v>27</v>
      </c>
      <c r="Q2042" s="14" t="s">
        <v>8316</v>
      </c>
      <c r="R2042" t="s">
        <v>8346</v>
      </c>
      <c r="S2042" s="17">
        <f t="shared" si="130"/>
        <v>41578.927118055559</v>
      </c>
      <c r="T2042" s="17">
        <f t="shared" si="131"/>
        <v>41593.968784722223</v>
      </c>
      <c r="U2042">
        <f>MONTH(Table1[[#This Row],[Launched]])</f>
        <v>10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 s="8">
        <v>1478785027</v>
      </c>
      <c r="J2043">
        <v>1476189427</v>
      </c>
      <c r="K2043" t="b">
        <v>0</v>
      </c>
      <c r="L2043" s="10">
        <v>120</v>
      </c>
      <c r="M2043" t="b">
        <v>1</v>
      </c>
      <c r="N2043" t="s">
        <v>8293</v>
      </c>
      <c r="O2043" s="11">
        <f t="shared" si="128"/>
        <v>182</v>
      </c>
      <c r="P2043" s="12">
        <f t="shared" si="129"/>
        <v>144</v>
      </c>
      <c r="Q2043" s="14" t="s">
        <v>8316</v>
      </c>
      <c r="R2043" t="s">
        <v>8346</v>
      </c>
      <c r="S2043" s="17">
        <f t="shared" si="130"/>
        <v>42654.525775462964</v>
      </c>
      <c r="T2043" s="17">
        <f t="shared" si="131"/>
        <v>42684.567442129628</v>
      </c>
      <c r="U2043">
        <f>MONTH(Table1[[#This Row],[Launched]])</f>
        <v>10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 s="8">
        <v>1453481974</v>
      </c>
      <c r="J2044">
        <v>1448297974</v>
      </c>
      <c r="K2044" t="b">
        <v>0</v>
      </c>
      <c r="L2044" s="10">
        <v>140</v>
      </c>
      <c r="M2044" t="b">
        <v>1</v>
      </c>
      <c r="N2044" t="s">
        <v>8293</v>
      </c>
      <c r="O2044" s="11">
        <f t="shared" si="128"/>
        <v>124</v>
      </c>
      <c r="P2044" s="12">
        <f t="shared" si="129"/>
        <v>88</v>
      </c>
      <c r="Q2044" s="14" t="s">
        <v>8316</v>
      </c>
      <c r="R2044" t="s">
        <v>8346</v>
      </c>
      <c r="S2044" s="17">
        <f t="shared" si="130"/>
        <v>42331.708032407405</v>
      </c>
      <c r="T2044" s="17">
        <f t="shared" si="131"/>
        <v>42391.708032407405</v>
      </c>
      <c r="U2044">
        <f>MONTH(Table1[[#This Row],[Launched]])</f>
        <v>11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 s="8">
        <v>1481432340</v>
      </c>
      <c r="J2045">
        <v>1476764077</v>
      </c>
      <c r="K2045" t="b">
        <v>0</v>
      </c>
      <c r="L2045" s="10">
        <v>193</v>
      </c>
      <c r="M2045" t="b">
        <v>1</v>
      </c>
      <c r="N2045" t="s">
        <v>8293</v>
      </c>
      <c r="O2045" s="11">
        <f t="shared" si="128"/>
        <v>506</v>
      </c>
      <c r="P2045" s="12">
        <f t="shared" si="129"/>
        <v>36</v>
      </c>
      <c r="Q2045" s="14" t="s">
        <v>8316</v>
      </c>
      <c r="R2045" t="s">
        <v>8346</v>
      </c>
      <c r="S2045" s="17">
        <f t="shared" si="130"/>
        <v>42661.176817129628</v>
      </c>
      <c r="T2045" s="17">
        <f t="shared" si="131"/>
        <v>42715.207638888889</v>
      </c>
      <c r="U2045">
        <f>MONTH(Table1[[#This Row],[Launched]])</f>
        <v>10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 s="8">
        <v>1434212714</v>
      </c>
      <c r="J2046">
        <v>1431620714</v>
      </c>
      <c r="K2046" t="b">
        <v>0</v>
      </c>
      <c r="L2046" s="10">
        <v>180</v>
      </c>
      <c r="M2046" t="b">
        <v>1</v>
      </c>
      <c r="N2046" t="s">
        <v>8293</v>
      </c>
      <c r="O2046" s="11">
        <f t="shared" si="128"/>
        <v>108</v>
      </c>
      <c r="P2046" s="12">
        <f t="shared" si="129"/>
        <v>90</v>
      </c>
      <c r="Q2046" s="14" t="s">
        <v>8316</v>
      </c>
      <c r="R2046" t="s">
        <v>8346</v>
      </c>
      <c r="S2046" s="17">
        <f t="shared" si="130"/>
        <v>42138.684189814812</v>
      </c>
      <c r="T2046" s="17">
        <f t="shared" si="131"/>
        <v>42168.684189814812</v>
      </c>
      <c r="U2046">
        <f>MONTH(Table1[[#This Row],[Launched]])</f>
        <v>5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 s="8">
        <v>1341799647</v>
      </c>
      <c r="J2047">
        <v>1339207647</v>
      </c>
      <c r="K2047" t="b">
        <v>0</v>
      </c>
      <c r="L2047" s="10">
        <v>263</v>
      </c>
      <c r="M2047" t="b">
        <v>1</v>
      </c>
      <c r="N2047" t="s">
        <v>8293</v>
      </c>
      <c r="O2047" s="11">
        <f t="shared" si="128"/>
        <v>819</v>
      </c>
      <c r="P2047" s="12">
        <f t="shared" si="129"/>
        <v>153</v>
      </c>
      <c r="Q2047" s="14" t="s">
        <v>8316</v>
      </c>
      <c r="R2047" t="s">
        <v>8346</v>
      </c>
      <c r="S2047" s="17">
        <f t="shared" si="130"/>
        <v>41069.088506944441</v>
      </c>
      <c r="T2047" s="17">
        <f t="shared" si="131"/>
        <v>41099.088506944441</v>
      </c>
      <c r="U2047">
        <f>MONTH(Table1[[#This Row],[Launched]])</f>
        <v>6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 s="8">
        <v>1369282044</v>
      </c>
      <c r="J2048">
        <v>1366690044</v>
      </c>
      <c r="K2048" t="b">
        <v>0</v>
      </c>
      <c r="L2048" s="10">
        <v>217</v>
      </c>
      <c r="M2048" t="b">
        <v>1</v>
      </c>
      <c r="N2048" t="s">
        <v>8293</v>
      </c>
      <c r="O2048" s="11">
        <f t="shared" si="128"/>
        <v>121</v>
      </c>
      <c r="P2048" s="12">
        <f t="shared" si="129"/>
        <v>56</v>
      </c>
      <c r="Q2048" s="14" t="s">
        <v>8316</v>
      </c>
      <c r="R2048" t="s">
        <v>8346</v>
      </c>
      <c r="S2048" s="17">
        <f t="shared" si="130"/>
        <v>41387.171805555554</v>
      </c>
      <c r="T2048" s="17">
        <f t="shared" si="131"/>
        <v>41417.171805555554</v>
      </c>
      <c r="U2048">
        <f>MONTH(Table1[[#This Row],[Launched]])</f>
        <v>4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 s="8">
        <v>1429228800</v>
      </c>
      <c r="J2049">
        <v>1426714870</v>
      </c>
      <c r="K2049" t="b">
        <v>0</v>
      </c>
      <c r="L2049" s="10">
        <v>443</v>
      </c>
      <c r="M2049" t="b">
        <v>1</v>
      </c>
      <c r="N2049" t="s">
        <v>8293</v>
      </c>
      <c r="O2049" s="11">
        <f t="shared" si="128"/>
        <v>103</v>
      </c>
      <c r="P2049" s="12">
        <f t="shared" si="129"/>
        <v>228</v>
      </c>
      <c r="Q2049" s="14" t="s">
        <v>8316</v>
      </c>
      <c r="R2049" t="s">
        <v>8346</v>
      </c>
      <c r="S2049" s="17">
        <f t="shared" si="130"/>
        <v>42081.903587962966</v>
      </c>
      <c r="T2049" s="17">
        <f t="shared" si="131"/>
        <v>42111</v>
      </c>
      <c r="U2049">
        <f>MONTH(Table1[[#This Row],[Launched]])</f>
        <v>3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 s="8">
        <v>1369323491</v>
      </c>
      <c r="J2050">
        <v>1366731491</v>
      </c>
      <c r="K2050" t="b">
        <v>0</v>
      </c>
      <c r="L2050" s="10">
        <v>1373</v>
      </c>
      <c r="M2050" t="b">
        <v>1</v>
      </c>
      <c r="N2050" t="s">
        <v>8293</v>
      </c>
      <c r="O2050" s="11">
        <f t="shared" ref="O2050:O2113" si="132">ROUND(E2050/D2050*100,0)</f>
        <v>148</v>
      </c>
      <c r="P2050" s="12">
        <f t="shared" si="129"/>
        <v>92</v>
      </c>
      <c r="Q2050" s="14" t="s">
        <v>8316</v>
      </c>
      <c r="R2050" t="s">
        <v>8346</v>
      </c>
      <c r="S2050" s="17">
        <f t="shared" si="130"/>
        <v>41387.651516203703</v>
      </c>
      <c r="T2050" s="17">
        <f t="shared" si="131"/>
        <v>41417.651516203703</v>
      </c>
      <c r="U2050">
        <f>MONTH(Table1[[#This Row],[Launched]])</f>
        <v>4</v>
      </c>
    </row>
    <row r="2051" spans="1:21" ht="15.6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 s="8">
        <v>1386025140</v>
      </c>
      <c r="J2051">
        <v>1382963963</v>
      </c>
      <c r="K2051" t="b">
        <v>0</v>
      </c>
      <c r="L2051" s="10">
        <v>742</v>
      </c>
      <c r="M2051" t="b">
        <v>1</v>
      </c>
      <c r="N2051" t="s">
        <v>8293</v>
      </c>
      <c r="O2051" s="11">
        <f t="shared" si="132"/>
        <v>120</v>
      </c>
      <c r="P2051" s="12">
        <f t="shared" ref="P2051:P2114" si="133">IFERROR(ROUND(E2051/L2051,),"No Backers")</f>
        <v>81</v>
      </c>
      <c r="Q2051" s="14" t="s">
        <v>8316</v>
      </c>
      <c r="R2051" t="s">
        <v>8346</v>
      </c>
      <c r="S2051" s="17">
        <f t="shared" ref="S2051:S2114" si="134">(((J2051/60)/60)/24)+DATE(1970,1,1)</f>
        <v>41575.527349537035</v>
      </c>
      <c r="T2051" s="17">
        <f t="shared" ref="T2051:T2114" si="135">(((I2051/60)/60)/24)+DATE(1970,1,1)</f>
        <v>41610.957638888889</v>
      </c>
      <c r="U2051">
        <f>MONTH(Table1[[#This Row],[Launched]])</f>
        <v>10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 s="8">
        <v>1433036578</v>
      </c>
      <c r="J2052">
        <v>1429580578</v>
      </c>
      <c r="K2052" t="b">
        <v>0</v>
      </c>
      <c r="L2052" s="10">
        <v>170</v>
      </c>
      <c r="M2052" t="b">
        <v>1</v>
      </c>
      <c r="N2052" t="s">
        <v>8293</v>
      </c>
      <c r="O2052" s="11">
        <f t="shared" si="132"/>
        <v>473</v>
      </c>
      <c r="P2052" s="12">
        <f t="shared" si="133"/>
        <v>278</v>
      </c>
      <c r="Q2052" s="14" t="s">
        <v>8316</v>
      </c>
      <c r="R2052" t="s">
        <v>8346</v>
      </c>
      <c r="S2052" s="17">
        <f t="shared" si="134"/>
        <v>42115.071504629625</v>
      </c>
      <c r="T2052" s="17">
        <f t="shared" si="135"/>
        <v>42155.071504629625</v>
      </c>
      <c r="U2052">
        <f>MONTH(Table1[[#This Row],[Launched]])</f>
        <v>4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 s="8">
        <v>1388017937</v>
      </c>
      <c r="J2053">
        <v>1385425937</v>
      </c>
      <c r="K2053" t="b">
        <v>0</v>
      </c>
      <c r="L2053" s="10">
        <v>242</v>
      </c>
      <c r="M2053" t="b">
        <v>1</v>
      </c>
      <c r="N2053" t="s">
        <v>8293</v>
      </c>
      <c r="O2053" s="11">
        <f t="shared" si="132"/>
        <v>130</v>
      </c>
      <c r="P2053" s="12">
        <f t="shared" si="133"/>
        <v>43</v>
      </c>
      <c r="Q2053" s="14" t="s">
        <v>8316</v>
      </c>
      <c r="R2053" t="s">
        <v>8346</v>
      </c>
      <c r="S2053" s="17">
        <f t="shared" si="134"/>
        <v>41604.022418981483</v>
      </c>
      <c r="T2053" s="17">
        <f t="shared" si="135"/>
        <v>41634.022418981483</v>
      </c>
      <c r="U2053">
        <f>MONTH(Table1[[#This Row],[Launched]])</f>
        <v>11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 s="8">
        <v>1455933653</v>
      </c>
      <c r="J2054">
        <v>1452045653</v>
      </c>
      <c r="K2054" t="b">
        <v>0</v>
      </c>
      <c r="L2054" s="10">
        <v>541</v>
      </c>
      <c r="M2054" t="b">
        <v>1</v>
      </c>
      <c r="N2054" t="s">
        <v>8293</v>
      </c>
      <c r="O2054" s="11">
        <f t="shared" si="132"/>
        <v>353</v>
      </c>
      <c r="P2054" s="12">
        <f t="shared" si="133"/>
        <v>326</v>
      </c>
      <c r="Q2054" s="14" t="s">
        <v>8316</v>
      </c>
      <c r="R2054" t="s">
        <v>8346</v>
      </c>
      <c r="S2054" s="17">
        <f t="shared" si="134"/>
        <v>42375.08394675926</v>
      </c>
      <c r="T2054" s="17">
        <f t="shared" si="135"/>
        <v>42420.08394675926</v>
      </c>
      <c r="U2054">
        <f>MONTH(Table1[[#This Row],[Launched]])</f>
        <v>1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 s="8">
        <v>1448466551</v>
      </c>
      <c r="J2055">
        <v>1445870951</v>
      </c>
      <c r="K2055" t="b">
        <v>0</v>
      </c>
      <c r="L2055" s="10">
        <v>121</v>
      </c>
      <c r="M2055" t="b">
        <v>1</v>
      </c>
      <c r="N2055" t="s">
        <v>8293</v>
      </c>
      <c r="O2055" s="11">
        <f t="shared" si="132"/>
        <v>101</v>
      </c>
      <c r="P2055" s="12">
        <f t="shared" si="133"/>
        <v>42</v>
      </c>
      <c r="Q2055" s="14" t="s">
        <v>8316</v>
      </c>
      <c r="R2055" t="s">
        <v>8346</v>
      </c>
      <c r="S2055" s="17">
        <f t="shared" si="134"/>
        <v>42303.617488425924</v>
      </c>
      <c r="T2055" s="17">
        <f t="shared" si="135"/>
        <v>42333.659155092595</v>
      </c>
      <c r="U2055">
        <f>MONTH(Table1[[#This Row],[Launched]])</f>
        <v>10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 s="8">
        <v>1399033810</v>
      </c>
      <c r="J2056">
        <v>1396441810</v>
      </c>
      <c r="K2056" t="b">
        <v>0</v>
      </c>
      <c r="L2056" s="10">
        <v>621</v>
      </c>
      <c r="M2056" t="b">
        <v>1</v>
      </c>
      <c r="N2056" t="s">
        <v>8293</v>
      </c>
      <c r="O2056" s="11">
        <f t="shared" si="132"/>
        <v>114</v>
      </c>
      <c r="P2056" s="12">
        <f t="shared" si="133"/>
        <v>64</v>
      </c>
      <c r="Q2056" s="14" t="s">
        <v>8316</v>
      </c>
      <c r="R2056" t="s">
        <v>8346</v>
      </c>
      <c r="S2056" s="17">
        <f t="shared" si="134"/>
        <v>41731.520949074074</v>
      </c>
      <c r="T2056" s="17">
        <f t="shared" si="135"/>
        <v>41761.520949074074</v>
      </c>
      <c r="U2056">
        <f>MONTH(Table1[[#This Row],[Launched]])</f>
        <v>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 s="8">
        <v>1417579200</v>
      </c>
      <c r="J2057">
        <v>1415031043</v>
      </c>
      <c r="K2057" t="b">
        <v>0</v>
      </c>
      <c r="L2057" s="10">
        <v>101</v>
      </c>
      <c r="M2057" t="b">
        <v>1</v>
      </c>
      <c r="N2057" t="s">
        <v>8293</v>
      </c>
      <c r="O2057" s="11">
        <f t="shared" si="132"/>
        <v>167</v>
      </c>
      <c r="P2057" s="12">
        <f t="shared" si="133"/>
        <v>99</v>
      </c>
      <c r="Q2057" s="14" t="s">
        <v>8316</v>
      </c>
      <c r="R2057" t="s">
        <v>8346</v>
      </c>
      <c r="S2057" s="17">
        <f t="shared" si="134"/>
        <v>41946.674108796295</v>
      </c>
      <c r="T2057" s="17">
        <f t="shared" si="135"/>
        <v>41976.166666666672</v>
      </c>
      <c r="U2057">
        <f>MONTH(Table1[[#This Row],[Launched]])</f>
        <v>11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 s="8">
        <v>1366222542</v>
      </c>
      <c r="J2058">
        <v>1363630542</v>
      </c>
      <c r="K2058" t="b">
        <v>0</v>
      </c>
      <c r="L2058" s="10">
        <v>554</v>
      </c>
      <c r="M2058" t="b">
        <v>1</v>
      </c>
      <c r="N2058" t="s">
        <v>8293</v>
      </c>
      <c r="O2058" s="11">
        <f t="shared" si="132"/>
        <v>153</v>
      </c>
      <c r="P2058" s="12">
        <f t="shared" si="133"/>
        <v>138</v>
      </c>
      <c r="Q2058" s="14" t="s">
        <v>8316</v>
      </c>
      <c r="R2058" t="s">
        <v>8346</v>
      </c>
      <c r="S2058" s="17">
        <f t="shared" si="134"/>
        <v>41351.76090277778</v>
      </c>
      <c r="T2058" s="17">
        <f t="shared" si="135"/>
        <v>41381.76090277778</v>
      </c>
      <c r="U2058">
        <f>MONTH(Table1[[#This Row],[Launched]])</f>
        <v>3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 s="8">
        <v>1456487532</v>
      </c>
      <c r="J2059">
        <v>1453895532</v>
      </c>
      <c r="K2059" t="b">
        <v>0</v>
      </c>
      <c r="L2059" s="10">
        <v>666</v>
      </c>
      <c r="M2059" t="b">
        <v>1</v>
      </c>
      <c r="N2059" t="s">
        <v>8293</v>
      </c>
      <c r="O2059" s="11">
        <f t="shared" si="132"/>
        <v>202</v>
      </c>
      <c r="P2059" s="12">
        <f t="shared" si="133"/>
        <v>46</v>
      </c>
      <c r="Q2059" s="14" t="s">
        <v>8316</v>
      </c>
      <c r="R2059" t="s">
        <v>8346</v>
      </c>
      <c r="S2059" s="17">
        <f t="shared" si="134"/>
        <v>42396.494583333333</v>
      </c>
      <c r="T2059" s="17">
        <f t="shared" si="135"/>
        <v>42426.494583333333</v>
      </c>
      <c r="U2059">
        <f>MONTH(Table1[[#This Row],[Launched]])</f>
        <v>1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 s="8">
        <v>1425326400</v>
      </c>
      <c r="J2060">
        <v>1421916830</v>
      </c>
      <c r="K2060" t="b">
        <v>0</v>
      </c>
      <c r="L2060" s="10">
        <v>410</v>
      </c>
      <c r="M2060" t="b">
        <v>1</v>
      </c>
      <c r="N2060" t="s">
        <v>8293</v>
      </c>
      <c r="O2060" s="11">
        <f t="shared" si="132"/>
        <v>168</v>
      </c>
      <c r="P2060" s="12">
        <f t="shared" si="133"/>
        <v>11</v>
      </c>
      <c r="Q2060" s="14" t="s">
        <v>8316</v>
      </c>
      <c r="R2060" t="s">
        <v>8346</v>
      </c>
      <c r="S2060" s="17">
        <f t="shared" si="134"/>
        <v>42026.370717592596</v>
      </c>
      <c r="T2060" s="17">
        <f t="shared" si="135"/>
        <v>42065.833333333328</v>
      </c>
      <c r="U2060">
        <f>MONTH(Table1[[#This Row],[Launched]])</f>
        <v>1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 s="8">
        <v>1454277540</v>
      </c>
      <c r="J2061">
        <v>1450880854</v>
      </c>
      <c r="K2061" t="b">
        <v>0</v>
      </c>
      <c r="L2061" s="10">
        <v>375</v>
      </c>
      <c r="M2061" t="b">
        <v>1</v>
      </c>
      <c r="N2061" t="s">
        <v>8293</v>
      </c>
      <c r="O2061" s="11">
        <f t="shared" si="132"/>
        <v>143</v>
      </c>
      <c r="P2061" s="12">
        <f t="shared" si="133"/>
        <v>115</v>
      </c>
      <c r="Q2061" s="14" t="s">
        <v>8316</v>
      </c>
      <c r="R2061" t="s">
        <v>8346</v>
      </c>
      <c r="S2061" s="17">
        <f t="shared" si="134"/>
        <v>42361.602476851855</v>
      </c>
      <c r="T2061" s="17">
        <f t="shared" si="135"/>
        <v>42400.915972222225</v>
      </c>
      <c r="U2061">
        <f>MONTH(Table1[[#This Row],[Launched]])</f>
        <v>12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 s="8">
        <v>1406129150</v>
      </c>
      <c r="J2062">
        <v>1400945150</v>
      </c>
      <c r="K2062" t="b">
        <v>0</v>
      </c>
      <c r="L2062" s="10">
        <v>1364</v>
      </c>
      <c r="M2062" t="b">
        <v>1</v>
      </c>
      <c r="N2062" t="s">
        <v>8293</v>
      </c>
      <c r="O2062" s="11">
        <f t="shared" si="132"/>
        <v>196</v>
      </c>
      <c r="P2062" s="12">
        <f t="shared" si="133"/>
        <v>36</v>
      </c>
      <c r="Q2062" s="14" t="s">
        <v>8316</v>
      </c>
      <c r="R2062" t="s">
        <v>8346</v>
      </c>
      <c r="S2062" s="17">
        <f t="shared" si="134"/>
        <v>41783.642939814818</v>
      </c>
      <c r="T2062" s="17">
        <f t="shared" si="135"/>
        <v>41843.642939814818</v>
      </c>
      <c r="U2062">
        <f>MONTH(Table1[[#This Row],[Launched]])</f>
        <v>5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 s="8">
        <v>1483208454</v>
      </c>
      <c r="J2063">
        <v>1480616454</v>
      </c>
      <c r="K2063" t="b">
        <v>0</v>
      </c>
      <c r="L2063" s="10">
        <v>35</v>
      </c>
      <c r="M2063" t="b">
        <v>1</v>
      </c>
      <c r="N2063" t="s">
        <v>8293</v>
      </c>
      <c r="O2063" s="11">
        <f t="shared" si="132"/>
        <v>108</v>
      </c>
      <c r="P2063" s="12">
        <f t="shared" si="133"/>
        <v>154</v>
      </c>
      <c r="Q2063" s="14" t="s">
        <v>8316</v>
      </c>
      <c r="R2063" t="s">
        <v>8346</v>
      </c>
      <c r="S2063" s="17">
        <f t="shared" si="134"/>
        <v>42705.764513888891</v>
      </c>
      <c r="T2063" s="17">
        <f t="shared" si="135"/>
        <v>42735.764513888891</v>
      </c>
      <c r="U2063">
        <f>MONTH(Table1[[#This Row],[Launched]])</f>
        <v>12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 s="8">
        <v>1458807098</v>
      </c>
      <c r="J2064">
        <v>1456218698</v>
      </c>
      <c r="K2064" t="b">
        <v>0</v>
      </c>
      <c r="L2064" s="10">
        <v>203</v>
      </c>
      <c r="M2064" t="b">
        <v>1</v>
      </c>
      <c r="N2064" t="s">
        <v>8293</v>
      </c>
      <c r="O2064" s="11">
        <f t="shared" si="132"/>
        <v>115</v>
      </c>
      <c r="P2064" s="12">
        <f t="shared" si="133"/>
        <v>566</v>
      </c>
      <c r="Q2064" s="14" t="s">
        <v>8316</v>
      </c>
      <c r="R2064" t="s">
        <v>8346</v>
      </c>
      <c r="S2064" s="17">
        <f t="shared" si="134"/>
        <v>42423.3830787037</v>
      </c>
      <c r="T2064" s="17">
        <f t="shared" si="135"/>
        <v>42453.341412037036</v>
      </c>
      <c r="U2064">
        <f>MONTH(Table1[[#This Row],[Launched]])</f>
        <v>2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 s="8">
        <v>1463333701</v>
      </c>
      <c r="J2065">
        <v>1460482501</v>
      </c>
      <c r="K2065" t="b">
        <v>0</v>
      </c>
      <c r="L2065" s="10">
        <v>49</v>
      </c>
      <c r="M2065" t="b">
        <v>1</v>
      </c>
      <c r="N2065" t="s">
        <v>8293</v>
      </c>
      <c r="O2065" s="11">
        <f t="shared" si="132"/>
        <v>148</v>
      </c>
      <c r="P2065" s="12">
        <f t="shared" si="133"/>
        <v>121</v>
      </c>
      <c r="Q2065" s="14" t="s">
        <v>8316</v>
      </c>
      <c r="R2065" t="s">
        <v>8346</v>
      </c>
      <c r="S2065" s="17">
        <f t="shared" si="134"/>
        <v>42472.73265046296</v>
      </c>
      <c r="T2065" s="17">
        <f t="shared" si="135"/>
        <v>42505.73265046296</v>
      </c>
      <c r="U2065">
        <f>MONTH(Table1[[#This Row],[Launched]])</f>
        <v>4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 s="8">
        <v>1370001600</v>
      </c>
      <c r="J2066">
        <v>1366879523</v>
      </c>
      <c r="K2066" t="b">
        <v>0</v>
      </c>
      <c r="L2066" s="10">
        <v>5812</v>
      </c>
      <c r="M2066" t="b">
        <v>1</v>
      </c>
      <c r="N2066" t="s">
        <v>8293</v>
      </c>
      <c r="O2066" s="11">
        <f t="shared" si="132"/>
        <v>191</v>
      </c>
      <c r="P2066" s="12">
        <f t="shared" si="133"/>
        <v>86</v>
      </c>
      <c r="Q2066" s="14" t="s">
        <v>8316</v>
      </c>
      <c r="R2066" t="s">
        <v>8346</v>
      </c>
      <c r="S2066" s="17">
        <f t="shared" si="134"/>
        <v>41389.364849537036</v>
      </c>
      <c r="T2066" s="17">
        <f t="shared" si="135"/>
        <v>41425.5</v>
      </c>
      <c r="U2066">
        <f>MONTH(Table1[[#This Row],[Launched]])</f>
        <v>4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 s="8">
        <v>1387958429</v>
      </c>
      <c r="J2067">
        <v>1385366429</v>
      </c>
      <c r="K2067" t="b">
        <v>0</v>
      </c>
      <c r="L2067" s="10">
        <v>1556</v>
      </c>
      <c r="M2067" t="b">
        <v>1</v>
      </c>
      <c r="N2067" t="s">
        <v>8293</v>
      </c>
      <c r="O2067" s="11">
        <f t="shared" si="132"/>
        <v>199</v>
      </c>
      <c r="P2067" s="12">
        <f t="shared" si="133"/>
        <v>51</v>
      </c>
      <c r="Q2067" s="14" t="s">
        <v>8316</v>
      </c>
      <c r="R2067" t="s">
        <v>8346</v>
      </c>
      <c r="S2067" s="17">
        <f t="shared" si="134"/>
        <v>41603.333668981482</v>
      </c>
      <c r="T2067" s="17">
        <f t="shared" si="135"/>
        <v>41633.333668981482</v>
      </c>
      <c r="U2067">
        <f>MONTH(Table1[[#This Row],[Launched]])</f>
        <v>11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 s="8">
        <v>1408818683</v>
      </c>
      <c r="J2068">
        <v>1406226683</v>
      </c>
      <c r="K2068" t="b">
        <v>0</v>
      </c>
      <c r="L2068" s="10">
        <v>65</v>
      </c>
      <c r="M2068" t="b">
        <v>1</v>
      </c>
      <c r="N2068" t="s">
        <v>8293</v>
      </c>
      <c r="O2068" s="11">
        <f t="shared" si="132"/>
        <v>219</v>
      </c>
      <c r="P2068" s="12">
        <f t="shared" si="133"/>
        <v>67</v>
      </c>
      <c r="Q2068" s="14" t="s">
        <v>8316</v>
      </c>
      <c r="R2068" t="s">
        <v>8346</v>
      </c>
      <c r="S2068" s="17">
        <f t="shared" si="134"/>
        <v>41844.771793981483</v>
      </c>
      <c r="T2068" s="17">
        <f t="shared" si="135"/>
        <v>41874.771793981483</v>
      </c>
      <c r="U2068">
        <f>MONTH(Table1[[#This Row],[Launched]])</f>
        <v>7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8218</v>
      </c>
      <c r="G2069" t="s">
        <v>8224</v>
      </c>
      <c r="H2069" t="s">
        <v>8246</v>
      </c>
      <c r="I2069" s="8">
        <v>1432499376</v>
      </c>
      <c r="J2069">
        <v>1429648176</v>
      </c>
      <c r="K2069" t="b">
        <v>0</v>
      </c>
      <c r="L2069" s="10">
        <v>10</v>
      </c>
      <c r="M2069" t="b">
        <v>1</v>
      </c>
      <c r="N2069" t="s">
        <v>8293</v>
      </c>
      <c r="O2069" s="11">
        <f t="shared" si="132"/>
        <v>127</v>
      </c>
      <c r="P2069" s="12">
        <f t="shared" si="133"/>
        <v>63</v>
      </c>
      <c r="Q2069" s="14" t="s">
        <v>8316</v>
      </c>
      <c r="R2069" t="s">
        <v>8346</v>
      </c>
      <c r="S2069" s="17">
        <f t="shared" si="134"/>
        <v>42115.853888888887</v>
      </c>
      <c r="T2069" s="17">
        <f t="shared" si="135"/>
        <v>42148.853888888887</v>
      </c>
      <c r="U2069">
        <f>MONTH(Table1[[#This Row],[Launched]])</f>
        <v>4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 s="8">
        <v>1476994315</v>
      </c>
      <c r="J2070">
        <v>1474402315</v>
      </c>
      <c r="K2070" t="b">
        <v>0</v>
      </c>
      <c r="L2070" s="10">
        <v>76</v>
      </c>
      <c r="M2070" t="b">
        <v>1</v>
      </c>
      <c r="N2070" t="s">
        <v>8293</v>
      </c>
      <c r="O2070" s="11">
        <f t="shared" si="132"/>
        <v>105</v>
      </c>
      <c r="P2070" s="12">
        <f t="shared" si="133"/>
        <v>346</v>
      </c>
      <c r="Q2070" s="14" t="s">
        <v>8316</v>
      </c>
      <c r="R2070" t="s">
        <v>8346</v>
      </c>
      <c r="S2070" s="17">
        <f t="shared" si="134"/>
        <v>42633.841608796298</v>
      </c>
      <c r="T2070" s="17">
        <f t="shared" si="135"/>
        <v>42663.841608796298</v>
      </c>
      <c r="U2070">
        <f>MONTH(Table1[[#This Row],[Launched]])</f>
        <v>9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 s="8">
        <v>1451776791</v>
      </c>
      <c r="J2071">
        <v>1449098391</v>
      </c>
      <c r="K2071" t="b">
        <v>0</v>
      </c>
      <c r="L2071" s="10">
        <v>263</v>
      </c>
      <c r="M2071" t="b">
        <v>1</v>
      </c>
      <c r="N2071" t="s">
        <v>8293</v>
      </c>
      <c r="O2071" s="11">
        <f t="shared" si="132"/>
        <v>128</v>
      </c>
      <c r="P2071" s="12">
        <f t="shared" si="133"/>
        <v>244</v>
      </c>
      <c r="Q2071" s="14" t="s">
        <v>8316</v>
      </c>
      <c r="R2071" t="s">
        <v>8346</v>
      </c>
      <c r="S2071" s="17">
        <f t="shared" si="134"/>
        <v>42340.972118055557</v>
      </c>
      <c r="T2071" s="17">
        <f t="shared" si="135"/>
        <v>42371.972118055557</v>
      </c>
      <c r="U2071">
        <f>MONTH(Table1[[#This Row],[Launched]])</f>
        <v>12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 s="8">
        <v>1467128723</v>
      </c>
      <c r="J2072">
        <v>1464536723</v>
      </c>
      <c r="K2072" t="b">
        <v>0</v>
      </c>
      <c r="L2072" s="10">
        <v>1530</v>
      </c>
      <c r="M2072" t="b">
        <v>1</v>
      </c>
      <c r="N2072" t="s">
        <v>8293</v>
      </c>
      <c r="O2072" s="11">
        <f t="shared" si="132"/>
        <v>317</v>
      </c>
      <c r="P2072" s="12">
        <f t="shared" si="133"/>
        <v>259</v>
      </c>
      <c r="Q2072" s="14" t="s">
        <v>8316</v>
      </c>
      <c r="R2072" t="s">
        <v>8346</v>
      </c>
      <c r="S2072" s="17">
        <f t="shared" si="134"/>
        <v>42519.6565162037</v>
      </c>
      <c r="T2072" s="17">
        <f t="shared" si="135"/>
        <v>42549.6565162037</v>
      </c>
      <c r="U2072">
        <f>MONTH(Table1[[#This Row],[Launched]])</f>
        <v>5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 s="8">
        <v>1475390484</v>
      </c>
      <c r="J2073">
        <v>1471502484</v>
      </c>
      <c r="K2073" t="b">
        <v>0</v>
      </c>
      <c r="L2073" s="10">
        <v>278</v>
      </c>
      <c r="M2073" t="b">
        <v>1</v>
      </c>
      <c r="N2073" t="s">
        <v>8293</v>
      </c>
      <c r="O2073" s="11">
        <f t="shared" si="132"/>
        <v>281</v>
      </c>
      <c r="P2073" s="12">
        <f t="shared" si="133"/>
        <v>202</v>
      </c>
      <c r="Q2073" s="14" t="s">
        <v>8316</v>
      </c>
      <c r="R2073" t="s">
        <v>8346</v>
      </c>
      <c r="S2073" s="17">
        <f t="shared" si="134"/>
        <v>42600.278749999998</v>
      </c>
      <c r="T2073" s="17">
        <f t="shared" si="135"/>
        <v>42645.278749999998</v>
      </c>
      <c r="U2073">
        <f>MONTH(Table1[[#This Row],[Launched]])</f>
        <v>8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 s="8">
        <v>1462629432</v>
      </c>
      <c r="J2074">
        <v>1460037432</v>
      </c>
      <c r="K2074" t="b">
        <v>0</v>
      </c>
      <c r="L2074" s="10">
        <v>350</v>
      </c>
      <c r="M2074" t="b">
        <v>1</v>
      </c>
      <c r="N2074" t="s">
        <v>8293</v>
      </c>
      <c r="O2074" s="11">
        <f t="shared" si="132"/>
        <v>111</v>
      </c>
      <c r="P2074" s="12">
        <f t="shared" si="133"/>
        <v>226</v>
      </c>
      <c r="Q2074" s="14" t="s">
        <v>8316</v>
      </c>
      <c r="R2074" t="s">
        <v>8346</v>
      </c>
      <c r="S2074" s="17">
        <f t="shared" si="134"/>
        <v>42467.581388888888</v>
      </c>
      <c r="T2074" s="17">
        <f t="shared" si="135"/>
        <v>42497.581388888888</v>
      </c>
      <c r="U2074">
        <f>MONTH(Table1[[#This Row],[Launched]])</f>
        <v>4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 s="8">
        <v>1431100918</v>
      </c>
      <c r="J2075">
        <v>1427212918</v>
      </c>
      <c r="K2075" t="b">
        <v>0</v>
      </c>
      <c r="L2075" s="10">
        <v>470</v>
      </c>
      <c r="M2075" t="b">
        <v>1</v>
      </c>
      <c r="N2075" t="s">
        <v>8293</v>
      </c>
      <c r="O2075" s="11">
        <f t="shared" si="132"/>
        <v>153</v>
      </c>
      <c r="P2075" s="12">
        <f t="shared" si="133"/>
        <v>325</v>
      </c>
      <c r="Q2075" s="14" t="s">
        <v>8316</v>
      </c>
      <c r="R2075" t="s">
        <v>8346</v>
      </c>
      <c r="S2075" s="17">
        <f t="shared" si="134"/>
        <v>42087.668032407411</v>
      </c>
      <c r="T2075" s="17">
        <f t="shared" si="135"/>
        <v>42132.668032407411</v>
      </c>
      <c r="U2075">
        <f>MONTH(Table1[[#This Row],[Launched]])</f>
        <v>3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8218</v>
      </c>
      <c r="G2076" t="s">
        <v>8223</v>
      </c>
      <c r="H2076" t="s">
        <v>8245</v>
      </c>
      <c r="I2076" s="8">
        <v>1462564182</v>
      </c>
      <c r="J2076">
        <v>1459972182</v>
      </c>
      <c r="K2076" t="b">
        <v>0</v>
      </c>
      <c r="L2076" s="10">
        <v>3</v>
      </c>
      <c r="M2076" t="b">
        <v>1</v>
      </c>
      <c r="N2076" t="s">
        <v>8293</v>
      </c>
      <c r="O2076" s="11">
        <f t="shared" si="132"/>
        <v>103</v>
      </c>
      <c r="P2076" s="12">
        <f t="shared" si="133"/>
        <v>205</v>
      </c>
      <c r="Q2076" s="14" t="s">
        <v>8316</v>
      </c>
      <c r="R2076" t="s">
        <v>8346</v>
      </c>
      <c r="S2076" s="17">
        <f t="shared" si="134"/>
        <v>42466.826180555552</v>
      </c>
      <c r="T2076" s="17">
        <f t="shared" si="135"/>
        <v>42496.826180555552</v>
      </c>
      <c r="U2076">
        <f>MONTH(Table1[[#This Row],[Launched]])</f>
        <v>4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 s="8">
        <v>1374769288</v>
      </c>
      <c r="J2077">
        <v>1372177288</v>
      </c>
      <c r="K2077" t="b">
        <v>0</v>
      </c>
      <c r="L2077" s="10">
        <v>8200</v>
      </c>
      <c r="M2077" t="b">
        <v>1</v>
      </c>
      <c r="N2077" t="s">
        <v>8293</v>
      </c>
      <c r="O2077" s="11">
        <f t="shared" si="132"/>
        <v>1678</v>
      </c>
      <c r="P2077" s="12">
        <f t="shared" si="133"/>
        <v>20</v>
      </c>
      <c r="Q2077" s="14" t="s">
        <v>8316</v>
      </c>
      <c r="R2077" t="s">
        <v>8346</v>
      </c>
      <c r="S2077" s="17">
        <f t="shared" si="134"/>
        <v>41450.681574074071</v>
      </c>
      <c r="T2077" s="17">
        <f t="shared" si="135"/>
        <v>41480.681574074071</v>
      </c>
      <c r="U2077">
        <f>MONTH(Table1[[#This Row],[Launched]])</f>
        <v>6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 s="8">
        <v>1406149689</v>
      </c>
      <c r="J2078">
        <v>1402693689</v>
      </c>
      <c r="K2078" t="b">
        <v>0</v>
      </c>
      <c r="L2078" s="10">
        <v>8359</v>
      </c>
      <c r="M2078" t="b">
        <v>1</v>
      </c>
      <c r="N2078" t="s">
        <v>8293</v>
      </c>
      <c r="O2078" s="11">
        <f t="shared" si="132"/>
        <v>543</v>
      </c>
      <c r="P2078" s="12">
        <f t="shared" si="133"/>
        <v>116</v>
      </c>
      <c r="Q2078" s="14" t="s">
        <v>8316</v>
      </c>
      <c r="R2078" t="s">
        <v>8346</v>
      </c>
      <c r="S2078" s="17">
        <f t="shared" si="134"/>
        <v>41803.880659722221</v>
      </c>
      <c r="T2078" s="17">
        <f t="shared" si="135"/>
        <v>41843.880659722221</v>
      </c>
      <c r="U2078">
        <f>MONTH(Table1[[#This Row],[Launched]])</f>
        <v>6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 s="8">
        <v>1433538000</v>
      </c>
      <c r="J2079">
        <v>1428541276</v>
      </c>
      <c r="K2079" t="b">
        <v>0</v>
      </c>
      <c r="L2079" s="10">
        <v>188</v>
      </c>
      <c r="M2079" t="b">
        <v>1</v>
      </c>
      <c r="N2079" t="s">
        <v>8293</v>
      </c>
      <c r="O2079" s="11">
        <f t="shared" si="132"/>
        <v>116</v>
      </c>
      <c r="P2079" s="12">
        <f t="shared" si="133"/>
        <v>307</v>
      </c>
      <c r="Q2079" s="14" t="s">
        <v>8316</v>
      </c>
      <c r="R2079" t="s">
        <v>8346</v>
      </c>
      <c r="S2079" s="17">
        <f t="shared" si="134"/>
        <v>42103.042546296296</v>
      </c>
      <c r="T2079" s="17">
        <f t="shared" si="135"/>
        <v>42160.875</v>
      </c>
      <c r="U2079">
        <f>MONTH(Table1[[#This Row],[Launched]])</f>
        <v>4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 s="8">
        <v>1482085857</v>
      </c>
      <c r="J2080">
        <v>1479493857</v>
      </c>
      <c r="K2080" t="b">
        <v>0</v>
      </c>
      <c r="L2080" s="10">
        <v>48</v>
      </c>
      <c r="M2080" t="b">
        <v>1</v>
      </c>
      <c r="N2080" t="s">
        <v>8293</v>
      </c>
      <c r="O2080" s="11">
        <f t="shared" si="132"/>
        <v>131</v>
      </c>
      <c r="P2080" s="12">
        <f t="shared" si="133"/>
        <v>547</v>
      </c>
      <c r="Q2080" s="14" t="s">
        <v>8316</v>
      </c>
      <c r="R2080" t="s">
        <v>8346</v>
      </c>
      <c r="S2080" s="17">
        <f t="shared" si="134"/>
        <v>42692.771493055552</v>
      </c>
      <c r="T2080" s="17">
        <f t="shared" si="135"/>
        <v>42722.771493055552</v>
      </c>
      <c r="U2080">
        <f>MONTH(Table1[[#This Row],[Launched]])</f>
        <v>11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 s="8">
        <v>1435258800</v>
      </c>
      <c r="J2081">
        <v>1432659793</v>
      </c>
      <c r="K2081" t="b">
        <v>0</v>
      </c>
      <c r="L2081" s="10">
        <v>607</v>
      </c>
      <c r="M2081" t="b">
        <v>1</v>
      </c>
      <c r="N2081" t="s">
        <v>8293</v>
      </c>
      <c r="O2081" s="11">
        <f t="shared" si="132"/>
        <v>288</v>
      </c>
      <c r="P2081" s="12">
        <f t="shared" si="133"/>
        <v>47</v>
      </c>
      <c r="Q2081" s="14" t="s">
        <v>8316</v>
      </c>
      <c r="R2081" t="s">
        <v>8346</v>
      </c>
      <c r="S2081" s="17">
        <f t="shared" si="134"/>
        <v>42150.71056712963</v>
      </c>
      <c r="T2081" s="17">
        <f t="shared" si="135"/>
        <v>42180.791666666672</v>
      </c>
      <c r="U2081">
        <f>MONTH(Table1[[#This Row],[Launched]])</f>
        <v>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 s="8">
        <v>1447286300</v>
      </c>
      <c r="J2082">
        <v>1444690700</v>
      </c>
      <c r="K2082" t="b">
        <v>0</v>
      </c>
      <c r="L2082" s="10">
        <v>50</v>
      </c>
      <c r="M2082" t="b">
        <v>1</v>
      </c>
      <c r="N2082" t="s">
        <v>8293</v>
      </c>
      <c r="O2082" s="11">
        <f t="shared" si="132"/>
        <v>508</v>
      </c>
      <c r="P2082" s="12">
        <f t="shared" si="133"/>
        <v>102</v>
      </c>
      <c r="Q2082" s="14" t="s">
        <v>8316</v>
      </c>
      <c r="R2082" t="s">
        <v>8346</v>
      </c>
      <c r="S2082" s="17">
        <f t="shared" si="134"/>
        <v>42289.957175925927</v>
      </c>
      <c r="T2082" s="17">
        <f t="shared" si="135"/>
        <v>42319.998842592591</v>
      </c>
      <c r="U2082">
        <f>MONTH(Table1[[#This Row],[Launched]])</f>
        <v>10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 s="8">
        <v>1337144340</v>
      </c>
      <c r="J2083">
        <v>1333597555</v>
      </c>
      <c r="K2083" t="b">
        <v>0</v>
      </c>
      <c r="L2083" s="10">
        <v>55</v>
      </c>
      <c r="M2083" t="b">
        <v>1</v>
      </c>
      <c r="N2083" t="s">
        <v>8277</v>
      </c>
      <c r="O2083" s="11">
        <f t="shared" si="132"/>
        <v>115</v>
      </c>
      <c r="P2083" s="12">
        <f t="shared" si="133"/>
        <v>73</v>
      </c>
      <c r="Q2083" s="14" t="s">
        <v>8322</v>
      </c>
      <c r="R2083" t="s">
        <v>8326</v>
      </c>
      <c r="S2083" s="17">
        <f t="shared" si="134"/>
        <v>41004.156886574077</v>
      </c>
      <c r="T2083" s="17">
        <f t="shared" si="135"/>
        <v>41045.207638888889</v>
      </c>
      <c r="U2083">
        <f>MONTH(Table1[[#This Row],[Launched]])</f>
        <v>4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 s="8">
        <v>1322106796</v>
      </c>
      <c r="J2084">
        <v>1316919196</v>
      </c>
      <c r="K2084" t="b">
        <v>0</v>
      </c>
      <c r="L2084" s="10">
        <v>38</v>
      </c>
      <c r="M2084" t="b">
        <v>1</v>
      </c>
      <c r="N2084" t="s">
        <v>8277</v>
      </c>
      <c r="O2084" s="11">
        <f t="shared" si="132"/>
        <v>111</v>
      </c>
      <c r="P2084" s="12">
        <f t="shared" si="133"/>
        <v>44</v>
      </c>
      <c r="Q2084" s="14" t="s">
        <v>8322</v>
      </c>
      <c r="R2084" t="s">
        <v>8326</v>
      </c>
      <c r="S2084" s="17">
        <f t="shared" si="134"/>
        <v>40811.120324074072</v>
      </c>
      <c r="T2084" s="17">
        <f t="shared" si="135"/>
        <v>40871.161990740737</v>
      </c>
      <c r="U2084">
        <f>MONTH(Table1[[#This Row],[Launched]])</f>
        <v>9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8218</v>
      </c>
      <c r="G2085" t="s">
        <v>8223</v>
      </c>
      <c r="H2085" t="s">
        <v>8245</v>
      </c>
      <c r="I2085" s="8">
        <v>1338830395</v>
      </c>
      <c r="J2085">
        <v>1336238395</v>
      </c>
      <c r="K2085" t="b">
        <v>0</v>
      </c>
      <c r="L2085" s="10">
        <v>25</v>
      </c>
      <c r="M2085" t="b">
        <v>1</v>
      </c>
      <c r="N2085" t="s">
        <v>8277</v>
      </c>
      <c r="O2085" s="11">
        <f t="shared" si="132"/>
        <v>113</v>
      </c>
      <c r="P2085" s="12">
        <f t="shared" si="133"/>
        <v>34</v>
      </c>
      <c r="Q2085" s="14" t="s">
        <v>8322</v>
      </c>
      <c r="R2085" t="s">
        <v>8326</v>
      </c>
      <c r="S2085" s="17">
        <f t="shared" si="134"/>
        <v>41034.72216435185</v>
      </c>
      <c r="T2085" s="17">
        <f t="shared" si="135"/>
        <v>41064.72216435185</v>
      </c>
      <c r="U2085">
        <f>MONTH(Table1[[#This Row],[Launched]])</f>
        <v>5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 s="8">
        <v>1399186740</v>
      </c>
      <c r="J2086">
        <v>1396468782</v>
      </c>
      <c r="K2086" t="b">
        <v>0</v>
      </c>
      <c r="L2086" s="10">
        <v>46</v>
      </c>
      <c r="M2086" t="b">
        <v>1</v>
      </c>
      <c r="N2086" t="s">
        <v>8277</v>
      </c>
      <c r="O2086" s="11">
        <f t="shared" si="132"/>
        <v>108</v>
      </c>
      <c r="P2086" s="12">
        <f t="shared" si="133"/>
        <v>71</v>
      </c>
      <c r="Q2086" s="14" t="s">
        <v>8322</v>
      </c>
      <c r="R2086" t="s">
        <v>8326</v>
      </c>
      <c r="S2086" s="17">
        <f t="shared" si="134"/>
        <v>41731.833124999997</v>
      </c>
      <c r="T2086" s="17">
        <f t="shared" si="135"/>
        <v>41763.290972222225</v>
      </c>
      <c r="U2086">
        <f>MONTH(Table1[[#This Row],[Launched]])</f>
        <v>4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 s="8">
        <v>1342382587</v>
      </c>
      <c r="J2087">
        <v>1339790587</v>
      </c>
      <c r="K2087" t="b">
        <v>0</v>
      </c>
      <c r="L2087" s="10">
        <v>83</v>
      </c>
      <c r="M2087" t="b">
        <v>1</v>
      </c>
      <c r="N2087" t="s">
        <v>8277</v>
      </c>
      <c r="O2087" s="11">
        <f t="shared" si="132"/>
        <v>124</v>
      </c>
      <c r="P2087" s="12">
        <f t="shared" si="133"/>
        <v>89</v>
      </c>
      <c r="Q2087" s="14" t="s">
        <v>8322</v>
      </c>
      <c r="R2087" t="s">
        <v>8326</v>
      </c>
      <c r="S2087" s="17">
        <f t="shared" si="134"/>
        <v>41075.835497685184</v>
      </c>
      <c r="T2087" s="17">
        <f t="shared" si="135"/>
        <v>41105.835497685184</v>
      </c>
      <c r="U2087">
        <f>MONTH(Table1[[#This Row],[Launched]])</f>
        <v>6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 s="8">
        <v>1323838740</v>
      </c>
      <c r="J2088">
        <v>1321200332</v>
      </c>
      <c r="K2088" t="b">
        <v>0</v>
      </c>
      <c r="L2088" s="10">
        <v>35</v>
      </c>
      <c r="M2088" t="b">
        <v>1</v>
      </c>
      <c r="N2088" t="s">
        <v>8277</v>
      </c>
      <c r="O2088" s="11">
        <f t="shared" si="132"/>
        <v>101</v>
      </c>
      <c r="P2088" s="12">
        <f t="shared" si="133"/>
        <v>115</v>
      </c>
      <c r="Q2088" s="14" t="s">
        <v>8322</v>
      </c>
      <c r="R2088" t="s">
        <v>8326</v>
      </c>
      <c r="S2088" s="17">
        <f t="shared" si="134"/>
        <v>40860.67050925926</v>
      </c>
      <c r="T2088" s="17">
        <f t="shared" si="135"/>
        <v>40891.207638888889</v>
      </c>
      <c r="U2088">
        <f>MONTH(Table1[[#This Row],[Launched]])</f>
        <v>11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 s="8">
        <v>1315457658</v>
      </c>
      <c r="J2089">
        <v>1312865658</v>
      </c>
      <c r="K2089" t="b">
        <v>0</v>
      </c>
      <c r="L2089" s="10">
        <v>25</v>
      </c>
      <c r="M2089" t="b">
        <v>1</v>
      </c>
      <c r="N2089" t="s">
        <v>8277</v>
      </c>
      <c r="O2089" s="11">
        <f t="shared" si="132"/>
        <v>104</v>
      </c>
      <c r="P2089" s="12">
        <f t="shared" si="133"/>
        <v>62</v>
      </c>
      <c r="Q2089" s="14" t="s">
        <v>8322</v>
      </c>
      <c r="R2089" t="s">
        <v>8326</v>
      </c>
      <c r="S2089" s="17">
        <f t="shared" si="134"/>
        <v>40764.204375000001</v>
      </c>
      <c r="T2089" s="17">
        <f t="shared" si="135"/>
        <v>40794.204375000001</v>
      </c>
      <c r="U2089">
        <f>MONTH(Table1[[#This Row],[Launched]])</f>
        <v>8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 s="8">
        <v>1284177540</v>
      </c>
      <c r="J2090">
        <v>1281028152</v>
      </c>
      <c r="K2090" t="b">
        <v>0</v>
      </c>
      <c r="L2090" s="10">
        <v>75</v>
      </c>
      <c r="M2090" t="b">
        <v>1</v>
      </c>
      <c r="N2090" t="s">
        <v>8277</v>
      </c>
      <c r="O2090" s="11">
        <f t="shared" si="132"/>
        <v>116</v>
      </c>
      <c r="P2090" s="12">
        <f t="shared" si="133"/>
        <v>46</v>
      </c>
      <c r="Q2090" s="14" t="s">
        <v>8322</v>
      </c>
      <c r="R2090" t="s">
        <v>8326</v>
      </c>
      <c r="S2090" s="17">
        <f t="shared" si="134"/>
        <v>40395.714722222219</v>
      </c>
      <c r="T2090" s="17">
        <f t="shared" si="135"/>
        <v>40432.165972222225</v>
      </c>
      <c r="U2090">
        <f>MONTH(Table1[[#This Row],[Launched]])</f>
        <v>8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 s="8">
        <v>1375408194</v>
      </c>
      <c r="J2091">
        <v>1372384194</v>
      </c>
      <c r="K2091" t="b">
        <v>0</v>
      </c>
      <c r="L2091" s="10">
        <v>62</v>
      </c>
      <c r="M2091" t="b">
        <v>1</v>
      </c>
      <c r="N2091" t="s">
        <v>8277</v>
      </c>
      <c r="O2091" s="11">
        <f t="shared" si="132"/>
        <v>120</v>
      </c>
      <c r="P2091" s="12">
        <f t="shared" si="133"/>
        <v>49</v>
      </c>
      <c r="Q2091" s="14" t="s">
        <v>8322</v>
      </c>
      <c r="R2091" t="s">
        <v>8326</v>
      </c>
      <c r="S2091" s="17">
        <f t="shared" si="134"/>
        <v>41453.076319444444</v>
      </c>
      <c r="T2091" s="17">
        <f t="shared" si="135"/>
        <v>41488.076319444444</v>
      </c>
      <c r="U2091">
        <f>MONTH(Table1[[#This Row],[Launched]])</f>
        <v>6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 s="8">
        <v>1361696955</v>
      </c>
      <c r="J2092">
        <v>1359104955</v>
      </c>
      <c r="K2092" t="b">
        <v>0</v>
      </c>
      <c r="L2092" s="10">
        <v>160</v>
      </c>
      <c r="M2092" t="b">
        <v>1</v>
      </c>
      <c r="N2092" t="s">
        <v>8277</v>
      </c>
      <c r="O2092" s="11">
        <f t="shared" si="132"/>
        <v>115</v>
      </c>
      <c r="P2092" s="12">
        <f t="shared" si="133"/>
        <v>58</v>
      </c>
      <c r="Q2092" s="14" t="s">
        <v>8322</v>
      </c>
      <c r="R2092" t="s">
        <v>8326</v>
      </c>
      <c r="S2092" s="17">
        <f t="shared" si="134"/>
        <v>41299.381423611114</v>
      </c>
      <c r="T2092" s="17">
        <f t="shared" si="135"/>
        <v>41329.381423611114</v>
      </c>
      <c r="U2092">
        <f>MONTH(Table1[[#This Row],[Launched]])</f>
        <v>1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 s="8">
        <v>1299009600</v>
      </c>
      <c r="J2093">
        <v>1294818278</v>
      </c>
      <c r="K2093" t="b">
        <v>0</v>
      </c>
      <c r="L2093" s="10">
        <v>246</v>
      </c>
      <c r="M2093" t="b">
        <v>1</v>
      </c>
      <c r="N2093" t="s">
        <v>8277</v>
      </c>
      <c r="O2093" s="11">
        <f t="shared" si="132"/>
        <v>120</v>
      </c>
      <c r="P2093" s="12">
        <f t="shared" si="133"/>
        <v>88</v>
      </c>
      <c r="Q2093" s="14" t="s">
        <v>8322</v>
      </c>
      <c r="R2093" t="s">
        <v>8326</v>
      </c>
      <c r="S2093" s="17">
        <f t="shared" si="134"/>
        <v>40555.322662037033</v>
      </c>
      <c r="T2093" s="17">
        <f t="shared" si="135"/>
        <v>40603.833333333336</v>
      </c>
      <c r="U2093">
        <f>MONTH(Table1[[#This Row],[Launched]])</f>
        <v>1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 s="8">
        <v>1318006732</v>
      </c>
      <c r="J2094">
        <v>1312822732</v>
      </c>
      <c r="K2094" t="b">
        <v>0</v>
      </c>
      <c r="L2094" s="10">
        <v>55</v>
      </c>
      <c r="M2094" t="b">
        <v>1</v>
      </c>
      <c r="N2094" t="s">
        <v>8277</v>
      </c>
      <c r="O2094" s="11">
        <f t="shared" si="132"/>
        <v>101</v>
      </c>
      <c r="P2094" s="12">
        <f t="shared" si="133"/>
        <v>110</v>
      </c>
      <c r="Q2094" s="14" t="s">
        <v>8322</v>
      </c>
      <c r="R2094" t="s">
        <v>8326</v>
      </c>
      <c r="S2094" s="17">
        <f t="shared" si="134"/>
        <v>40763.707546296297</v>
      </c>
      <c r="T2094" s="17">
        <f t="shared" si="135"/>
        <v>40823.707546296297</v>
      </c>
      <c r="U2094">
        <f>MONTH(Table1[[#This Row],[Launched]])</f>
        <v>8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 s="8">
        <v>1356211832</v>
      </c>
      <c r="J2095">
        <v>1351024232</v>
      </c>
      <c r="K2095" t="b">
        <v>0</v>
      </c>
      <c r="L2095" s="10">
        <v>23</v>
      </c>
      <c r="M2095" t="b">
        <v>1</v>
      </c>
      <c r="N2095" t="s">
        <v>8277</v>
      </c>
      <c r="O2095" s="11">
        <f t="shared" si="132"/>
        <v>102</v>
      </c>
      <c r="P2095" s="12">
        <f t="shared" si="133"/>
        <v>67</v>
      </c>
      <c r="Q2095" s="14" t="s">
        <v>8322</v>
      </c>
      <c r="R2095" t="s">
        <v>8326</v>
      </c>
      <c r="S2095" s="17">
        <f t="shared" si="134"/>
        <v>41205.854537037041</v>
      </c>
      <c r="T2095" s="17">
        <f t="shared" si="135"/>
        <v>41265.896203703705</v>
      </c>
      <c r="U2095">
        <f>MONTH(Table1[[#This Row],[Launched]])</f>
        <v>10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 s="8">
        <v>1330916400</v>
      </c>
      <c r="J2096">
        <v>1327969730</v>
      </c>
      <c r="K2096" t="b">
        <v>0</v>
      </c>
      <c r="L2096" s="10">
        <v>72</v>
      </c>
      <c r="M2096" t="b">
        <v>1</v>
      </c>
      <c r="N2096" t="s">
        <v>8277</v>
      </c>
      <c r="O2096" s="11">
        <f t="shared" si="132"/>
        <v>121</v>
      </c>
      <c r="P2096" s="12">
        <f t="shared" si="133"/>
        <v>59</v>
      </c>
      <c r="Q2096" s="14" t="s">
        <v>8322</v>
      </c>
      <c r="R2096" t="s">
        <v>8326</v>
      </c>
      <c r="S2096" s="17">
        <f t="shared" si="134"/>
        <v>40939.02002314815</v>
      </c>
      <c r="T2096" s="17">
        <f t="shared" si="135"/>
        <v>40973.125</v>
      </c>
      <c r="U2096">
        <f>MONTH(Table1[[#This Row],[Launched]])</f>
        <v>1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 s="8">
        <v>1317576973</v>
      </c>
      <c r="J2097">
        <v>1312392973</v>
      </c>
      <c r="K2097" t="b">
        <v>0</v>
      </c>
      <c r="L2097" s="10">
        <v>22</v>
      </c>
      <c r="M2097" t="b">
        <v>1</v>
      </c>
      <c r="N2097" t="s">
        <v>8277</v>
      </c>
      <c r="O2097" s="11">
        <f t="shared" si="132"/>
        <v>100</v>
      </c>
      <c r="P2097" s="12">
        <f t="shared" si="133"/>
        <v>114</v>
      </c>
      <c r="Q2097" s="14" t="s">
        <v>8322</v>
      </c>
      <c r="R2097" t="s">
        <v>8326</v>
      </c>
      <c r="S2097" s="17">
        <f t="shared" si="134"/>
        <v>40758.733483796292</v>
      </c>
      <c r="T2097" s="17">
        <f t="shared" si="135"/>
        <v>40818.733483796292</v>
      </c>
      <c r="U2097">
        <f>MONTH(Table1[[#This Row],[Launched]])</f>
        <v>8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8218</v>
      </c>
      <c r="G2098" t="s">
        <v>8223</v>
      </c>
      <c r="H2098" t="s">
        <v>8245</v>
      </c>
      <c r="I2098" s="8">
        <v>1351223940</v>
      </c>
      <c r="J2098">
        <v>1349892735</v>
      </c>
      <c r="K2098" t="b">
        <v>0</v>
      </c>
      <c r="L2098" s="10">
        <v>14</v>
      </c>
      <c r="M2098" t="b">
        <v>1</v>
      </c>
      <c r="N2098" t="s">
        <v>8277</v>
      </c>
      <c r="O2098" s="11">
        <f t="shared" si="132"/>
        <v>102</v>
      </c>
      <c r="P2098" s="12">
        <f t="shared" si="133"/>
        <v>44</v>
      </c>
      <c r="Q2098" s="14" t="s">
        <v>8322</v>
      </c>
      <c r="R2098" t="s">
        <v>8326</v>
      </c>
      <c r="S2098" s="17">
        <f t="shared" si="134"/>
        <v>41192.758506944447</v>
      </c>
      <c r="T2098" s="17">
        <f t="shared" si="135"/>
        <v>41208.165972222225</v>
      </c>
      <c r="U2098">
        <f>MONTH(Table1[[#This Row],[Launched]])</f>
        <v>10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 s="8">
        <v>1322751735</v>
      </c>
      <c r="J2099">
        <v>1317564135</v>
      </c>
      <c r="K2099" t="b">
        <v>0</v>
      </c>
      <c r="L2099" s="10">
        <v>38</v>
      </c>
      <c r="M2099" t="b">
        <v>1</v>
      </c>
      <c r="N2099" t="s">
        <v>8277</v>
      </c>
      <c r="O2099" s="11">
        <f t="shared" si="132"/>
        <v>100</v>
      </c>
      <c r="P2099" s="12">
        <f t="shared" si="133"/>
        <v>79</v>
      </c>
      <c r="Q2099" s="14" t="s">
        <v>8322</v>
      </c>
      <c r="R2099" t="s">
        <v>8326</v>
      </c>
      <c r="S2099" s="17">
        <f t="shared" si="134"/>
        <v>40818.58489583333</v>
      </c>
      <c r="T2099" s="17">
        <f t="shared" si="135"/>
        <v>40878.626562500001</v>
      </c>
      <c r="U2099">
        <f>MONTH(Table1[[#This Row],[Launched]])</f>
        <v>10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 s="8">
        <v>1331174635</v>
      </c>
      <c r="J2100">
        <v>1328582635</v>
      </c>
      <c r="K2100" t="b">
        <v>0</v>
      </c>
      <c r="L2100" s="10">
        <v>32</v>
      </c>
      <c r="M2100" t="b">
        <v>1</v>
      </c>
      <c r="N2100" t="s">
        <v>8277</v>
      </c>
      <c r="O2100" s="11">
        <f t="shared" si="132"/>
        <v>100</v>
      </c>
      <c r="P2100" s="12">
        <f t="shared" si="133"/>
        <v>188</v>
      </c>
      <c r="Q2100" s="14" t="s">
        <v>8322</v>
      </c>
      <c r="R2100" t="s">
        <v>8326</v>
      </c>
      <c r="S2100" s="17">
        <f t="shared" si="134"/>
        <v>40946.11383101852</v>
      </c>
      <c r="T2100" s="17">
        <f t="shared" si="135"/>
        <v>40976.11383101852</v>
      </c>
      <c r="U2100">
        <f>MONTH(Table1[[#This Row],[Launched]])</f>
        <v>2</v>
      </c>
    </row>
    <row r="2101" spans="1:21" ht="15.6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 s="8">
        <v>1435808400</v>
      </c>
      <c r="J2101">
        <v>1434650084</v>
      </c>
      <c r="K2101" t="b">
        <v>0</v>
      </c>
      <c r="L2101" s="10">
        <v>63</v>
      </c>
      <c r="M2101" t="b">
        <v>1</v>
      </c>
      <c r="N2101" t="s">
        <v>8277</v>
      </c>
      <c r="O2101" s="11">
        <f t="shared" si="132"/>
        <v>132</v>
      </c>
      <c r="P2101" s="12">
        <f t="shared" si="133"/>
        <v>63</v>
      </c>
      <c r="Q2101" s="14" t="s">
        <v>8322</v>
      </c>
      <c r="R2101" t="s">
        <v>8326</v>
      </c>
      <c r="S2101" s="17">
        <f t="shared" si="134"/>
        <v>42173.746342592596</v>
      </c>
      <c r="T2101" s="17">
        <f t="shared" si="135"/>
        <v>42187.152777777781</v>
      </c>
      <c r="U2101">
        <f>MONTH(Table1[[#This Row],[Launched]])</f>
        <v>6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8218</v>
      </c>
      <c r="G2102" t="s">
        <v>8223</v>
      </c>
      <c r="H2102" t="s">
        <v>8245</v>
      </c>
      <c r="I2102" s="8">
        <v>1341028740</v>
      </c>
      <c r="J2102">
        <v>1339704141</v>
      </c>
      <c r="K2102" t="b">
        <v>0</v>
      </c>
      <c r="L2102" s="10">
        <v>27</v>
      </c>
      <c r="M2102" t="b">
        <v>1</v>
      </c>
      <c r="N2102" t="s">
        <v>8277</v>
      </c>
      <c r="O2102" s="11">
        <f t="shared" si="132"/>
        <v>137</v>
      </c>
      <c r="P2102" s="12">
        <f t="shared" si="133"/>
        <v>30</v>
      </c>
      <c r="Q2102" s="14" t="s">
        <v>8322</v>
      </c>
      <c r="R2102" t="s">
        <v>8326</v>
      </c>
      <c r="S2102" s="17">
        <f t="shared" si="134"/>
        <v>41074.834965277776</v>
      </c>
      <c r="T2102" s="17">
        <f t="shared" si="135"/>
        <v>41090.165972222225</v>
      </c>
      <c r="U2102">
        <f>MONTH(Table1[[#This Row],[Launched]])</f>
        <v>6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 s="8">
        <v>1329104114</v>
      </c>
      <c r="J2103">
        <v>1323920114</v>
      </c>
      <c r="K2103" t="b">
        <v>0</v>
      </c>
      <c r="L2103" s="10">
        <v>44</v>
      </c>
      <c r="M2103" t="b">
        <v>1</v>
      </c>
      <c r="N2103" t="s">
        <v>8277</v>
      </c>
      <c r="O2103" s="11">
        <f t="shared" si="132"/>
        <v>113</v>
      </c>
      <c r="P2103" s="12">
        <f t="shared" si="133"/>
        <v>51</v>
      </c>
      <c r="Q2103" s="14" t="s">
        <v>8322</v>
      </c>
      <c r="R2103" t="s">
        <v>8326</v>
      </c>
      <c r="S2103" s="17">
        <f t="shared" si="134"/>
        <v>40892.149467592593</v>
      </c>
      <c r="T2103" s="17">
        <f t="shared" si="135"/>
        <v>40952.149467592593</v>
      </c>
      <c r="U2103">
        <f>MONTH(Table1[[#This Row],[Launched]])</f>
        <v>12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 s="8">
        <v>1304628648</v>
      </c>
      <c r="J2104">
        <v>1302036648</v>
      </c>
      <c r="K2104" t="b">
        <v>0</v>
      </c>
      <c r="L2104" s="10">
        <v>38</v>
      </c>
      <c r="M2104" t="b">
        <v>1</v>
      </c>
      <c r="N2104" t="s">
        <v>8277</v>
      </c>
      <c r="O2104" s="11">
        <f t="shared" si="132"/>
        <v>136</v>
      </c>
      <c r="P2104" s="12">
        <f t="shared" si="133"/>
        <v>36</v>
      </c>
      <c r="Q2104" s="14" t="s">
        <v>8322</v>
      </c>
      <c r="R2104" t="s">
        <v>8326</v>
      </c>
      <c r="S2104" s="17">
        <f t="shared" si="134"/>
        <v>40638.868611111109</v>
      </c>
      <c r="T2104" s="17">
        <f t="shared" si="135"/>
        <v>40668.868611111109</v>
      </c>
      <c r="U2104">
        <f>MONTH(Table1[[#This Row],[Launched]])</f>
        <v>4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 s="8">
        <v>1352488027</v>
      </c>
      <c r="J2105">
        <v>1349892427</v>
      </c>
      <c r="K2105" t="b">
        <v>0</v>
      </c>
      <c r="L2105" s="10">
        <v>115</v>
      </c>
      <c r="M2105" t="b">
        <v>1</v>
      </c>
      <c r="N2105" t="s">
        <v>8277</v>
      </c>
      <c r="O2105" s="11">
        <f t="shared" si="132"/>
        <v>146</v>
      </c>
      <c r="P2105" s="12">
        <f t="shared" si="133"/>
        <v>99</v>
      </c>
      <c r="Q2105" s="14" t="s">
        <v>8322</v>
      </c>
      <c r="R2105" t="s">
        <v>8326</v>
      </c>
      <c r="S2105" s="17">
        <f t="shared" si="134"/>
        <v>41192.754942129628</v>
      </c>
      <c r="T2105" s="17">
        <f t="shared" si="135"/>
        <v>41222.7966087963</v>
      </c>
      <c r="U2105">
        <f>MONTH(Table1[[#This Row],[Launched]])</f>
        <v>10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8218</v>
      </c>
      <c r="G2106" t="s">
        <v>8223</v>
      </c>
      <c r="H2106" t="s">
        <v>8245</v>
      </c>
      <c r="I2106" s="8">
        <v>1369958400</v>
      </c>
      <c r="J2106">
        <v>1367286434</v>
      </c>
      <c r="K2106" t="b">
        <v>0</v>
      </c>
      <c r="L2106" s="10">
        <v>37</v>
      </c>
      <c r="M2106" t="b">
        <v>1</v>
      </c>
      <c r="N2106" t="s">
        <v>8277</v>
      </c>
      <c r="O2106" s="11">
        <f t="shared" si="132"/>
        <v>130</v>
      </c>
      <c r="P2106" s="12">
        <f t="shared" si="133"/>
        <v>28</v>
      </c>
      <c r="Q2106" s="14" t="s">
        <v>8322</v>
      </c>
      <c r="R2106" t="s">
        <v>8326</v>
      </c>
      <c r="S2106" s="17">
        <f t="shared" si="134"/>
        <v>41394.074467592596</v>
      </c>
      <c r="T2106" s="17">
        <f t="shared" si="135"/>
        <v>41425</v>
      </c>
      <c r="U2106">
        <f>MONTH(Table1[[#This Row],[Launched]])</f>
        <v>4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 s="8">
        <v>1416542400</v>
      </c>
      <c r="J2107">
        <v>1415472953</v>
      </c>
      <c r="K2107" t="b">
        <v>0</v>
      </c>
      <c r="L2107" s="10">
        <v>99</v>
      </c>
      <c r="M2107" t="b">
        <v>1</v>
      </c>
      <c r="N2107" t="s">
        <v>8277</v>
      </c>
      <c r="O2107" s="11">
        <f t="shared" si="132"/>
        <v>254</v>
      </c>
      <c r="P2107" s="12">
        <f t="shared" si="133"/>
        <v>51</v>
      </c>
      <c r="Q2107" s="14" t="s">
        <v>8322</v>
      </c>
      <c r="R2107" t="s">
        <v>8326</v>
      </c>
      <c r="S2107" s="17">
        <f t="shared" si="134"/>
        <v>41951.788807870369</v>
      </c>
      <c r="T2107" s="17">
        <f t="shared" si="135"/>
        <v>41964.166666666672</v>
      </c>
      <c r="U2107">
        <f>MONTH(Table1[[#This Row],[Launched]])</f>
        <v>11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 s="8">
        <v>1359176974</v>
      </c>
      <c r="J2108">
        <v>1356584974</v>
      </c>
      <c r="K2108" t="b">
        <v>0</v>
      </c>
      <c r="L2108" s="10">
        <v>44</v>
      </c>
      <c r="M2108" t="b">
        <v>1</v>
      </c>
      <c r="N2108" t="s">
        <v>8277</v>
      </c>
      <c r="O2108" s="11">
        <f t="shared" si="132"/>
        <v>107</v>
      </c>
      <c r="P2108" s="12">
        <f t="shared" si="133"/>
        <v>54</v>
      </c>
      <c r="Q2108" s="14" t="s">
        <v>8322</v>
      </c>
      <c r="R2108" t="s">
        <v>8326</v>
      </c>
      <c r="S2108" s="17">
        <f t="shared" si="134"/>
        <v>41270.21497685185</v>
      </c>
      <c r="T2108" s="17">
        <f t="shared" si="135"/>
        <v>41300.21497685185</v>
      </c>
      <c r="U2108">
        <f>MONTH(Table1[[#This Row],[Launched]])</f>
        <v>12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 s="8">
        <v>1415815393</v>
      </c>
      <c r="J2109">
        <v>1413997393</v>
      </c>
      <c r="K2109" t="b">
        <v>0</v>
      </c>
      <c r="L2109" s="10">
        <v>58</v>
      </c>
      <c r="M2109" t="b">
        <v>1</v>
      </c>
      <c r="N2109" t="s">
        <v>8277</v>
      </c>
      <c r="O2109" s="11">
        <f t="shared" si="132"/>
        <v>108</v>
      </c>
      <c r="P2109" s="12">
        <f t="shared" si="133"/>
        <v>37</v>
      </c>
      <c r="Q2109" s="14" t="s">
        <v>8322</v>
      </c>
      <c r="R2109" t="s">
        <v>8326</v>
      </c>
      <c r="S2109" s="17">
        <f t="shared" si="134"/>
        <v>41934.71056712963</v>
      </c>
      <c r="T2109" s="17">
        <f t="shared" si="135"/>
        <v>41955.752233796295</v>
      </c>
      <c r="U2109">
        <f>MONTH(Table1[[#This Row],[Launched]])</f>
        <v>10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 s="8">
        <v>1347249300</v>
      </c>
      <c r="J2110">
        <v>1344917580</v>
      </c>
      <c r="K2110" t="b">
        <v>0</v>
      </c>
      <c r="L2110" s="10">
        <v>191</v>
      </c>
      <c r="M2110" t="b">
        <v>1</v>
      </c>
      <c r="N2110" t="s">
        <v>8277</v>
      </c>
      <c r="O2110" s="11">
        <f t="shared" si="132"/>
        <v>107</v>
      </c>
      <c r="P2110" s="12">
        <f t="shared" si="133"/>
        <v>90</v>
      </c>
      <c r="Q2110" s="14" t="s">
        <v>8322</v>
      </c>
      <c r="R2110" t="s">
        <v>8326</v>
      </c>
      <c r="S2110" s="17">
        <f t="shared" si="134"/>
        <v>41135.175694444442</v>
      </c>
      <c r="T2110" s="17">
        <f t="shared" si="135"/>
        <v>41162.163194444445</v>
      </c>
      <c r="U2110">
        <f>MONTH(Table1[[#This Row],[Launched]])</f>
        <v>8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 s="8">
        <v>1436115617</v>
      </c>
      <c r="J2111">
        <v>1433523617</v>
      </c>
      <c r="K2111" t="b">
        <v>0</v>
      </c>
      <c r="L2111" s="10">
        <v>40</v>
      </c>
      <c r="M2111" t="b">
        <v>1</v>
      </c>
      <c r="N2111" t="s">
        <v>8277</v>
      </c>
      <c r="O2111" s="11">
        <f t="shared" si="132"/>
        <v>107</v>
      </c>
      <c r="P2111" s="12">
        <f t="shared" si="133"/>
        <v>107</v>
      </c>
      <c r="Q2111" s="14" t="s">
        <v>8322</v>
      </c>
      <c r="R2111" t="s">
        <v>8326</v>
      </c>
      <c r="S2111" s="17">
        <f t="shared" si="134"/>
        <v>42160.708530092597</v>
      </c>
      <c r="T2111" s="17">
        <f t="shared" si="135"/>
        <v>42190.708530092597</v>
      </c>
      <c r="U2111">
        <f>MONTH(Table1[[#This Row],[Launched]])</f>
        <v>6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 s="8">
        <v>1401253140</v>
      </c>
      <c r="J2112">
        <v>1398873969</v>
      </c>
      <c r="K2112" t="b">
        <v>0</v>
      </c>
      <c r="L2112" s="10">
        <v>38</v>
      </c>
      <c r="M2112" t="b">
        <v>1</v>
      </c>
      <c r="N2112" t="s">
        <v>8277</v>
      </c>
      <c r="O2112" s="11">
        <f t="shared" si="132"/>
        <v>100</v>
      </c>
      <c r="P2112" s="12">
        <f t="shared" si="133"/>
        <v>53</v>
      </c>
      <c r="Q2112" s="14" t="s">
        <v>8322</v>
      </c>
      <c r="R2112" t="s">
        <v>8326</v>
      </c>
      <c r="S2112" s="17">
        <f t="shared" si="134"/>
        <v>41759.670937499999</v>
      </c>
      <c r="T2112" s="17">
        <f t="shared" si="135"/>
        <v>41787.207638888889</v>
      </c>
      <c r="U2112">
        <f>MONTH(Table1[[#This Row],[Launched]])</f>
        <v>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 s="8">
        <v>1313370000</v>
      </c>
      <c r="J2113">
        <v>1307594625</v>
      </c>
      <c r="K2113" t="b">
        <v>0</v>
      </c>
      <c r="L2113" s="10">
        <v>39</v>
      </c>
      <c r="M2113" t="b">
        <v>1</v>
      </c>
      <c r="N2113" t="s">
        <v>8277</v>
      </c>
      <c r="O2113" s="11">
        <f t="shared" si="132"/>
        <v>107</v>
      </c>
      <c r="P2113" s="12">
        <f t="shared" si="133"/>
        <v>55</v>
      </c>
      <c r="Q2113" s="14" t="s">
        <v>8322</v>
      </c>
      <c r="R2113" t="s">
        <v>8326</v>
      </c>
      <c r="S2113" s="17">
        <f t="shared" si="134"/>
        <v>40703.197048611109</v>
      </c>
      <c r="T2113" s="17">
        <f t="shared" si="135"/>
        <v>40770.041666666664</v>
      </c>
      <c r="U2113">
        <f>MONTH(Table1[[#This Row],[Launched]])</f>
        <v>6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8218</v>
      </c>
      <c r="G2114" t="s">
        <v>8223</v>
      </c>
      <c r="H2114" t="s">
        <v>8245</v>
      </c>
      <c r="I2114" s="8">
        <v>1366064193</v>
      </c>
      <c r="J2114">
        <v>1364854593</v>
      </c>
      <c r="K2114" t="b">
        <v>0</v>
      </c>
      <c r="L2114" s="10">
        <v>11</v>
      </c>
      <c r="M2114" t="b">
        <v>1</v>
      </c>
      <c r="N2114" t="s">
        <v>8277</v>
      </c>
      <c r="O2114" s="11">
        <f t="shared" ref="O2114:O2177" si="136">ROUND(E2114/D2114*100,0)</f>
        <v>100</v>
      </c>
      <c r="P2114" s="12">
        <f t="shared" si="133"/>
        <v>27</v>
      </c>
      <c r="Q2114" s="14" t="s">
        <v>8322</v>
      </c>
      <c r="R2114" t="s">
        <v>8326</v>
      </c>
      <c r="S2114" s="17">
        <f t="shared" si="134"/>
        <v>41365.928159722222</v>
      </c>
      <c r="T2114" s="17">
        <f t="shared" si="135"/>
        <v>41379.928159722222</v>
      </c>
      <c r="U2114">
        <f>MONTH(Table1[[#This Row],[Launched]])</f>
        <v>4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 s="8">
        <v>1411505176</v>
      </c>
      <c r="J2115">
        <v>1408481176</v>
      </c>
      <c r="K2115" t="b">
        <v>0</v>
      </c>
      <c r="L2115" s="10">
        <v>107</v>
      </c>
      <c r="M2115" t="b">
        <v>1</v>
      </c>
      <c r="N2115" t="s">
        <v>8277</v>
      </c>
      <c r="O2115" s="11">
        <f t="shared" si="136"/>
        <v>105</v>
      </c>
      <c r="P2115" s="12">
        <f t="shared" ref="P2115:P2178" si="137">IFERROR(ROUND(E2115/L2115,),"No Backers")</f>
        <v>69</v>
      </c>
      <c r="Q2115" s="14" t="s">
        <v>8322</v>
      </c>
      <c r="R2115" t="s">
        <v>8326</v>
      </c>
      <c r="S2115" s="17">
        <f t="shared" ref="S2115:S2178" si="138">(((J2115/60)/60)/24)+DATE(1970,1,1)</f>
        <v>41870.86546296296</v>
      </c>
      <c r="T2115" s="17">
        <f t="shared" ref="T2115:T2178" si="139">(((I2115/60)/60)/24)+DATE(1970,1,1)</f>
        <v>41905.86546296296</v>
      </c>
      <c r="U2115">
        <f>MONTH(Table1[[#This Row],[Launched]])</f>
        <v>8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 s="8">
        <v>1291870740</v>
      </c>
      <c r="J2116">
        <v>1286480070</v>
      </c>
      <c r="K2116" t="b">
        <v>0</v>
      </c>
      <c r="L2116" s="10">
        <v>147</v>
      </c>
      <c r="M2116" t="b">
        <v>1</v>
      </c>
      <c r="N2116" t="s">
        <v>8277</v>
      </c>
      <c r="O2116" s="11">
        <f t="shared" si="136"/>
        <v>105</v>
      </c>
      <c r="P2116" s="12">
        <f t="shared" si="137"/>
        <v>36</v>
      </c>
      <c r="Q2116" s="14" t="s">
        <v>8322</v>
      </c>
      <c r="R2116" t="s">
        <v>8326</v>
      </c>
      <c r="S2116" s="17">
        <f t="shared" si="138"/>
        <v>40458.815625000003</v>
      </c>
      <c r="T2116" s="17">
        <f t="shared" si="139"/>
        <v>40521.207638888889</v>
      </c>
      <c r="U2116">
        <f>MONTH(Table1[[#This Row],[Launched]])</f>
        <v>10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 s="8">
        <v>1298167001</v>
      </c>
      <c r="J2117">
        <v>1295575001</v>
      </c>
      <c r="K2117" t="b">
        <v>0</v>
      </c>
      <c r="L2117" s="10">
        <v>36</v>
      </c>
      <c r="M2117" t="b">
        <v>1</v>
      </c>
      <c r="N2117" t="s">
        <v>8277</v>
      </c>
      <c r="O2117" s="11">
        <f t="shared" si="136"/>
        <v>226</v>
      </c>
      <c r="P2117" s="12">
        <f t="shared" si="137"/>
        <v>94</v>
      </c>
      <c r="Q2117" s="14" t="s">
        <v>8322</v>
      </c>
      <c r="R2117" t="s">
        <v>8326</v>
      </c>
      <c r="S2117" s="17">
        <f t="shared" si="138"/>
        <v>40564.081030092595</v>
      </c>
      <c r="T2117" s="17">
        <f t="shared" si="139"/>
        <v>40594.081030092595</v>
      </c>
      <c r="U2117">
        <f>MONTH(Table1[[#This Row],[Launched]])</f>
        <v>1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 s="8">
        <v>1349203203</v>
      </c>
      <c r="J2118">
        <v>1345056003</v>
      </c>
      <c r="K2118" t="b">
        <v>0</v>
      </c>
      <c r="L2118" s="10">
        <v>92</v>
      </c>
      <c r="M2118" t="b">
        <v>1</v>
      </c>
      <c r="N2118" t="s">
        <v>8277</v>
      </c>
      <c r="O2118" s="11">
        <f t="shared" si="136"/>
        <v>101</v>
      </c>
      <c r="P2118" s="12">
        <f t="shared" si="137"/>
        <v>526</v>
      </c>
      <c r="Q2118" s="14" t="s">
        <v>8322</v>
      </c>
      <c r="R2118" t="s">
        <v>8326</v>
      </c>
      <c r="S2118" s="17">
        <f t="shared" si="138"/>
        <v>41136.777812500004</v>
      </c>
      <c r="T2118" s="17">
        <f t="shared" si="139"/>
        <v>41184.777812500004</v>
      </c>
      <c r="U2118">
        <f>MONTH(Table1[[#This Row],[Launched]])</f>
        <v>8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 s="8">
        <v>1445921940</v>
      </c>
      <c r="J2119">
        <v>1444699549</v>
      </c>
      <c r="K2119" t="b">
        <v>0</v>
      </c>
      <c r="L2119" s="10">
        <v>35</v>
      </c>
      <c r="M2119" t="b">
        <v>1</v>
      </c>
      <c r="N2119" t="s">
        <v>8277</v>
      </c>
      <c r="O2119" s="11">
        <f t="shared" si="136"/>
        <v>148</v>
      </c>
      <c r="P2119" s="12">
        <f t="shared" si="137"/>
        <v>51</v>
      </c>
      <c r="Q2119" s="14" t="s">
        <v>8322</v>
      </c>
      <c r="R2119" t="s">
        <v>8326</v>
      </c>
      <c r="S2119" s="17">
        <f t="shared" si="138"/>
        <v>42290.059594907405</v>
      </c>
      <c r="T2119" s="17">
        <f t="shared" si="139"/>
        <v>42304.207638888889</v>
      </c>
      <c r="U2119">
        <f>MONTH(Table1[[#This Row],[Launched]])</f>
        <v>10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 s="8">
        <v>1311538136</v>
      </c>
      <c r="J2120">
        <v>1308946136</v>
      </c>
      <c r="K2120" t="b">
        <v>0</v>
      </c>
      <c r="L2120" s="10">
        <v>17</v>
      </c>
      <c r="M2120" t="b">
        <v>1</v>
      </c>
      <c r="N2120" t="s">
        <v>8277</v>
      </c>
      <c r="O2120" s="11">
        <f t="shared" si="136"/>
        <v>135</v>
      </c>
      <c r="P2120" s="12">
        <f t="shared" si="137"/>
        <v>79</v>
      </c>
      <c r="Q2120" s="14" t="s">
        <v>8322</v>
      </c>
      <c r="R2120" t="s">
        <v>8326</v>
      </c>
      <c r="S2120" s="17">
        <f t="shared" si="138"/>
        <v>40718.839537037034</v>
      </c>
      <c r="T2120" s="17">
        <f t="shared" si="139"/>
        <v>40748.839537037034</v>
      </c>
      <c r="U2120">
        <f>MONTH(Table1[[#This Row],[Launched]])</f>
        <v>6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 s="8">
        <v>1345086445</v>
      </c>
      <c r="J2121">
        <v>1342494445</v>
      </c>
      <c r="K2121" t="b">
        <v>0</v>
      </c>
      <c r="L2121" s="10">
        <v>22</v>
      </c>
      <c r="M2121" t="b">
        <v>1</v>
      </c>
      <c r="N2121" t="s">
        <v>8277</v>
      </c>
      <c r="O2121" s="11">
        <f t="shared" si="136"/>
        <v>101</v>
      </c>
      <c r="P2121" s="12">
        <f t="shared" si="137"/>
        <v>92</v>
      </c>
      <c r="Q2121" s="14" t="s">
        <v>8322</v>
      </c>
      <c r="R2121" t="s">
        <v>8326</v>
      </c>
      <c r="S2121" s="17">
        <f t="shared" si="138"/>
        <v>41107.130150462966</v>
      </c>
      <c r="T2121" s="17">
        <f t="shared" si="139"/>
        <v>41137.130150462966</v>
      </c>
      <c r="U2121">
        <f>MONTH(Table1[[#This Row],[Launched]])</f>
        <v>7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 s="8">
        <v>1388617736</v>
      </c>
      <c r="J2122">
        <v>1384384136</v>
      </c>
      <c r="K2122" t="b">
        <v>0</v>
      </c>
      <c r="L2122" s="10">
        <v>69</v>
      </c>
      <c r="M2122" t="b">
        <v>1</v>
      </c>
      <c r="N2122" t="s">
        <v>8277</v>
      </c>
      <c r="O2122" s="11">
        <f t="shared" si="136"/>
        <v>101</v>
      </c>
      <c r="P2122" s="12">
        <f t="shared" si="137"/>
        <v>117</v>
      </c>
      <c r="Q2122" s="14" t="s">
        <v>8322</v>
      </c>
      <c r="R2122" t="s">
        <v>8326</v>
      </c>
      <c r="S2122" s="17">
        <f t="shared" si="138"/>
        <v>41591.964537037034</v>
      </c>
      <c r="T2122" s="17">
        <f t="shared" si="139"/>
        <v>41640.964537037034</v>
      </c>
      <c r="U2122">
        <f>MONTH(Table1[[#This Row],[Launched]])</f>
        <v>11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 s="8">
        <v>1484156948</v>
      </c>
      <c r="J2123">
        <v>1481564948</v>
      </c>
      <c r="K2123" t="b">
        <v>0</v>
      </c>
      <c r="L2123" s="10">
        <v>10</v>
      </c>
      <c r="M2123" t="b">
        <v>0</v>
      </c>
      <c r="N2123" t="s">
        <v>8280</v>
      </c>
      <c r="O2123" s="11">
        <f t="shared" si="136"/>
        <v>1</v>
      </c>
      <c r="P2123" s="12">
        <f t="shared" si="137"/>
        <v>28</v>
      </c>
      <c r="Q2123" s="14" t="s">
        <v>8330</v>
      </c>
      <c r="R2123" t="s">
        <v>8331</v>
      </c>
      <c r="S2123" s="17">
        <f t="shared" si="138"/>
        <v>42716.7424537037</v>
      </c>
      <c r="T2123" s="17">
        <f t="shared" si="139"/>
        <v>42746.7424537037</v>
      </c>
      <c r="U2123">
        <f>MONTH(Table1[[#This Row],[Launched]])</f>
        <v>12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 s="8">
        <v>1483773169</v>
      </c>
      <c r="J2124">
        <v>1481181169</v>
      </c>
      <c r="K2124" t="b">
        <v>0</v>
      </c>
      <c r="L2124" s="10">
        <v>3</v>
      </c>
      <c r="M2124" t="b">
        <v>0</v>
      </c>
      <c r="N2124" t="s">
        <v>8280</v>
      </c>
      <c r="O2124" s="11">
        <f t="shared" si="136"/>
        <v>0</v>
      </c>
      <c r="P2124" s="12">
        <f t="shared" si="137"/>
        <v>103</v>
      </c>
      <c r="Q2124" s="14" t="s">
        <v>8330</v>
      </c>
      <c r="R2124" t="s">
        <v>8331</v>
      </c>
      <c r="S2124" s="17">
        <f t="shared" si="138"/>
        <v>42712.300567129627</v>
      </c>
      <c r="T2124" s="17">
        <f t="shared" si="139"/>
        <v>42742.300567129627</v>
      </c>
      <c r="U2124">
        <f>MONTH(Table1[[#This Row],[Launched]])</f>
        <v>12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8220</v>
      </c>
      <c r="G2125" t="s">
        <v>8223</v>
      </c>
      <c r="H2125" t="s">
        <v>8245</v>
      </c>
      <c r="I2125" s="8">
        <v>1268636340</v>
      </c>
      <c r="J2125">
        <v>1263982307</v>
      </c>
      <c r="K2125" t="b">
        <v>0</v>
      </c>
      <c r="L2125" s="10">
        <v>5</v>
      </c>
      <c r="M2125" t="b">
        <v>0</v>
      </c>
      <c r="N2125" t="s">
        <v>8280</v>
      </c>
      <c r="O2125" s="11">
        <f t="shared" si="136"/>
        <v>10</v>
      </c>
      <c r="P2125" s="12">
        <f t="shared" si="137"/>
        <v>10</v>
      </c>
      <c r="Q2125" s="14" t="s">
        <v>8330</v>
      </c>
      <c r="R2125" t="s">
        <v>8331</v>
      </c>
      <c r="S2125" s="17">
        <f t="shared" si="138"/>
        <v>40198.424849537041</v>
      </c>
      <c r="T2125" s="17">
        <f t="shared" si="139"/>
        <v>40252.290972222225</v>
      </c>
      <c r="U2125">
        <f>MONTH(Table1[[#This Row],[Launched]])</f>
        <v>1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8220</v>
      </c>
      <c r="G2126" t="s">
        <v>8223</v>
      </c>
      <c r="H2126" t="s">
        <v>8245</v>
      </c>
      <c r="I2126" s="8">
        <v>1291093200</v>
      </c>
      <c r="J2126">
        <v>1286930435</v>
      </c>
      <c r="K2126" t="b">
        <v>0</v>
      </c>
      <c r="L2126" s="10">
        <v>5</v>
      </c>
      <c r="M2126" t="b">
        <v>0</v>
      </c>
      <c r="N2126" t="s">
        <v>8280</v>
      </c>
      <c r="O2126" s="11">
        <f t="shared" si="136"/>
        <v>10</v>
      </c>
      <c r="P2126" s="12">
        <f t="shared" si="137"/>
        <v>23</v>
      </c>
      <c r="Q2126" s="14" t="s">
        <v>8330</v>
      </c>
      <c r="R2126" t="s">
        <v>8331</v>
      </c>
      <c r="S2126" s="17">
        <f t="shared" si="138"/>
        <v>40464.028182870366</v>
      </c>
      <c r="T2126" s="17">
        <f t="shared" si="139"/>
        <v>40512.208333333336</v>
      </c>
      <c r="U2126">
        <f>MONTH(Table1[[#This Row],[Launched]])</f>
        <v>10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 s="8">
        <v>1438734833</v>
      </c>
      <c r="J2127">
        <v>1436142833</v>
      </c>
      <c r="K2127" t="b">
        <v>0</v>
      </c>
      <c r="L2127" s="10">
        <v>27</v>
      </c>
      <c r="M2127" t="b">
        <v>0</v>
      </c>
      <c r="N2127" t="s">
        <v>8280</v>
      </c>
      <c r="O2127" s="11">
        <f t="shared" si="136"/>
        <v>1</v>
      </c>
      <c r="P2127" s="12">
        <f t="shared" si="137"/>
        <v>32</v>
      </c>
      <c r="Q2127" s="14" t="s">
        <v>8330</v>
      </c>
      <c r="R2127" t="s">
        <v>8331</v>
      </c>
      <c r="S2127" s="17">
        <f t="shared" si="138"/>
        <v>42191.023530092592</v>
      </c>
      <c r="T2127" s="17">
        <f t="shared" si="139"/>
        <v>42221.023530092592</v>
      </c>
      <c r="U2127">
        <f>MONTH(Table1[[#This Row],[Launched]])</f>
        <v>7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8220</v>
      </c>
      <c r="G2128" t="s">
        <v>8223</v>
      </c>
      <c r="H2128" t="s">
        <v>8245</v>
      </c>
      <c r="I2128" s="8">
        <v>1418080887</v>
      </c>
      <c r="J2128">
        <v>1415488887</v>
      </c>
      <c r="K2128" t="b">
        <v>0</v>
      </c>
      <c r="L2128" s="10">
        <v>2</v>
      </c>
      <c r="M2128" t="b">
        <v>0</v>
      </c>
      <c r="N2128" t="s">
        <v>8280</v>
      </c>
      <c r="O2128" s="11">
        <f t="shared" si="136"/>
        <v>0</v>
      </c>
      <c r="P2128" s="12">
        <f t="shared" si="137"/>
        <v>5</v>
      </c>
      <c r="Q2128" s="14" t="s">
        <v>8330</v>
      </c>
      <c r="R2128" t="s">
        <v>8331</v>
      </c>
      <c r="S2128" s="17">
        <f t="shared" si="138"/>
        <v>41951.973229166666</v>
      </c>
      <c r="T2128" s="17">
        <f t="shared" si="139"/>
        <v>41981.973229166666</v>
      </c>
      <c r="U2128">
        <f>MONTH(Table1[[#This Row],[Launched]])</f>
        <v>11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 s="8">
        <v>1426158463</v>
      </c>
      <c r="J2129">
        <v>1423570063</v>
      </c>
      <c r="K2129" t="b">
        <v>0</v>
      </c>
      <c r="L2129" s="10">
        <v>236</v>
      </c>
      <c r="M2129" t="b">
        <v>0</v>
      </c>
      <c r="N2129" t="s">
        <v>8280</v>
      </c>
      <c r="O2129" s="11">
        <f t="shared" si="136"/>
        <v>29</v>
      </c>
      <c r="P2129" s="12">
        <f t="shared" si="137"/>
        <v>34</v>
      </c>
      <c r="Q2129" s="14" t="s">
        <v>8330</v>
      </c>
      <c r="R2129" t="s">
        <v>8331</v>
      </c>
      <c r="S2129" s="17">
        <f t="shared" si="138"/>
        <v>42045.50535879629</v>
      </c>
      <c r="T2129" s="17">
        <f t="shared" si="139"/>
        <v>42075.463692129633</v>
      </c>
      <c r="U2129">
        <f>MONTH(Table1[[#This Row],[Launched]])</f>
        <v>2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8220</v>
      </c>
      <c r="G2130" t="s">
        <v>8228</v>
      </c>
      <c r="H2130" t="s">
        <v>8250</v>
      </c>
      <c r="I2130" s="8">
        <v>1411324369</v>
      </c>
      <c r="J2130">
        <v>1406140369</v>
      </c>
      <c r="K2130" t="b">
        <v>0</v>
      </c>
      <c r="L2130" s="10">
        <v>1</v>
      </c>
      <c r="M2130" t="b">
        <v>0</v>
      </c>
      <c r="N2130" t="s">
        <v>8280</v>
      </c>
      <c r="O2130" s="11">
        <f t="shared" si="136"/>
        <v>0</v>
      </c>
      <c r="P2130" s="12">
        <f t="shared" si="137"/>
        <v>25</v>
      </c>
      <c r="Q2130" s="14" t="s">
        <v>8330</v>
      </c>
      <c r="R2130" t="s">
        <v>8331</v>
      </c>
      <c r="S2130" s="17">
        <f t="shared" si="138"/>
        <v>41843.772789351853</v>
      </c>
      <c r="T2130" s="17">
        <f t="shared" si="139"/>
        <v>41903.772789351853</v>
      </c>
      <c r="U2130">
        <f>MONTH(Table1[[#This Row],[Launched]])</f>
        <v>7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8220</v>
      </c>
      <c r="G2131" t="s">
        <v>8223</v>
      </c>
      <c r="H2131" t="s">
        <v>8245</v>
      </c>
      <c r="I2131" s="8">
        <v>1457570100</v>
      </c>
      <c r="J2131">
        <v>1454978100</v>
      </c>
      <c r="K2131" t="b">
        <v>0</v>
      </c>
      <c r="L2131" s="10">
        <v>12</v>
      </c>
      <c r="M2131" t="b">
        <v>0</v>
      </c>
      <c r="N2131" t="s">
        <v>8280</v>
      </c>
      <c r="O2131" s="11">
        <f t="shared" si="136"/>
        <v>12</v>
      </c>
      <c r="P2131" s="12">
        <f t="shared" si="137"/>
        <v>20</v>
      </c>
      <c r="Q2131" s="14" t="s">
        <v>8330</v>
      </c>
      <c r="R2131" t="s">
        <v>8331</v>
      </c>
      <c r="S2131" s="17">
        <f t="shared" si="138"/>
        <v>42409.024305555555</v>
      </c>
      <c r="T2131" s="17">
        <f t="shared" si="139"/>
        <v>42439.024305555555</v>
      </c>
      <c r="U2131">
        <f>MONTH(Table1[[#This Row],[Launched]])</f>
        <v>2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8220</v>
      </c>
      <c r="G2132" t="s">
        <v>8223</v>
      </c>
      <c r="H2132" t="s">
        <v>8245</v>
      </c>
      <c r="I2132" s="8">
        <v>1408154663</v>
      </c>
      <c r="J2132">
        <v>1405130663</v>
      </c>
      <c r="K2132" t="b">
        <v>0</v>
      </c>
      <c r="L2132" s="10">
        <v>4</v>
      </c>
      <c r="M2132" t="b">
        <v>0</v>
      </c>
      <c r="N2132" t="s">
        <v>8280</v>
      </c>
      <c r="O2132" s="11">
        <f t="shared" si="136"/>
        <v>0</v>
      </c>
      <c r="P2132" s="12">
        <f t="shared" si="137"/>
        <v>21</v>
      </c>
      <c r="Q2132" s="14" t="s">
        <v>8330</v>
      </c>
      <c r="R2132" t="s">
        <v>8331</v>
      </c>
      <c r="S2132" s="17">
        <f t="shared" si="138"/>
        <v>41832.086377314816</v>
      </c>
      <c r="T2132" s="17">
        <f t="shared" si="139"/>
        <v>41867.086377314816</v>
      </c>
      <c r="U2132">
        <f>MONTH(Table1[[#This Row],[Launched]])</f>
        <v>7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8220</v>
      </c>
      <c r="G2133" t="s">
        <v>8223</v>
      </c>
      <c r="H2133" t="s">
        <v>8245</v>
      </c>
      <c r="I2133" s="8">
        <v>1436677091</v>
      </c>
      <c r="J2133">
        <v>1434085091</v>
      </c>
      <c r="K2133" t="b">
        <v>0</v>
      </c>
      <c r="L2133" s="10">
        <v>3</v>
      </c>
      <c r="M2133" t="b">
        <v>0</v>
      </c>
      <c r="N2133" t="s">
        <v>8280</v>
      </c>
      <c r="O2133" s="11">
        <f t="shared" si="136"/>
        <v>5</v>
      </c>
      <c r="P2133" s="12">
        <f t="shared" si="137"/>
        <v>8</v>
      </c>
      <c r="Q2133" s="14" t="s">
        <v>8330</v>
      </c>
      <c r="R2133" t="s">
        <v>8331</v>
      </c>
      <c r="S2133" s="17">
        <f t="shared" si="138"/>
        <v>42167.207071759258</v>
      </c>
      <c r="T2133" s="17">
        <f t="shared" si="139"/>
        <v>42197.207071759258</v>
      </c>
      <c r="U2133">
        <f>MONTH(Table1[[#This Row],[Launched]])</f>
        <v>6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 s="8">
        <v>1391427692</v>
      </c>
      <c r="J2134">
        <v>1388835692</v>
      </c>
      <c r="K2134" t="b">
        <v>0</v>
      </c>
      <c r="L2134" s="10">
        <v>99</v>
      </c>
      <c r="M2134" t="b">
        <v>0</v>
      </c>
      <c r="N2134" t="s">
        <v>8280</v>
      </c>
      <c r="O2134" s="11">
        <f t="shared" si="136"/>
        <v>2</v>
      </c>
      <c r="P2134" s="12">
        <f t="shared" si="137"/>
        <v>21</v>
      </c>
      <c r="Q2134" s="14" t="s">
        <v>8330</v>
      </c>
      <c r="R2134" t="s">
        <v>8331</v>
      </c>
      <c r="S2134" s="17">
        <f t="shared" si="138"/>
        <v>41643.487175925926</v>
      </c>
      <c r="T2134" s="17">
        <f t="shared" si="139"/>
        <v>41673.487175925926</v>
      </c>
      <c r="U2134">
        <f>MONTH(Table1[[#This Row],[Launched]])</f>
        <v>1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8220</v>
      </c>
      <c r="G2135" t="s">
        <v>8223</v>
      </c>
      <c r="H2135" t="s">
        <v>8245</v>
      </c>
      <c r="I2135" s="8">
        <v>1303628340</v>
      </c>
      <c r="J2135">
        <v>1300328399</v>
      </c>
      <c r="K2135" t="b">
        <v>0</v>
      </c>
      <c r="L2135" s="10">
        <v>3</v>
      </c>
      <c r="M2135" t="b">
        <v>0</v>
      </c>
      <c r="N2135" t="s">
        <v>8280</v>
      </c>
      <c r="O2135" s="11">
        <f t="shared" si="136"/>
        <v>2</v>
      </c>
      <c r="P2135" s="12">
        <f t="shared" si="137"/>
        <v>5</v>
      </c>
      <c r="Q2135" s="14" t="s">
        <v>8330</v>
      </c>
      <c r="R2135" t="s">
        <v>8331</v>
      </c>
      <c r="S2135" s="17">
        <f t="shared" si="138"/>
        <v>40619.097210648149</v>
      </c>
      <c r="T2135" s="17">
        <f t="shared" si="139"/>
        <v>40657.290972222225</v>
      </c>
      <c r="U2135">
        <f>MONTH(Table1[[#This Row],[Launched]])</f>
        <v>3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8220</v>
      </c>
      <c r="G2136" t="s">
        <v>8223</v>
      </c>
      <c r="H2136" t="s">
        <v>8245</v>
      </c>
      <c r="I2136" s="8">
        <v>1367097391</v>
      </c>
      <c r="J2136">
        <v>1364505391</v>
      </c>
      <c r="K2136" t="b">
        <v>0</v>
      </c>
      <c r="L2136" s="10">
        <v>3</v>
      </c>
      <c r="M2136" t="b">
        <v>0</v>
      </c>
      <c r="N2136" t="s">
        <v>8280</v>
      </c>
      <c r="O2136" s="11">
        <f t="shared" si="136"/>
        <v>2</v>
      </c>
      <c r="P2136" s="12">
        <f t="shared" si="137"/>
        <v>35</v>
      </c>
      <c r="Q2136" s="14" t="s">
        <v>8330</v>
      </c>
      <c r="R2136" t="s">
        <v>8331</v>
      </c>
      <c r="S2136" s="17">
        <f t="shared" si="138"/>
        <v>41361.886469907404</v>
      </c>
      <c r="T2136" s="17">
        <f t="shared" si="139"/>
        <v>41391.886469907404</v>
      </c>
      <c r="U2136">
        <f>MONTH(Table1[[#This Row],[Launched]])</f>
        <v>3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8220</v>
      </c>
      <c r="G2137" t="s">
        <v>8223</v>
      </c>
      <c r="H2137" t="s">
        <v>8245</v>
      </c>
      <c r="I2137" s="8">
        <v>1349392033</v>
      </c>
      <c r="J2137">
        <v>1346800033</v>
      </c>
      <c r="K2137" t="b">
        <v>0</v>
      </c>
      <c r="L2137" s="10">
        <v>22</v>
      </c>
      <c r="M2137" t="b">
        <v>0</v>
      </c>
      <c r="N2137" t="s">
        <v>8280</v>
      </c>
      <c r="O2137" s="11">
        <f t="shared" si="136"/>
        <v>10</v>
      </c>
      <c r="P2137" s="12">
        <f t="shared" si="137"/>
        <v>22</v>
      </c>
      <c r="Q2137" s="14" t="s">
        <v>8330</v>
      </c>
      <c r="R2137" t="s">
        <v>8331</v>
      </c>
      <c r="S2137" s="17">
        <f t="shared" si="138"/>
        <v>41156.963344907403</v>
      </c>
      <c r="T2137" s="17">
        <f t="shared" si="139"/>
        <v>41186.963344907403</v>
      </c>
      <c r="U2137">
        <f>MONTH(Table1[[#This Row],[Launched]])</f>
        <v>9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 s="8">
        <v>1382184786</v>
      </c>
      <c r="J2138">
        <v>1379592786</v>
      </c>
      <c r="K2138" t="b">
        <v>0</v>
      </c>
      <c r="L2138" s="10">
        <v>4</v>
      </c>
      <c r="M2138" t="b">
        <v>0</v>
      </c>
      <c r="N2138" t="s">
        <v>8280</v>
      </c>
      <c r="O2138" s="11">
        <f t="shared" si="136"/>
        <v>0</v>
      </c>
      <c r="P2138" s="12">
        <f t="shared" si="137"/>
        <v>12</v>
      </c>
      <c r="Q2138" s="14" t="s">
        <v>8330</v>
      </c>
      <c r="R2138" t="s">
        <v>8331</v>
      </c>
      <c r="S2138" s="17">
        <f t="shared" si="138"/>
        <v>41536.509097222224</v>
      </c>
      <c r="T2138" s="17">
        <f t="shared" si="139"/>
        <v>41566.509097222224</v>
      </c>
      <c r="U2138">
        <f>MONTH(Table1[[#This Row],[Launched]])</f>
        <v>9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 s="8">
        <v>1417804229</v>
      </c>
      <c r="J2139">
        <v>1415212229</v>
      </c>
      <c r="K2139" t="b">
        <v>0</v>
      </c>
      <c r="L2139" s="10">
        <v>534</v>
      </c>
      <c r="M2139" t="b">
        <v>0</v>
      </c>
      <c r="N2139" t="s">
        <v>8280</v>
      </c>
      <c r="O2139" s="11">
        <f t="shared" si="136"/>
        <v>28</v>
      </c>
      <c r="P2139" s="12">
        <f t="shared" si="137"/>
        <v>27</v>
      </c>
      <c r="Q2139" s="14" t="s">
        <v>8330</v>
      </c>
      <c r="R2139" t="s">
        <v>8331</v>
      </c>
      <c r="S2139" s="17">
        <f t="shared" si="138"/>
        <v>41948.771168981482</v>
      </c>
      <c r="T2139" s="17">
        <f t="shared" si="139"/>
        <v>41978.771168981482</v>
      </c>
      <c r="U2139">
        <f>MONTH(Table1[[#This Row],[Launched]])</f>
        <v>11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8220</v>
      </c>
      <c r="G2140" t="s">
        <v>8224</v>
      </c>
      <c r="H2140" t="s">
        <v>8246</v>
      </c>
      <c r="I2140" s="8">
        <v>1383959939</v>
      </c>
      <c r="J2140">
        <v>1381364339</v>
      </c>
      <c r="K2140" t="b">
        <v>0</v>
      </c>
      <c r="L2140" s="10">
        <v>12</v>
      </c>
      <c r="M2140" t="b">
        <v>0</v>
      </c>
      <c r="N2140" t="s">
        <v>8280</v>
      </c>
      <c r="O2140" s="11">
        <f t="shared" si="136"/>
        <v>13</v>
      </c>
      <c r="P2140" s="12">
        <f t="shared" si="137"/>
        <v>11</v>
      </c>
      <c r="Q2140" s="14" t="s">
        <v>8330</v>
      </c>
      <c r="R2140" t="s">
        <v>8331</v>
      </c>
      <c r="S2140" s="17">
        <f t="shared" si="138"/>
        <v>41557.013182870374</v>
      </c>
      <c r="T2140" s="17">
        <f t="shared" si="139"/>
        <v>41587.054849537039</v>
      </c>
      <c r="U2140">
        <f>MONTH(Table1[[#This Row],[Launched]])</f>
        <v>10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 s="8">
        <v>1478196008</v>
      </c>
      <c r="J2141">
        <v>1475604008</v>
      </c>
      <c r="K2141" t="b">
        <v>0</v>
      </c>
      <c r="L2141" s="10">
        <v>56</v>
      </c>
      <c r="M2141" t="b">
        <v>0</v>
      </c>
      <c r="N2141" t="s">
        <v>8280</v>
      </c>
      <c r="O2141" s="11">
        <f t="shared" si="136"/>
        <v>5</v>
      </c>
      <c r="P2141" s="12">
        <f t="shared" si="137"/>
        <v>29</v>
      </c>
      <c r="Q2141" s="14" t="s">
        <v>8330</v>
      </c>
      <c r="R2141" t="s">
        <v>8331</v>
      </c>
      <c r="S2141" s="17">
        <f t="shared" si="138"/>
        <v>42647.750092592592</v>
      </c>
      <c r="T2141" s="17">
        <f t="shared" si="139"/>
        <v>42677.750092592592</v>
      </c>
      <c r="U2141">
        <f>MONTH(Table1[[#This Row],[Launched]])</f>
        <v>10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 s="8">
        <v>1357934424</v>
      </c>
      <c r="J2142">
        <v>1355342424</v>
      </c>
      <c r="K2142" t="b">
        <v>0</v>
      </c>
      <c r="L2142" s="10">
        <v>11</v>
      </c>
      <c r="M2142" t="b">
        <v>0</v>
      </c>
      <c r="N2142" t="s">
        <v>8280</v>
      </c>
      <c r="O2142" s="11">
        <f t="shared" si="136"/>
        <v>0</v>
      </c>
      <c r="P2142" s="12">
        <f t="shared" si="137"/>
        <v>51</v>
      </c>
      <c r="Q2142" s="14" t="s">
        <v>8330</v>
      </c>
      <c r="R2142" t="s">
        <v>8331</v>
      </c>
      <c r="S2142" s="17">
        <f t="shared" si="138"/>
        <v>41255.833611111113</v>
      </c>
      <c r="T2142" s="17">
        <f t="shared" si="139"/>
        <v>41285.833611111113</v>
      </c>
      <c r="U2142">
        <f>MONTH(Table1[[#This Row],[Launched]])</f>
        <v>12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8220</v>
      </c>
      <c r="G2143" t="s">
        <v>8223</v>
      </c>
      <c r="H2143" t="s">
        <v>8245</v>
      </c>
      <c r="I2143" s="8">
        <v>1415947159</v>
      </c>
      <c r="J2143">
        <v>1413351559</v>
      </c>
      <c r="K2143" t="b">
        <v>0</v>
      </c>
      <c r="L2143" s="10">
        <v>0</v>
      </c>
      <c r="M2143" t="b">
        <v>0</v>
      </c>
      <c r="N2143" t="s">
        <v>8280</v>
      </c>
      <c r="O2143" s="11">
        <f t="shared" si="136"/>
        <v>0</v>
      </c>
      <c r="P2143" s="12" t="str">
        <f t="shared" si="137"/>
        <v>No Backers</v>
      </c>
      <c r="Q2143" s="14" t="s">
        <v>8330</v>
      </c>
      <c r="R2143" t="s">
        <v>8331</v>
      </c>
      <c r="S2143" s="17">
        <f t="shared" si="138"/>
        <v>41927.235636574071</v>
      </c>
      <c r="T2143" s="17">
        <f t="shared" si="139"/>
        <v>41957.277303240742</v>
      </c>
      <c r="U2143">
        <f>MONTH(Table1[[#This Row],[Launched]])</f>
        <v>10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 s="8">
        <v>1451494210</v>
      </c>
      <c r="J2144">
        <v>1449075010</v>
      </c>
      <c r="K2144" t="b">
        <v>0</v>
      </c>
      <c r="L2144" s="10">
        <v>12</v>
      </c>
      <c r="M2144" t="b">
        <v>0</v>
      </c>
      <c r="N2144" t="s">
        <v>8280</v>
      </c>
      <c r="O2144" s="11">
        <f t="shared" si="136"/>
        <v>6</v>
      </c>
      <c r="P2144" s="12">
        <f t="shared" si="137"/>
        <v>50</v>
      </c>
      <c r="Q2144" s="14" t="s">
        <v>8330</v>
      </c>
      <c r="R2144" t="s">
        <v>8331</v>
      </c>
      <c r="S2144" s="17">
        <f t="shared" si="138"/>
        <v>42340.701504629629</v>
      </c>
      <c r="T2144" s="17">
        <f t="shared" si="139"/>
        <v>42368.701504629629</v>
      </c>
      <c r="U2144">
        <f>MONTH(Table1[[#This Row],[Launched]])</f>
        <v>12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8220</v>
      </c>
      <c r="G2145" t="s">
        <v>8223</v>
      </c>
      <c r="H2145" t="s">
        <v>8245</v>
      </c>
      <c r="I2145" s="8">
        <v>1279738800</v>
      </c>
      <c r="J2145">
        <v>1275599812</v>
      </c>
      <c r="K2145" t="b">
        <v>0</v>
      </c>
      <c r="L2145" s="10">
        <v>5</v>
      </c>
      <c r="M2145" t="b">
        <v>0</v>
      </c>
      <c r="N2145" t="s">
        <v>8280</v>
      </c>
      <c r="O2145" s="11">
        <f t="shared" si="136"/>
        <v>11</v>
      </c>
      <c r="P2145" s="12">
        <f t="shared" si="137"/>
        <v>45</v>
      </c>
      <c r="Q2145" s="14" t="s">
        <v>8330</v>
      </c>
      <c r="R2145" t="s">
        <v>8331</v>
      </c>
      <c r="S2145" s="17">
        <f t="shared" si="138"/>
        <v>40332.886712962965</v>
      </c>
      <c r="T2145" s="17">
        <f t="shared" si="139"/>
        <v>40380.791666666664</v>
      </c>
      <c r="U2145">
        <f>MONTH(Table1[[#This Row],[Launched]])</f>
        <v>6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 s="8">
        <v>1379164040</v>
      </c>
      <c r="J2146">
        <v>1376399240</v>
      </c>
      <c r="K2146" t="b">
        <v>0</v>
      </c>
      <c r="L2146" s="10">
        <v>24</v>
      </c>
      <c r="M2146" t="b">
        <v>0</v>
      </c>
      <c r="N2146" t="s">
        <v>8280</v>
      </c>
      <c r="O2146" s="11">
        <f t="shared" si="136"/>
        <v>2</v>
      </c>
      <c r="P2146" s="12">
        <f t="shared" si="137"/>
        <v>25</v>
      </c>
      <c r="Q2146" s="14" t="s">
        <v>8330</v>
      </c>
      <c r="R2146" t="s">
        <v>8331</v>
      </c>
      <c r="S2146" s="17">
        <f t="shared" si="138"/>
        <v>41499.546759259261</v>
      </c>
      <c r="T2146" s="17">
        <f t="shared" si="139"/>
        <v>41531.546759259261</v>
      </c>
      <c r="U2146">
        <f>MONTH(Table1[[#This Row],[Launched]])</f>
        <v>8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 s="8">
        <v>1385534514</v>
      </c>
      <c r="J2147">
        <v>1382938914</v>
      </c>
      <c r="K2147" t="b">
        <v>0</v>
      </c>
      <c r="L2147" s="10">
        <v>89</v>
      </c>
      <c r="M2147" t="b">
        <v>0</v>
      </c>
      <c r="N2147" t="s">
        <v>8280</v>
      </c>
      <c r="O2147" s="11">
        <f t="shared" si="136"/>
        <v>30</v>
      </c>
      <c r="P2147" s="12">
        <f t="shared" si="137"/>
        <v>51</v>
      </c>
      <c r="Q2147" s="14" t="s">
        <v>8330</v>
      </c>
      <c r="R2147" t="s">
        <v>8331</v>
      </c>
      <c r="S2147" s="17">
        <f t="shared" si="138"/>
        <v>41575.237430555557</v>
      </c>
      <c r="T2147" s="17">
        <f t="shared" si="139"/>
        <v>41605.279097222221</v>
      </c>
      <c r="U2147">
        <f>MONTH(Table1[[#This Row],[Launched]])</f>
        <v>10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8220</v>
      </c>
      <c r="G2148" t="s">
        <v>8223</v>
      </c>
      <c r="H2148" t="s">
        <v>8245</v>
      </c>
      <c r="I2148" s="8">
        <v>1455207510</v>
      </c>
      <c r="J2148">
        <v>1453997910</v>
      </c>
      <c r="K2148" t="b">
        <v>0</v>
      </c>
      <c r="L2148" s="10">
        <v>1</v>
      </c>
      <c r="M2148" t="b">
        <v>0</v>
      </c>
      <c r="N2148" t="s">
        <v>8280</v>
      </c>
      <c r="O2148" s="11">
        <f t="shared" si="136"/>
        <v>0</v>
      </c>
      <c r="P2148" s="12">
        <f t="shared" si="137"/>
        <v>1</v>
      </c>
      <c r="Q2148" s="14" t="s">
        <v>8330</v>
      </c>
      <c r="R2148" t="s">
        <v>8331</v>
      </c>
      <c r="S2148" s="17">
        <f t="shared" si="138"/>
        <v>42397.679513888885</v>
      </c>
      <c r="T2148" s="17">
        <f t="shared" si="139"/>
        <v>42411.679513888885</v>
      </c>
      <c r="U2148">
        <f>MONTH(Table1[[#This Row],[Launched]])</f>
        <v>1</v>
      </c>
    </row>
    <row r="2149" spans="1:21" ht="15.6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 s="8">
        <v>1416125148</v>
      </c>
      <c r="J2149">
        <v>1413356748</v>
      </c>
      <c r="K2149" t="b">
        <v>0</v>
      </c>
      <c r="L2149" s="10">
        <v>55</v>
      </c>
      <c r="M2149" t="b">
        <v>0</v>
      </c>
      <c r="N2149" t="s">
        <v>8280</v>
      </c>
      <c r="O2149" s="11">
        <f t="shared" si="136"/>
        <v>1</v>
      </c>
      <c r="P2149" s="12">
        <f t="shared" si="137"/>
        <v>49</v>
      </c>
      <c r="Q2149" s="14" t="s">
        <v>8330</v>
      </c>
      <c r="R2149" t="s">
        <v>8331</v>
      </c>
      <c r="S2149" s="17">
        <f t="shared" si="138"/>
        <v>41927.295694444445</v>
      </c>
      <c r="T2149" s="17">
        <f t="shared" si="139"/>
        <v>41959.337361111116</v>
      </c>
      <c r="U2149">
        <f>MONTH(Table1[[#This Row],[Launched]])</f>
        <v>10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8220</v>
      </c>
      <c r="G2150" t="s">
        <v>8224</v>
      </c>
      <c r="H2150" t="s">
        <v>8246</v>
      </c>
      <c r="I2150" s="8">
        <v>1427992582</v>
      </c>
      <c r="J2150">
        <v>1425404182</v>
      </c>
      <c r="K2150" t="b">
        <v>0</v>
      </c>
      <c r="L2150" s="10">
        <v>2</v>
      </c>
      <c r="M2150" t="b">
        <v>0</v>
      </c>
      <c r="N2150" t="s">
        <v>8280</v>
      </c>
      <c r="O2150" s="11">
        <f t="shared" si="136"/>
        <v>2</v>
      </c>
      <c r="P2150" s="12">
        <f t="shared" si="137"/>
        <v>1</v>
      </c>
      <c r="Q2150" s="14" t="s">
        <v>8330</v>
      </c>
      <c r="R2150" t="s">
        <v>8331</v>
      </c>
      <c r="S2150" s="17">
        <f t="shared" si="138"/>
        <v>42066.733587962968</v>
      </c>
      <c r="T2150" s="17">
        <f t="shared" si="139"/>
        <v>42096.691921296297</v>
      </c>
      <c r="U2150">
        <f>MONTH(Table1[[#This Row],[Launched]])</f>
        <v>3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8220</v>
      </c>
      <c r="G2151" t="s">
        <v>8223</v>
      </c>
      <c r="H2151" t="s">
        <v>8245</v>
      </c>
      <c r="I2151" s="8">
        <v>1280534400</v>
      </c>
      <c r="J2151">
        <v>1277512556</v>
      </c>
      <c r="K2151" t="b">
        <v>0</v>
      </c>
      <c r="L2151" s="10">
        <v>0</v>
      </c>
      <c r="M2151" t="b">
        <v>0</v>
      </c>
      <c r="N2151" t="s">
        <v>8280</v>
      </c>
      <c r="O2151" s="11">
        <f t="shared" si="136"/>
        <v>0</v>
      </c>
      <c r="P2151" s="12" t="str">
        <f t="shared" si="137"/>
        <v>No Backers</v>
      </c>
      <c r="Q2151" s="14" t="s">
        <v>8330</v>
      </c>
      <c r="R2151" t="s">
        <v>8331</v>
      </c>
      <c r="S2151" s="17">
        <f t="shared" si="138"/>
        <v>40355.024953703702</v>
      </c>
      <c r="T2151" s="17">
        <f t="shared" si="139"/>
        <v>40390</v>
      </c>
      <c r="U2151">
        <f>MONTH(Table1[[#This Row],[Launched]])</f>
        <v>6</v>
      </c>
    </row>
    <row r="2152" spans="1:21" ht="15.6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 s="8">
        <v>1468392599</v>
      </c>
      <c r="J2152">
        <v>1465800599</v>
      </c>
      <c r="K2152" t="b">
        <v>0</v>
      </c>
      <c r="L2152" s="10">
        <v>4</v>
      </c>
      <c r="M2152" t="b">
        <v>0</v>
      </c>
      <c r="N2152" t="s">
        <v>8280</v>
      </c>
      <c r="O2152" s="11">
        <f t="shared" si="136"/>
        <v>1</v>
      </c>
      <c r="P2152" s="12">
        <f t="shared" si="137"/>
        <v>101</v>
      </c>
      <c r="Q2152" s="14" t="s">
        <v>8330</v>
      </c>
      <c r="R2152" t="s">
        <v>8331</v>
      </c>
      <c r="S2152" s="17">
        <f t="shared" si="138"/>
        <v>42534.284710648149</v>
      </c>
      <c r="T2152" s="17">
        <f t="shared" si="139"/>
        <v>42564.284710648149</v>
      </c>
      <c r="U2152">
        <f>MONTH(Table1[[#This Row],[Launched]])</f>
        <v>6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 s="8">
        <v>1467231614</v>
      </c>
      <c r="J2153">
        <v>1464639614</v>
      </c>
      <c r="K2153" t="b">
        <v>0</v>
      </c>
      <c r="L2153" s="10">
        <v>6</v>
      </c>
      <c r="M2153" t="b">
        <v>0</v>
      </c>
      <c r="N2153" t="s">
        <v>8280</v>
      </c>
      <c r="O2153" s="11">
        <f t="shared" si="136"/>
        <v>0</v>
      </c>
      <c r="P2153" s="12">
        <f t="shared" si="137"/>
        <v>20</v>
      </c>
      <c r="Q2153" s="14" t="s">
        <v>8330</v>
      </c>
      <c r="R2153" t="s">
        <v>8331</v>
      </c>
      <c r="S2153" s="17">
        <f t="shared" si="138"/>
        <v>42520.847384259265</v>
      </c>
      <c r="T2153" s="17">
        <f t="shared" si="139"/>
        <v>42550.847384259265</v>
      </c>
      <c r="U2153">
        <f>MONTH(Table1[[#This Row],[Launched]])</f>
        <v>5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8220</v>
      </c>
      <c r="G2154" t="s">
        <v>8223</v>
      </c>
      <c r="H2154" t="s">
        <v>8245</v>
      </c>
      <c r="I2154" s="8">
        <v>1394909909</v>
      </c>
      <c r="J2154">
        <v>1392321509</v>
      </c>
      <c r="K2154" t="b">
        <v>0</v>
      </c>
      <c r="L2154" s="10">
        <v>4</v>
      </c>
      <c r="M2154" t="b">
        <v>0</v>
      </c>
      <c r="N2154" t="s">
        <v>8280</v>
      </c>
      <c r="O2154" s="11">
        <f t="shared" si="136"/>
        <v>0</v>
      </c>
      <c r="P2154" s="12">
        <f t="shared" si="137"/>
        <v>13</v>
      </c>
      <c r="Q2154" s="14" t="s">
        <v>8330</v>
      </c>
      <c r="R2154" t="s">
        <v>8331</v>
      </c>
      <c r="S2154" s="17">
        <f t="shared" si="138"/>
        <v>41683.832280092596</v>
      </c>
      <c r="T2154" s="17">
        <f t="shared" si="139"/>
        <v>41713.790613425925</v>
      </c>
      <c r="U2154">
        <f>MONTH(Table1[[#This Row],[Launched]])</f>
        <v>2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 s="8">
        <v>1420876740</v>
      </c>
      <c r="J2155">
        <v>1417470718</v>
      </c>
      <c r="K2155" t="b">
        <v>0</v>
      </c>
      <c r="L2155" s="10">
        <v>4</v>
      </c>
      <c r="M2155" t="b">
        <v>0</v>
      </c>
      <c r="N2155" t="s">
        <v>8280</v>
      </c>
      <c r="O2155" s="11">
        <f t="shared" si="136"/>
        <v>0</v>
      </c>
      <c r="P2155" s="12">
        <f t="shared" si="137"/>
        <v>9</v>
      </c>
      <c r="Q2155" s="14" t="s">
        <v>8330</v>
      </c>
      <c r="R2155" t="s">
        <v>8331</v>
      </c>
      <c r="S2155" s="17">
        <f t="shared" si="138"/>
        <v>41974.911087962959</v>
      </c>
      <c r="T2155" s="17">
        <f t="shared" si="139"/>
        <v>42014.332638888889</v>
      </c>
      <c r="U2155">
        <f>MONTH(Table1[[#This Row],[Launched]])</f>
        <v>12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8220</v>
      </c>
      <c r="G2156" t="s">
        <v>8223</v>
      </c>
      <c r="H2156" t="s">
        <v>8245</v>
      </c>
      <c r="I2156" s="8">
        <v>1390921827</v>
      </c>
      <c r="J2156">
        <v>1389193827</v>
      </c>
      <c r="K2156" t="b">
        <v>0</v>
      </c>
      <c r="L2156" s="10">
        <v>2</v>
      </c>
      <c r="M2156" t="b">
        <v>0</v>
      </c>
      <c r="N2156" t="s">
        <v>8280</v>
      </c>
      <c r="O2156" s="11">
        <f t="shared" si="136"/>
        <v>1</v>
      </c>
      <c r="P2156" s="12">
        <f t="shared" si="137"/>
        <v>1</v>
      </c>
      <c r="Q2156" s="14" t="s">
        <v>8330</v>
      </c>
      <c r="R2156" t="s">
        <v>8331</v>
      </c>
      <c r="S2156" s="17">
        <f t="shared" si="138"/>
        <v>41647.632256944446</v>
      </c>
      <c r="T2156" s="17">
        <f t="shared" si="139"/>
        <v>41667.632256944446</v>
      </c>
      <c r="U2156">
        <f>MONTH(Table1[[#This Row],[Launched]])</f>
        <v>1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8220</v>
      </c>
      <c r="G2157" t="s">
        <v>8224</v>
      </c>
      <c r="H2157" t="s">
        <v>8246</v>
      </c>
      <c r="I2157" s="8">
        <v>1459443385</v>
      </c>
      <c r="J2157">
        <v>1456854985</v>
      </c>
      <c r="K2157" t="b">
        <v>0</v>
      </c>
      <c r="L2157" s="10">
        <v>5</v>
      </c>
      <c r="M2157" t="b">
        <v>0</v>
      </c>
      <c r="N2157" t="s">
        <v>8280</v>
      </c>
      <c r="O2157" s="11">
        <f t="shared" si="136"/>
        <v>2</v>
      </c>
      <c r="P2157" s="12">
        <f t="shared" si="137"/>
        <v>23</v>
      </c>
      <c r="Q2157" s="14" t="s">
        <v>8330</v>
      </c>
      <c r="R2157" t="s">
        <v>8331</v>
      </c>
      <c r="S2157" s="17">
        <f t="shared" si="138"/>
        <v>42430.747511574074</v>
      </c>
      <c r="T2157" s="17">
        <f t="shared" si="139"/>
        <v>42460.70584490741</v>
      </c>
      <c r="U2157">
        <f>MONTH(Table1[[#This Row],[Launched]])</f>
        <v>3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 s="8">
        <v>1379363406</v>
      </c>
      <c r="J2158">
        <v>1375475406</v>
      </c>
      <c r="K2158" t="b">
        <v>0</v>
      </c>
      <c r="L2158" s="10">
        <v>83</v>
      </c>
      <c r="M2158" t="b">
        <v>0</v>
      </c>
      <c r="N2158" t="s">
        <v>8280</v>
      </c>
      <c r="O2158" s="11">
        <f t="shared" si="136"/>
        <v>3</v>
      </c>
      <c r="P2158" s="12">
        <f t="shared" si="137"/>
        <v>18</v>
      </c>
      <c r="Q2158" s="14" t="s">
        <v>8330</v>
      </c>
      <c r="R2158" t="s">
        <v>8331</v>
      </c>
      <c r="S2158" s="17">
        <f t="shared" si="138"/>
        <v>41488.85423611111</v>
      </c>
      <c r="T2158" s="17">
        <f t="shared" si="139"/>
        <v>41533.85423611111</v>
      </c>
      <c r="U2158">
        <f>MONTH(Table1[[#This Row],[Launched]])</f>
        <v>8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 s="8">
        <v>1482479940</v>
      </c>
      <c r="J2159">
        <v>1479684783</v>
      </c>
      <c r="K2159" t="b">
        <v>0</v>
      </c>
      <c r="L2159" s="10">
        <v>57</v>
      </c>
      <c r="M2159" t="b">
        <v>0</v>
      </c>
      <c r="N2159" t="s">
        <v>8280</v>
      </c>
      <c r="O2159" s="11">
        <f t="shared" si="136"/>
        <v>28</v>
      </c>
      <c r="P2159" s="12">
        <f t="shared" si="137"/>
        <v>371</v>
      </c>
      <c r="Q2159" s="14" t="s">
        <v>8330</v>
      </c>
      <c r="R2159" t="s">
        <v>8331</v>
      </c>
      <c r="S2159" s="17">
        <f t="shared" si="138"/>
        <v>42694.98128472222</v>
      </c>
      <c r="T2159" s="17">
        <f t="shared" si="139"/>
        <v>42727.332638888889</v>
      </c>
      <c r="U2159">
        <f>MONTH(Table1[[#This Row],[Launched]])</f>
        <v>11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 s="8">
        <v>1360009774</v>
      </c>
      <c r="J2160">
        <v>1356121774</v>
      </c>
      <c r="K2160" t="b">
        <v>0</v>
      </c>
      <c r="L2160" s="10">
        <v>311</v>
      </c>
      <c r="M2160" t="b">
        <v>0</v>
      </c>
      <c r="N2160" t="s">
        <v>8280</v>
      </c>
      <c r="O2160" s="11">
        <f t="shared" si="136"/>
        <v>7</v>
      </c>
      <c r="P2160" s="12">
        <f t="shared" si="137"/>
        <v>64</v>
      </c>
      <c r="Q2160" s="14" t="s">
        <v>8330</v>
      </c>
      <c r="R2160" t="s">
        <v>8331</v>
      </c>
      <c r="S2160" s="17">
        <f t="shared" si="138"/>
        <v>41264.853865740741</v>
      </c>
      <c r="T2160" s="17">
        <f t="shared" si="139"/>
        <v>41309.853865740741</v>
      </c>
      <c r="U2160">
        <f>MONTH(Table1[[#This Row],[Launched]])</f>
        <v>12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8220</v>
      </c>
      <c r="G2161" t="s">
        <v>8223</v>
      </c>
      <c r="H2161" t="s">
        <v>8245</v>
      </c>
      <c r="I2161" s="8">
        <v>1310837574</v>
      </c>
      <c r="J2161">
        <v>1308245574</v>
      </c>
      <c r="K2161" t="b">
        <v>0</v>
      </c>
      <c r="L2161" s="10">
        <v>2</v>
      </c>
      <c r="M2161" t="b">
        <v>0</v>
      </c>
      <c r="N2161" t="s">
        <v>8280</v>
      </c>
      <c r="O2161" s="11">
        <f t="shared" si="136"/>
        <v>1</v>
      </c>
      <c r="P2161" s="12">
        <f t="shared" si="137"/>
        <v>13</v>
      </c>
      <c r="Q2161" s="14" t="s">
        <v>8330</v>
      </c>
      <c r="R2161" t="s">
        <v>8331</v>
      </c>
      <c r="S2161" s="17">
        <f t="shared" si="138"/>
        <v>40710.731180555551</v>
      </c>
      <c r="T2161" s="17">
        <f t="shared" si="139"/>
        <v>40740.731180555551</v>
      </c>
      <c r="U2161">
        <f>MONTH(Table1[[#This Row],[Launched]])</f>
        <v>6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8220</v>
      </c>
      <c r="G2162" t="s">
        <v>8223</v>
      </c>
      <c r="H2162" t="s">
        <v>8245</v>
      </c>
      <c r="I2162" s="8">
        <v>1337447105</v>
      </c>
      <c r="J2162">
        <v>1334855105</v>
      </c>
      <c r="K2162" t="b">
        <v>0</v>
      </c>
      <c r="L2162" s="10">
        <v>16</v>
      </c>
      <c r="M2162" t="b">
        <v>0</v>
      </c>
      <c r="N2162" t="s">
        <v>8280</v>
      </c>
      <c r="O2162" s="11">
        <f t="shared" si="136"/>
        <v>1</v>
      </c>
      <c r="P2162" s="12">
        <f t="shared" si="137"/>
        <v>5</v>
      </c>
      <c r="Q2162" s="14" t="s">
        <v>8330</v>
      </c>
      <c r="R2162" t="s">
        <v>8331</v>
      </c>
      <c r="S2162" s="17">
        <f t="shared" si="138"/>
        <v>41018.711863425924</v>
      </c>
      <c r="T2162" s="17">
        <f t="shared" si="139"/>
        <v>41048.711863425924</v>
      </c>
      <c r="U2162">
        <f>MONTH(Table1[[#This Row],[Launched]])</f>
        <v>4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8218</v>
      </c>
      <c r="G2163" t="s">
        <v>8223</v>
      </c>
      <c r="H2163" t="s">
        <v>8245</v>
      </c>
      <c r="I2163" s="8">
        <v>1443040059</v>
      </c>
      <c r="J2163">
        <v>1440448059</v>
      </c>
      <c r="K2163" t="b">
        <v>0</v>
      </c>
      <c r="L2163" s="10">
        <v>13</v>
      </c>
      <c r="M2163" t="b">
        <v>1</v>
      </c>
      <c r="N2163" t="s">
        <v>8274</v>
      </c>
      <c r="O2163" s="11">
        <f t="shared" si="136"/>
        <v>116</v>
      </c>
      <c r="P2163" s="12">
        <f t="shared" si="137"/>
        <v>36</v>
      </c>
      <c r="Q2163" s="14" t="s">
        <v>8322</v>
      </c>
      <c r="R2163" t="s">
        <v>8323</v>
      </c>
      <c r="S2163" s="17">
        <f t="shared" si="138"/>
        <v>42240.852534722217</v>
      </c>
      <c r="T2163" s="17">
        <f t="shared" si="139"/>
        <v>42270.852534722217</v>
      </c>
      <c r="U2163">
        <f>MONTH(Table1[[#This Row],[Launched]])</f>
        <v>8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 s="8">
        <v>1406226191</v>
      </c>
      <c r="J2164">
        <v>1403547791</v>
      </c>
      <c r="K2164" t="b">
        <v>0</v>
      </c>
      <c r="L2164" s="10">
        <v>58</v>
      </c>
      <c r="M2164" t="b">
        <v>1</v>
      </c>
      <c r="N2164" t="s">
        <v>8274</v>
      </c>
      <c r="O2164" s="11">
        <f t="shared" si="136"/>
        <v>112</v>
      </c>
      <c r="P2164" s="12">
        <f t="shared" si="137"/>
        <v>87</v>
      </c>
      <c r="Q2164" s="14" t="s">
        <v>8322</v>
      </c>
      <c r="R2164" t="s">
        <v>8323</v>
      </c>
      <c r="S2164" s="17">
        <f t="shared" si="138"/>
        <v>41813.766099537039</v>
      </c>
      <c r="T2164" s="17">
        <f t="shared" si="139"/>
        <v>41844.766099537039</v>
      </c>
      <c r="U2164">
        <f>MONTH(Table1[[#This Row],[Launched]])</f>
        <v>6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 s="8">
        <v>1433735400</v>
      </c>
      <c r="J2165">
        <v>1429306520</v>
      </c>
      <c r="K2165" t="b">
        <v>0</v>
      </c>
      <c r="L2165" s="10">
        <v>44</v>
      </c>
      <c r="M2165" t="b">
        <v>1</v>
      </c>
      <c r="N2165" t="s">
        <v>8274</v>
      </c>
      <c r="O2165" s="11">
        <f t="shared" si="136"/>
        <v>132</v>
      </c>
      <c r="P2165" s="12">
        <f t="shared" si="137"/>
        <v>75</v>
      </c>
      <c r="Q2165" s="14" t="s">
        <v>8322</v>
      </c>
      <c r="R2165" t="s">
        <v>8323</v>
      </c>
      <c r="S2165" s="17">
        <f t="shared" si="138"/>
        <v>42111.899537037039</v>
      </c>
      <c r="T2165" s="17">
        <f t="shared" si="139"/>
        <v>42163.159722222219</v>
      </c>
      <c r="U2165">
        <f>MONTH(Table1[[#This Row],[Launched]])</f>
        <v>4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 s="8">
        <v>1466827140</v>
      </c>
      <c r="J2166">
        <v>1464196414</v>
      </c>
      <c r="K2166" t="b">
        <v>0</v>
      </c>
      <c r="L2166" s="10">
        <v>83</v>
      </c>
      <c r="M2166" t="b">
        <v>1</v>
      </c>
      <c r="N2166" t="s">
        <v>8274</v>
      </c>
      <c r="O2166" s="11">
        <f t="shared" si="136"/>
        <v>103</v>
      </c>
      <c r="P2166" s="12">
        <f t="shared" si="137"/>
        <v>68</v>
      </c>
      <c r="Q2166" s="14" t="s">
        <v>8322</v>
      </c>
      <c r="R2166" t="s">
        <v>8323</v>
      </c>
      <c r="S2166" s="17">
        <f t="shared" si="138"/>
        <v>42515.71775462963</v>
      </c>
      <c r="T2166" s="17">
        <f t="shared" si="139"/>
        <v>42546.165972222225</v>
      </c>
      <c r="U2166">
        <f>MONTH(Table1[[#This Row],[Launched]])</f>
        <v>5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 s="8">
        <v>1460127635</v>
      </c>
      <c r="J2167">
        <v>1457539235</v>
      </c>
      <c r="K2167" t="b">
        <v>0</v>
      </c>
      <c r="L2167" s="10">
        <v>117</v>
      </c>
      <c r="M2167" t="b">
        <v>1</v>
      </c>
      <c r="N2167" t="s">
        <v>8274</v>
      </c>
      <c r="O2167" s="11">
        <f t="shared" si="136"/>
        <v>139</v>
      </c>
      <c r="P2167" s="12">
        <f t="shared" si="137"/>
        <v>30</v>
      </c>
      <c r="Q2167" s="14" t="s">
        <v>8322</v>
      </c>
      <c r="R2167" t="s">
        <v>8323</v>
      </c>
      <c r="S2167" s="17">
        <f t="shared" si="138"/>
        <v>42438.667071759264</v>
      </c>
      <c r="T2167" s="17">
        <f t="shared" si="139"/>
        <v>42468.625405092593</v>
      </c>
      <c r="U2167">
        <f>MONTH(Table1[[#This Row],[Launched]])</f>
        <v>3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 s="8">
        <v>1417813618</v>
      </c>
      <c r="J2168">
        <v>1413922018</v>
      </c>
      <c r="K2168" t="b">
        <v>0</v>
      </c>
      <c r="L2168" s="10">
        <v>32</v>
      </c>
      <c r="M2168" t="b">
        <v>1</v>
      </c>
      <c r="N2168" t="s">
        <v>8274</v>
      </c>
      <c r="O2168" s="11">
        <f t="shared" si="136"/>
        <v>147</v>
      </c>
      <c r="P2168" s="12">
        <f t="shared" si="137"/>
        <v>92</v>
      </c>
      <c r="Q2168" s="14" t="s">
        <v>8322</v>
      </c>
      <c r="R2168" t="s">
        <v>8323</v>
      </c>
      <c r="S2168" s="17">
        <f t="shared" si="138"/>
        <v>41933.838171296295</v>
      </c>
      <c r="T2168" s="17">
        <f t="shared" si="139"/>
        <v>41978.879837962959</v>
      </c>
      <c r="U2168">
        <f>MONTH(Table1[[#This Row],[Launched]])</f>
        <v>10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8218</v>
      </c>
      <c r="G2169" t="s">
        <v>8223</v>
      </c>
      <c r="H2169" t="s">
        <v>8245</v>
      </c>
      <c r="I2169" s="8">
        <v>1347672937</v>
      </c>
      <c r="J2169">
        <v>1346463337</v>
      </c>
      <c r="K2169" t="b">
        <v>0</v>
      </c>
      <c r="L2169" s="10">
        <v>8</v>
      </c>
      <c r="M2169" t="b">
        <v>1</v>
      </c>
      <c r="N2169" t="s">
        <v>8274</v>
      </c>
      <c r="O2169" s="11">
        <f t="shared" si="136"/>
        <v>120</v>
      </c>
      <c r="P2169" s="12">
        <f t="shared" si="137"/>
        <v>23</v>
      </c>
      <c r="Q2169" s="14" t="s">
        <v>8322</v>
      </c>
      <c r="R2169" t="s">
        <v>8323</v>
      </c>
      <c r="S2169" s="17">
        <f t="shared" si="138"/>
        <v>41153.066400462965</v>
      </c>
      <c r="T2169" s="17">
        <f t="shared" si="139"/>
        <v>41167.066400462965</v>
      </c>
      <c r="U2169">
        <f>MONTH(Table1[[#This Row],[Launched]])</f>
        <v>9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 s="8">
        <v>1486702800</v>
      </c>
      <c r="J2170">
        <v>1484058261</v>
      </c>
      <c r="K2170" t="b">
        <v>0</v>
      </c>
      <c r="L2170" s="10">
        <v>340</v>
      </c>
      <c r="M2170" t="b">
        <v>1</v>
      </c>
      <c r="N2170" t="s">
        <v>8274</v>
      </c>
      <c r="O2170" s="11">
        <f t="shared" si="136"/>
        <v>122</v>
      </c>
      <c r="P2170" s="12">
        <f t="shared" si="137"/>
        <v>64</v>
      </c>
      <c r="Q2170" s="14" t="s">
        <v>8322</v>
      </c>
      <c r="R2170" t="s">
        <v>8323</v>
      </c>
      <c r="S2170" s="17">
        <f t="shared" si="138"/>
        <v>42745.600243055553</v>
      </c>
      <c r="T2170" s="17">
        <f t="shared" si="139"/>
        <v>42776.208333333328</v>
      </c>
      <c r="U2170">
        <f>MONTH(Table1[[#This Row],[Launched]])</f>
        <v>1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8218</v>
      </c>
      <c r="G2171" t="s">
        <v>8223</v>
      </c>
      <c r="H2171" t="s">
        <v>8245</v>
      </c>
      <c r="I2171" s="8">
        <v>1488473351</v>
      </c>
      <c r="J2171">
        <v>1488214151</v>
      </c>
      <c r="K2171" t="b">
        <v>0</v>
      </c>
      <c r="L2171" s="10">
        <v>7</v>
      </c>
      <c r="M2171" t="b">
        <v>1</v>
      </c>
      <c r="N2171" t="s">
        <v>8274</v>
      </c>
      <c r="O2171" s="11">
        <f t="shared" si="136"/>
        <v>100</v>
      </c>
      <c r="P2171" s="12">
        <f t="shared" si="137"/>
        <v>22</v>
      </c>
      <c r="Q2171" s="14" t="s">
        <v>8322</v>
      </c>
      <c r="R2171" t="s">
        <v>8323</v>
      </c>
      <c r="S2171" s="17">
        <f t="shared" si="138"/>
        <v>42793.700821759259</v>
      </c>
      <c r="T2171" s="17">
        <f t="shared" si="139"/>
        <v>42796.700821759259</v>
      </c>
      <c r="U2171">
        <f>MONTH(Table1[[#This Row],[Launched]])</f>
        <v>2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8218</v>
      </c>
      <c r="G2172" t="s">
        <v>8223</v>
      </c>
      <c r="H2172" t="s">
        <v>8245</v>
      </c>
      <c r="I2172" s="8">
        <v>1440266422</v>
      </c>
      <c r="J2172">
        <v>1436810422</v>
      </c>
      <c r="K2172" t="b">
        <v>0</v>
      </c>
      <c r="L2172" s="10">
        <v>19</v>
      </c>
      <c r="M2172" t="b">
        <v>1</v>
      </c>
      <c r="N2172" t="s">
        <v>8274</v>
      </c>
      <c r="O2172" s="11">
        <f t="shared" si="136"/>
        <v>181</v>
      </c>
      <c r="P2172" s="12">
        <f t="shared" si="137"/>
        <v>33</v>
      </c>
      <c r="Q2172" s="14" t="s">
        <v>8322</v>
      </c>
      <c r="R2172" t="s">
        <v>8323</v>
      </c>
      <c r="S2172" s="17">
        <f t="shared" si="138"/>
        <v>42198.750254629631</v>
      </c>
      <c r="T2172" s="17">
        <f t="shared" si="139"/>
        <v>42238.750254629631</v>
      </c>
      <c r="U2172">
        <f>MONTH(Table1[[#This Row],[Launched]])</f>
        <v>7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 s="8">
        <v>1434949200</v>
      </c>
      <c r="J2173">
        <v>1431903495</v>
      </c>
      <c r="K2173" t="b">
        <v>0</v>
      </c>
      <c r="L2173" s="10">
        <v>47</v>
      </c>
      <c r="M2173" t="b">
        <v>1</v>
      </c>
      <c r="N2173" t="s">
        <v>8274</v>
      </c>
      <c r="O2173" s="11">
        <f t="shared" si="136"/>
        <v>106</v>
      </c>
      <c r="P2173" s="12">
        <f t="shared" si="137"/>
        <v>90</v>
      </c>
      <c r="Q2173" s="14" t="s">
        <v>8322</v>
      </c>
      <c r="R2173" t="s">
        <v>8323</v>
      </c>
      <c r="S2173" s="17">
        <f t="shared" si="138"/>
        <v>42141.95711805555</v>
      </c>
      <c r="T2173" s="17">
        <f t="shared" si="139"/>
        <v>42177.208333333328</v>
      </c>
      <c r="U2173">
        <f>MONTH(Table1[[#This Row],[Launched]])</f>
        <v>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 s="8">
        <v>1429365320</v>
      </c>
      <c r="J2174">
        <v>1426773320</v>
      </c>
      <c r="K2174" t="b">
        <v>0</v>
      </c>
      <c r="L2174" s="10">
        <v>13</v>
      </c>
      <c r="M2174" t="b">
        <v>1</v>
      </c>
      <c r="N2174" t="s">
        <v>8274</v>
      </c>
      <c r="O2174" s="11">
        <f t="shared" si="136"/>
        <v>100</v>
      </c>
      <c r="P2174" s="12">
        <f t="shared" si="137"/>
        <v>77</v>
      </c>
      <c r="Q2174" s="14" t="s">
        <v>8322</v>
      </c>
      <c r="R2174" t="s">
        <v>8323</v>
      </c>
      <c r="S2174" s="17">
        <f t="shared" si="138"/>
        <v>42082.580092592587</v>
      </c>
      <c r="T2174" s="17">
        <f t="shared" si="139"/>
        <v>42112.580092592587</v>
      </c>
      <c r="U2174">
        <f>MONTH(Table1[[#This Row],[Launched]])</f>
        <v>3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 s="8">
        <v>1378785540</v>
      </c>
      <c r="J2175">
        <v>1376066243</v>
      </c>
      <c r="K2175" t="b">
        <v>0</v>
      </c>
      <c r="L2175" s="10">
        <v>90</v>
      </c>
      <c r="M2175" t="b">
        <v>1</v>
      </c>
      <c r="N2175" t="s">
        <v>8274</v>
      </c>
      <c r="O2175" s="11">
        <f t="shared" si="136"/>
        <v>127</v>
      </c>
      <c r="P2175" s="12">
        <f t="shared" si="137"/>
        <v>59</v>
      </c>
      <c r="Q2175" s="14" t="s">
        <v>8322</v>
      </c>
      <c r="R2175" t="s">
        <v>8323</v>
      </c>
      <c r="S2175" s="17">
        <f t="shared" si="138"/>
        <v>41495.692627314813</v>
      </c>
      <c r="T2175" s="17">
        <f t="shared" si="139"/>
        <v>41527.165972222225</v>
      </c>
      <c r="U2175">
        <f>MONTH(Table1[[#This Row],[Launched]])</f>
        <v>8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 s="8">
        <v>1462453307</v>
      </c>
      <c r="J2176">
        <v>1459861307</v>
      </c>
      <c r="K2176" t="b">
        <v>0</v>
      </c>
      <c r="L2176" s="10">
        <v>63</v>
      </c>
      <c r="M2176" t="b">
        <v>1</v>
      </c>
      <c r="N2176" t="s">
        <v>8274</v>
      </c>
      <c r="O2176" s="11">
        <f t="shared" si="136"/>
        <v>103</v>
      </c>
      <c r="P2176" s="12">
        <f t="shared" si="137"/>
        <v>65</v>
      </c>
      <c r="Q2176" s="14" t="s">
        <v>8322</v>
      </c>
      <c r="R2176" t="s">
        <v>8323</v>
      </c>
      <c r="S2176" s="17">
        <f t="shared" si="138"/>
        <v>42465.542905092589</v>
      </c>
      <c r="T2176" s="17">
        <f t="shared" si="139"/>
        <v>42495.542905092589</v>
      </c>
      <c r="U2176">
        <f>MONTH(Table1[[#This Row],[Launched]])</f>
        <v>4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8218</v>
      </c>
      <c r="G2177" t="s">
        <v>8223</v>
      </c>
      <c r="H2177" t="s">
        <v>8245</v>
      </c>
      <c r="I2177" s="8">
        <v>1469059986</v>
      </c>
      <c r="J2177">
        <v>1468455186</v>
      </c>
      <c r="K2177" t="b">
        <v>0</v>
      </c>
      <c r="L2177" s="10">
        <v>26</v>
      </c>
      <c r="M2177" t="b">
        <v>1</v>
      </c>
      <c r="N2177" t="s">
        <v>8274</v>
      </c>
      <c r="O2177" s="11">
        <f t="shared" si="136"/>
        <v>250</v>
      </c>
      <c r="P2177" s="12">
        <f t="shared" si="137"/>
        <v>67</v>
      </c>
      <c r="Q2177" s="14" t="s">
        <v>8322</v>
      </c>
      <c r="R2177" t="s">
        <v>8323</v>
      </c>
      <c r="S2177" s="17">
        <f t="shared" si="138"/>
        <v>42565.009097222224</v>
      </c>
      <c r="T2177" s="17">
        <f t="shared" si="139"/>
        <v>42572.009097222224</v>
      </c>
      <c r="U2177">
        <f>MONTH(Table1[[#This Row],[Launched]])</f>
        <v>7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 s="8">
        <v>1430579509</v>
      </c>
      <c r="J2178">
        <v>1427987509</v>
      </c>
      <c r="K2178" t="b">
        <v>0</v>
      </c>
      <c r="L2178" s="10">
        <v>71</v>
      </c>
      <c r="M2178" t="b">
        <v>1</v>
      </c>
      <c r="N2178" t="s">
        <v>8274</v>
      </c>
      <c r="O2178" s="11">
        <f t="shared" ref="O2178:O2241" si="140">ROUND(E2178/D2178*100,0)</f>
        <v>126</v>
      </c>
      <c r="P2178" s="12">
        <f t="shared" si="137"/>
        <v>89</v>
      </c>
      <c r="Q2178" s="14" t="s">
        <v>8322</v>
      </c>
      <c r="R2178" t="s">
        <v>8323</v>
      </c>
      <c r="S2178" s="17">
        <f t="shared" si="138"/>
        <v>42096.633206018523</v>
      </c>
      <c r="T2178" s="17">
        <f t="shared" si="139"/>
        <v>42126.633206018523</v>
      </c>
      <c r="U2178">
        <f>MONTH(Table1[[#This Row],[Launched]])</f>
        <v>4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 s="8">
        <v>1465192867</v>
      </c>
      <c r="J2179">
        <v>1463032867</v>
      </c>
      <c r="K2179" t="b">
        <v>0</v>
      </c>
      <c r="L2179" s="10">
        <v>38</v>
      </c>
      <c r="M2179" t="b">
        <v>1</v>
      </c>
      <c r="N2179" t="s">
        <v>8274</v>
      </c>
      <c r="O2179" s="11">
        <f t="shared" si="140"/>
        <v>100</v>
      </c>
      <c r="P2179" s="12">
        <f t="shared" ref="P2179:P2242" si="141">IFERROR(ROUND(E2179/L2179,),"No Backers")</f>
        <v>66</v>
      </c>
      <c r="Q2179" s="14" t="s">
        <v>8322</v>
      </c>
      <c r="R2179" t="s">
        <v>8323</v>
      </c>
      <c r="S2179" s="17">
        <f t="shared" ref="S2179:S2242" si="142">(((J2179/60)/60)/24)+DATE(1970,1,1)</f>
        <v>42502.250775462962</v>
      </c>
      <c r="T2179" s="17">
        <f t="shared" ref="T2179:T2242" si="143">(((I2179/60)/60)/24)+DATE(1970,1,1)</f>
        <v>42527.250775462962</v>
      </c>
      <c r="U2179">
        <f>MONTH(Table1[[#This Row],[Launched]])</f>
        <v>5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 s="8">
        <v>1484752597</v>
      </c>
      <c r="J2180">
        <v>1482160597</v>
      </c>
      <c r="K2180" t="b">
        <v>0</v>
      </c>
      <c r="L2180" s="10">
        <v>859</v>
      </c>
      <c r="M2180" t="b">
        <v>1</v>
      </c>
      <c r="N2180" t="s">
        <v>8274</v>
      </c>
      <c r="O2180" s="11">
        <f t="shared" si="140"/>
        <v>139</v>
      </c>
      <c r="P2180" s="12">
        <f t="shared" si="141"/>
        <v>40</v>
      </c>
      <c r="Q2180" s="14" t="s">
        <v>8322</v>
      </c>
      <c r="R2180" t="s">
        <v>8323</v>
      </c>
      <c r="S2180" s="17">
        <f t="shared" si="142"/>
        <v>42723.63653935185</v>
      </c>
      <c r="T2180" s="17">
        <f t="shared" si="143"/>
        <v>42753.63653935185</v>
      </c>
      <c r="U2180">
        <f>MONTH(Table1[[#This Row],[Launched]])</f>
        <v>12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 s="8">
        <v>1428725192</v>
      </c>
      <c r="J2181">
        <v>1426133192</v>
      </c>
      <c r="K2181" t="b">
        <v>0</v>
      </c>
      <c r="L2181" s="10">
        <v>21</v>
      </c>
      <c r="M2181" t="b">
        <v>1</v>
      </c>
      <c r="N2181" t="s">
        <v>8274</v>
      </c>
      <c r="O2181" s="11">
        <f t="shared" si="140"/>
        <v>161</v>
      </c>
      <c r="P2181" s="12">
        <f t="shared" si="141"/>
        <v>77</v>
      </c>
      <c r="Q2181" s="14" t="s">
        <v>8322</v>
      </c>
      <c r="R2181" t="s">
        <v>8323</v>
      </c>
      <c r="S2181" s="17">
        <f t="shared" si="142"/>
        <v>42075.171203703707</v>
      </c>
      <c r="T2181" s="17">
        <f t="shared" si="143"/>
        <v>42105.171203703707</v>
      </c>
      <c r="U2181">
        <f>MONTH(Table1[[#This Row],[Launched]])</f>
        <v>3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 s="8">
        <v>1447434268</v>
      </c>
      <c r="J2182">
        <v>1443801868</v>
      </c>
      <c r="K2182" t="b">
        <v>0</v>
      </c>
      <c r="L2182" s="10">
        <v>78</v>
      </c>
      <c r="M2182" t="b">
        <v>1</v>
      </c>
      <c r="N2182" t="s">
        <v>8274</v>
      </c>
      <c r="O2182" s="11">
        <f t="shared" si="140"/>
        <v>107</v>
      </c>
      <c r="P2182" s="12">
        <f t="shared" si="141"/>
        <v>69</v>
      </c>
      <c r="Q2182" s="14" t="s">
        <v>8322</v>
      </c>
      <c r="R2182" t="s">
        <v>8323</v>
      </c>
      <c r="S2182" s="17">
        <f t="shared" si="142"/>
        <v>42279.669768518521</v>
      </c>
      <c r="T2182" s="17">
        <f t="shared" si="143"/>
        <v>42321.711435185185</v>
      </c>
      <c r="U2182">
        <f>MONTH(Table1[[#This Row],[Launched]])</f>
        <v>10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 s="8">
        <v>1487635653</v>
      </c>
      <c r="J2183">
        <v>1486426053</v>
      </c>
      <c r="K2183" t="b">
        <v>0</v>
      </c>
      <c r="L2183" s="10">
        <v>53</v>
      </c>
      <c r="M2183" t="b">
        <v>1</v>
      </c>
      <c r="N2183" t="s">
        <v>8295</v>
      </c>
      <c r="O2183" s="11">
        <f t="shared" si="140"/>
        <v>153</v>
      </c>
      <c r="P2183" s="12">
        <f t="shared" si="141"/>
        <v>58</v>
      </c>
      <c r="Q2183" s="14" t="s">
        <v>8330</v>
      </c>
      <c r="R2183" t="s">
        <v>8348</v>
      </c>
      <c r="S2183" s="17">
        <f t="shared" si="142"/>
        <v>42773.005243055552</v>
      </c>
      <c r="T2183" s="17">
        <f t="shared" si="143"/>
        <v>42787.005243055552</v>
      </c>
      <c r="U2183">
        <f>MONTH(Table1[[#This Row],[Launched]])</f>
        <v>2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 s="8">
        <v>1412285825</v>
      </c>
      <c r="J2184">
        <v>1409261825</v>
      </c>
      <c r="K2184" t="b">
        <v>0</v>
      </c>
      <c r="L2184" s="10">
        <v>356</v>
      </c>
      <c r="M2184" t="b">
        <v>1</v>
      </c>
      <c r="N2184" t="s">
        <v>8295</v>
      </c>
      <c r="O2184" s="11">
        <f t="shared" si="140"/>
        <v>524</v>
      </c>
      <c r="P2184" s="12">
        <f t="shared" si="141"/>
        <v>44</v>
      </c>
      <c r="Q2184" s="14" t="s">
        <v>8330</v>
      </c>
      <c r="R2184" t="s">
        <v>8348</v>
      </c>
      <c r="S2184" s="17">
        <f t="shared" si="142"/>
        <v>41879.900752314818</v>
      </c>
      <c r="T2184" s="17">
        <f t="shared" si="143"/>
        <v>41914.900752314818</v>
      </c>
      <c r="U2184">
        <f>MONTH(Table1[[#This Row],[Launched]])</f>
        <v>8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 s="8">
        <v>1486616400</v>
      </c>
      <c r="J2185">
        <v>1484037977</v>
      </c>
      <c r="K2185" t="b">
        <v>0</v>
      </c>
      <c r="L2185" s="10">
        <v>279</v>
      </c>
      <c r="M2185" t="b">
        <v>1</v>
      </c>
      <c r="N2185" t="s">
        <v>8295</v>
      </c>
      <c r="O2185" s="11">
        <f t="shared" si="140"/>
        <v>489</v>
      </c>
      <c r="P2185" s="12">
        <f t="shared" si="141"/>
        <v>32</v>
      </c>
      <c r="Q2185" s="14" t="s">
        <v>8330</v>
      </c>
      <c r="R2185" t="s">
        <v>8348</v>
      </c>
      <c r="S2185" s="17">
        <f t="shared" si="142"/>
        <v>42745.365474537044</v>
      </c>
      <c r="T2185" s="17">
        <f t="shared" si="143"/>
        <v>42775.208333333328</v>
      </c>
      <c r="U2185">
        <f>MONTH(Table1[[#This Row],[Launched]])</f>
        <v>1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 s="8">
        <v>1453737600</v>
      </c>
      <c r="J2186">
        <v>1452530041</v>
      </c>
      <c r="K2186" t="b">
        <v>1</v>
      </c>
      <c r="L2186" s="10">
        <v>266</v>
      </c>
      <c r="M2186" t="b">
        <v>1</v>
      </c>
      <c r="N2186" t="s">
        <v>8295</v>
      </c>
      <c r="O2186" s="11">
        <f t="shared" si="140"/>
        <v>285</v>
      </c>
      <c r="P2186" s="12">
        <f t="shared" si="141"/>
        <v>107</v>
      </c>
      <c r="Q2186" s="14" t="s">
        <v>8330</v>
      </c>
      <c r="R2186" t="s">
        <v>8348</v>
      </c>
      <c r="S2186" s="17">
        <f t="shared" si="142"/>
        <v>42380.690289351856</v>
      </c>
      <c r="T2186" s="17">
        <f t="shared" si="143"/>
        <v>42394.666666666672</v>
      </c>
      <c r="U2186">
        <f>MONTH(Table1[[#This Row],[Launched]])</f>
        <v>1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 s="8">
        <v>1364286239</v>
      </c>
      <c r="J2187">
        <v>1360830239</v>
      </c>
      <c r="K2187" t="b">
        <v>0</v>
      </c>
      <c r="L2187" s="10">
        <v>623</v>
      </c>
      <c r="M2187" t="b">
        <v>1</v>
      </c>
      <c r="N2187" t="s">
        <v>8295</v>
      </c>
      <c r="O2187" s="11">
        <f t="shared" si="140"/>
        <v>1857</v>
      </c>
      <c r="P2187" s="12">
        <f t="shared" si="141"/>
        <v>149</v>
      </c>
      <c r="Q2187" s="14" t="s">
        <v>8330</v>
      </c>
      <c r="R2187" t="s">
        <v>8348</v>
      </c>
      <c r="S2187" s="17">
        <f t="shared" si="142"/>
        <v>41319.349988425929</v>
      </c>
      <c r="T2187" s="17">
        <f t="shared" si="143"/>
        <v>41359.349988425929</v>
      </c>
      <c r="U2187">
        <f>MONTH(Table1[[#This Row],[Launched]])</f>
        <v>2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 s="8">
        <v>1473213600</v>
      </c>
      <c r="J2188">
        <v>1470062743</v>
      </c>
      <c r="K2188" t="b">
        <v>0</v>
      </c>
      <c r="L2188" s="10">
        <v>392</v>
      </c>
      <c r="M2188" t="b">
        <v>1</v>
      </c>
      <c r="N2188" t="s">
        <v>8295</v>
      </c>
      <c r="O2188" s="11">
        <f t="shared" si="140"/>
        <v>110</v>
      </c>
      <c r="P2188" s="12">
        <f t="shared" si="141"/>
        <v>56</v>
      </c>
      <c r="Q2188" s="14" t="s">
        <v>8330</v>
      </c>
      <c r="R2188" t="s">
        <v>8348</v>
      </c>
      <c r="S2188" s="17">
        <f t="shared" si="142"/>
        <v>42583.615081018521</v>
      </c>
      <c r="T2188" s="17">
        <f t="shared" si="143"/>
        <v>42620.083333333328</v>
      </c>
      <c r="U2188">
        <f>MONTH(Table1[[#This Row],[Launched]])</f>
        <v>8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 s="8">
        <v>1428033540</v>
      </c>
      <c r="J2189">
        <v>1425531666</v>
      </c>
      <c r="K2189" t="b">
        <v>1</v>
      </c>
      <c r="L2189" s="10">
        <v>3562</v>
      </c>
      <c r="M2189" t="b">
        <v>1</v>
      </c>
      <c r="N2189" t="s">
        <v>8295</v>
      </c>
      <c r="O2189" s="11">
        <f t="shared" si="140"/>
        <v>1015</v>
      </c>
      <c r="P2189" s="12">
        <f t="shared" si="141"/>
        <v>57</v>
      </c>
      <c r="Q2189" s="14" t="s">
        <v>8330</v>
      </c>
      <c r="R2189" t="s">
        <v>8348</v>
      </c>
      <c r="S2189" s="17">
        <f t="shared" si="142"/>
        <v>42068.209097222221</v>
      </c>
      <c r="T2189" s="17">
        <f t="shared" si="143"/>
        <v>42097.165972222225</v>
      </c>
      <c r="U2189">
        <f>MONTH(Table1[[#This Row],[Launched]])</f>
        <v>3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 s="8">
        <v>1477414800</v>
      </c>
      <c r="J2190">
        <v>1474380241</v>
      </c>
      <c r="K2190" t="b">
        <v>0</v>
      </c>
      <c r="L2190" s="10">
        <v>514</v>
      </c>
      <c r="M2190" t="b">
        <v>1</v>
      </c>
      <c r="N2190" t="s">
        <v>8295</v>
      </c>
      <c r="O2190" s="11">
        <f t="shared" si="140"/>
        <v>412</v>
      </c>
      <c r="P2190" s="12">
        <f t="shared" si="141"/>
        <v>44</v>
      </c>
      <c r="Q2190" s="14" t="s">
        <v>8330</v>
      </c>
      <c r="R2190" t="s">
        <v>8348</v>
      </c>
      <c r="S2190" s="17">
        <f t="shared" si="142"/>
        <v>42633.586122685185</v>
      </c>
      <c r="T2190" s="17">
        <f t="shared" si="143"/>
        <v>42668.708333333328</v>
      </c>
      <c r="U2190">
        <f>MONTH(Table1[[#This Row],[Launched]])</f>
        <v>9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 s="8">
        <v>1461276000</v>
      </c>
      <c r="J2191">
        <v>1460055300</v>
      </c>
      <c r="K2191" t="b">
        <v>0</v>
      </c>
      <c r="L2191" s="10">
        <v>88</v>
      </c>
      <c r="M2191" t="b">
        <v>1</v>
      </c>
      <c r="N2191" t="s">
        <v>8295</v>
      </c>
      <c r="O2191" s="11">
        <f t="shared" si="140"/>
        <v>503</v>
      </c>
      <c r="P2191" s="12">
        <f t="shared" si="141"/>
        <v>69</v>
      </c>
      <c r="Q2191" s="14" t="s">
        <v>8330</v>
      </c>
      <c r="R2191" t="s">
        <v>8348</v>
      </c>
      <c r="S2191" s="17">
        <f t="shared" si="142"/>
        <v>42467.788194444445</v>
      </c>
      <c r="T2191" s="17">
        <f t="shared" si="143"/>
        <v>42481.916666666672</v>
      </c>
      <c r="U2191">
        <f>MONTH(Table1[[#This Row],[Launched]])</f>
        <v>4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 s="8">
        <v>1458716340</v>
      </c>
      <c r="J2192">
        <v>1455721204</v>
      </c>
      <c r="K2192" t="b">
        <v>0</v>
      </c>
      <c r="L2192" s="10">
        <v>537</v>
      </c>
      <c r="M2192" t="b">
        <v>1</v>
      </c>
      <c r="N2192" t="s">
        <v>8295</v>
      </c>
      <c r="O2192" s="11">
        <f t="shared" si="140"/>
        <v>185</v>
      </c>
      <c r="P2192" s="12">
        <f t="shared" si="141"/>
        <v>65</v>
      </c>
      <c r="Q2192" s="14" t="s">
        <v>8330</v>
      </c>
      <c r="R2192" t="s">
        <v>8348</v>
      </c>
      <c r="S2192" s="17">
        <f t="shared" si="142"/>
        <v>42417.625046296293</v>
      </c>
      <c r="T2192" s="17">
        <f t="shared" si="143"/>
        <v>42452.290972222225</v>
      </c>
      <c r="U2192">
        <f>MONTH(Table1[[#This Row],[Launched]])</f>
        <v>2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8218</v>
      </c>
      <c r="G2193" t="s">
        <v>8224</v>
      </c>
      <c r="H2193" t="s">
        <v>8246</v>
      </c>
      <c r="I2193" s="8">
        <v>1487102427</v>
      </c>
      <c r="J2193">
        <v>1486065627</v>
      </c>
      <c r="K2193" t="b">
        <v>0</v>
      </c>
      <c r="L2193" s="10">
        <v>25</v>
      </c>
      <c r="M2193" t="b">
        <v>1</v>
      </c>
      <c r="N2193" t="s">
        <v>8295</v>
      </c>
      <c r="O2193" s="11">
        <f t="shared" si="140"/>
        <v>120</v>
      </c>
      <c r="P2193" s="12">
        <f t="shared" si="141"/>
        <v>36</v>
      </c>
      <c r="Q2193" s="14" t="s">
        <v>8330</v>
      </c>
      <c r="R2193" t="s">
        <v>8348</v>
      </c>
      <c r="S2193" s="17">
        <f t="shared" si="142"/>
        <v>42768.833645833336</v>
      </c>
      <c r="T2193" s="17">
        <f t="shared" si="143"/>
        <v>42780.833645833336</v>
      </c>
      <c r="U2193">
        <f>MONTH(Table1[[#This Row],[Launched]])</f>
        <v>2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 s="8">
        <v>1481842800</v>
      </c>
      <c r="J2194">
        <v>1479414344</v>
      </c>
      <c r="K2194" t="b">
        <v>0</v>
      </c>
      <c r="L2194" s="10">
        <v>3238</v>
      </c>
      <c r="M2194" t="b">
        <v>1</v>
      </c>
      <c r="N2194" t="s">
        <v>8295</v>
      </c>
      <c r="O2194" s="11">
        <f t="shared" si="140"/>
        <v>1081</v>
      </c>
      <c r="P2194" s="12">
        <f t="shared" si="141"/>
        <v>40</v>
      </c>
      <c r="Q2194" s="14" t="s">
        <v>8330</v>
      </c>
      <c r="R2194" t="s">
        <v>8348</v>
      </c>
      <c r="S2194" s="17">
        <f t="shared" si="142"/>
        <v>42691.8512037037</v>
      </c>
      <c r="T2194" s="17">
        <f t="shared" si="143"/>
        <v>42719.958333333328</v>
      </c>
      <c r="U2194">
        <f>MONTH(Table1[[#This Row],[Launched]])</f>
        <v>11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 s="8">
        <v>1479704340</v>
      </c>
      <c r="J2195">
        <v>1477043072</v>
      </c>
      <c r="K2195" t="b">
        <v>0</v>
      </c>
      <c r="L2195" s="10">
        <v>897</v>
      </c>
      <c r="M2195" t="b">
        <v>1</v>
      </c>
      <c r="N2195" t="s">
        <v>8295</v>
      </c>
      <c r="O2195" s="11">
        <f t="shared" si="140"/>
        <v>452</v>
      </c>
      <c r="P2195" s="12">
        <f t="shared" si="141"/>
        <v>76</v>
      </c>
      <c r="Q2195" s="14" t="s">
        <v>8330</v>
      </c>
      <c r="R2195" t="s">
        <v>8348</v>
      </c>
      <c r="S2195" s="17">
        <f t="shared" si="142"/>
        <v>42664.405925925923</v>
      </c>
      <c r="T2195" s="17">
        <f t="shared" si="143"/>
        <v>42695.207638888889</v>
      </c>
      <c r="U2195">
        <f>MONTH(Table1[[#This Row],[Launched]])</f>
        <v>10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 s="8">
        <v>1459012290</v>
      </c>
      <c r="J2196">
        <v>1456423890</v>
      </c>
      <c r="K2196" t="b">
        <v>0</v>
      </c>
      <c r="L2196" s="10">
        <v>878</v>
      </c>
      <c r="M2196" t="b">
        <v>1</v>
      </c>
      <c r="N2196" t="s">
        <v>8295</v>
      </c>
      <c r="O2196" s="11">
        <f t="shared" si="140"/>
        <v>537</v>
      </c>
      <c r="P2196" s="12">
        <f t="shared" si="141"/>
        <v>61</v>
      </c>
      <c r="Q2196" s="14" t="s">
        <v>8330</v>
      </c>
      <c r="R2196" t="s">
        <v>8348</v>
      </c>
      <c r="S2196" s="17">
        <f t="shared" si="142"/>
        <v>42425.757986111115</v>
      </c>
      <c r="T2196" s="17">
        <f t="shared" si="143"/>
        <v>42455.716319444444</v>
      </c>
      <c r="U2196">
        <f>MONTH(Table1[[#This Row],[Launched]])</f>
        <v>2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 s="8">
        <v>1439317900</v>
      </c>
      <c r="J2197">
        <v>1436725900</v>
      </c>
      <c r="K2197" t="b">
        <v>0</v>
      </c>
      <c r="L2197" s="10">
        <v>115</v>
      </c>
      <c r="M2197" t="b">
        <v>1</v>
      </c>
      <c r="N2197" t="s">
        <v>8295</v>
      </c>
      <c r="O2197" s="11">
        <f t="shared" si="140"/>
        <v>120</v>
      </c>
      <c r="P2197" s="12">
        <f t="shared" si="141"/>
        <v>48</v>
      </c>
      <c r="Q2197" s="14" t="s">
        <v>8330</v>
      </c>
      <c r="R2197" t="s">
        <v>8348</v>
      </c>
      <c r="S2197" s="17">
        <f t="shared" si="142"/>
        <v>42197.771990740745</v>
      </c>
      <c r="T2197" s="17">
        <f t="shared" si="143"/>
        <v>42227.771990740745</v>
      </c>
      <c r="U2197">
        <f>MONTH(Table1[[#This Row],[Launched]])</f>
        <v>7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 s="8">
        <v>1480662000</v>
      </c>
      <c r="J2198">
        <v>1478000502</v>
      </c>
      <c r="K2198" t="b">
        <v>0</v>
      </c>
      <c r="L2198" s="10">
        <v>234</v>
      </c>
      <c r="M2198" t="b">
        <v>1</v>
      </c>
      <c r="N2198" t="s">
        <v>8295</v>
      </c>
      <c r="O2198" s="11">
        <f t="shared" si="140"/>
        <v>114</v>
      </c>
      <c r="P2198" s="12">
        <f t="shared" si="141"/>
        <v>68</v>
      </c>
      <c r="Q2198" s="14" t="s">
        <v>8330</v>
      </c>
      <c r="R2198" t="s">
        <v>8348</v>
      </c>
      <c r="S2198" s="17">
        <f t="shared" si="142"/>
        <v>42675.487291666665</v>
      </c>
      <c r="T2198" s="17">
        <f t="shared" si="143"/>
        <v>42706.291666666672</v>
      </c>
      <c r="U2198">
        <f>MONTH(Table1[[#This Row],[Launched]])</f>
        <v>11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 s="8">
        <v>1425132059</v>
      </c>
      <c r="J2199">
        <v>1422540059</v>
      </c>
      <c r="K2199" t="b">
        <v>0</v>
      </c>
      <c r="L2199" s="10">
        <v>4330</v>
      </c>
      <c r="M2199" t="b">
        <v>1</v>
      </c>
      <c r="N2199" t="s">
        <v>8295</v>
      </c>
      <c r="O2199" s="11">
        <f t="shared" si="140"/>
        <v>951</v>
      </c>
      <c r="P2199" s="12">
        <f t="shared" si="141"/>
        <v>66</v>
      </c>
      <c r="Q2199" s="14" t="s">
        <v>8330</v>
      </c>
      <c r="R2199" t="s">
        <v>8348</v>
      </c>
      <c r="S2199" s="17">
        <f t="shared" si="142"/>
        <v>42033.584016203706</v>
      </c>
      <c r="T2199" s="17">
        <f t="shared" si="143"/>
        <v>42063.584016203706</v>
      </c>
      <c r="U2199">
        <f>MONTH(Table1[[#This Row],[Launched]])</f>
        <v>1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 s="8">
        <v>1447507200</v>
      </c>
      <c r="J2200">
        <v>1444911600</v>
      </c>
      <c r="K2200" t="b">
        <v>0</v>
      </c>
      <c r="L2200" s="10">
        <v>651</v>
      </c>
      <c r="M2200" t="b">
        <v>1</v>
      </c>
      <c r="N2200" t="s">
        <v>8295</v>
      </c>
      <c r="O2200" s="11">
        <f t="shared" si="140"/>
        <v>133</v>
      </c>
      <c r="P2200" s="12">
        <f t="shared" si="141"/>
        <v>82</v>
      </c>
      <c r="Q2200" s="14" t="s">
        <v>8330</v>
      </c>
      <c r="R2200" t="s">
        <v>8348</v>
      </c>
      <c r="S2200" s="17">
        <f t="shared" si="142"/>
        <v>42292.513888888891</v>
      </c>
      <c r="T2200" s="17">
        <f t="shared" si="143"/>
        <v>42322.555555555555</v>
      </c>
      <c r="U2200">
        <f>MONTH(Table1[[#This Row],[Launched]])</f>
        <v>10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 s="8">
        <v>1444903198</v>
      </c>
      <c r="J2201">
        <v>1442311198</v>
      </c>
      <c r="K2201" t="b">
        <v>1</v>
      </c>
      <c r="L2201" s="10">
        <v>251</v>
      </c>
      <c r="M2201" t="b">
        <v>1</v>
      </c>
      <c r="N2201" t="s">
        <v>8295</v>
      </c>
      <c r="O2201" s="11">
        <f t="shared" si="140"/>
        <v>147</v>
      </c>
      <c r="P2201" s="12">
        <f t="shared" si="141"/>
        <v>53</v>
      </c>
      <c r="Q2201" s="14" t="s">
        <v>8330</v>
      </c>
      <c r="R2201" t="s">
        <v>8348</v>
      </c>
      <c r="S2201" s="17">
        <f t="shared" si="142"/>
        <v>42262.416643518518</v>
      </c>
      <c r="T2201" s="17">
        <f t="shared" si="143"/>
        <v>42292.416643518518</v>
      </c>
      <c r="U2201">
        <f>MONTH(Table1[[#This Row],[Launched]])</f>
        <v>9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 s="8">
        <v>1436151600</v>
      </c>
      <c r="J2202">
        <v>1433775668</v>
      </c>
      <c r="K2202" t="b">
        <v>0</v>
      </c>
      <c r="L2202" s="10">
        <v>263</v>
      </c>
      <c r="M2202" t="b">
        <v>1</v>
      </c>
      <c r="N2202" t="s">
        <v>8295</v>
      </c>
      <c r="O2202" s="11">
        <f t="shared" si="140"/>
        <v>542</v>
      </c>
      <c r="P2202" s="12">
        <f t="shared" si="141"/>
        <v>41</v>
      </c>
      <c r="Q2202" s="14" t="s">
        <v>8330</v>
      </c>
      <c r="R2202" t="s">
        <v>8348</v>
      </c>
      <c r="S2202" s="17">
        <f t="shared" si="142"/>
        <v>42163.625787037032</v>
      </c>
      <c r="T2202" s="17">
        <f t="shared" si="143"/>
        <v>42191.125</v>
      </c>
      <c r="U2202">
        <f>MONTH(Table1[[#This Row],[Launched]])</f>
        <v>6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 s="8">
        <v>1358367565</v>
      </c>
      <c r="J2203">
        <v>1357157965</v>
      </c>
      <c r="K2203" t="b">
        <v>0</v>
      </c>
      <c r="L2203" s="10">
        <v>28</v>
      </c>
      <c r="M2203" t="b">
        <v>1</v>
      </c>
      <c r="N2203" t="s">
        <v>8278</v>
      </c>
      <c r="O2203" s="11">
        <f t="shared" si="140"/>
        <v>383</v>
      </c>
      <c r="P2203" s="12">
        <f t="shared" si="141"/>
        <v>15</v>
      </c>
      <c r="Q2203" s="14" t="s">
        <v>8322</v>
      </c>
      <c r="R2203" t="s">
        <v>8327</v>
      </c>
      <c r="S2203" s="17">
        <f t="shared" si="142"/>
        <v>41276.846817129634</v>
      </c>
      <c r="T2203" s="17">
        <f t="shared" si="143"/>
        <v>41290.846817129634</v>
      </c>
      <c r="U2203">
        <f>MONTH(Table1[[#This Row],[Launched]])</f>
        <v>1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 s="8">
        <v>1351801368</v>
      </c>
      <c r="J2204">
        <v>1349209368</v>
      </c>
      <c r="K2204" t="b">
        <v>0</v>
      </c>
      <c r="L2204" s="10">
        <v>721</v>
      </c>
      <c r="M2204" t="b">
        <v>1</v>
      </c>
      <c r="N2204" t="s">
        <v>8278</v>
      </c>
      <c r="O2204" s="11">
        <f t="shared" si="140"/>
        <v>704</v>
      </c>
      <c r="P2204" s="12">
        <f t="shared" si="141"/>
        <v>39</v>
      </c>
      <c r="Q2204" s="14" t="s">
        <v>8322</v>
      </c>
      <c r="R2204" t="s">
        <v>8327</v>
      </c>
      <c r="S2204" s="17">
        <f t="shared" si="142"/>
        <v>41184.849166666667</v>
      </c>
      <c r="T2204" s="17">
        <f t="shared" si="143"/>
        <v>41214.849166666667</v>
      </c>
      <c r="U2204">
        <f>MONTH(Table1[[#This Row],[Launched]])</f>
        <v>10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 s="8">
        <v>1443127082</v>
      </c>
      <c r="J2205">
        <v>1440535082</v>
      </c>
      <c r="K2205" t="b">
        <v>0</v>
      </c>
      <c r="L2205" s="10">
        <v>50</v>
      </c>
      <c r="M2205" t="b">
        <v>1</v>
      </c>
      <c r="N2205" t="s">
        <v>8278</v>
      </c>
      <c r="O2205" s="11">
        <f t="shared" si="140"/>
        <v>110</v>
      </c>
      <c r="P2205" s="12">
        <f t="shared" si="141"/>
        <v>44</v>
      </c>
      <c r="Q2205" s="14" t="s">
        <v>8322</v>
      </c>
      <c r="R2205" t="s">
        <v>8327</v>
      </c>
      <c r="S2205" s="17">
        <f t="shared" si="142"/>
        <v>42241.85974537037</v>
      </c>
      <c r="T2205" s="17">
        <f t="shared" si="143"/>
        <v>42271.85974537037</v>
      </c>
      <c r="U2205">
        <f>MONTH(Table1[[#This Row],[Launched]])</f>
        <v>8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 s="8">
        <v>1362814119</v>
      </c>
      <c r="J2206">
        <v>1360222119</v>
      </c>
      <c r="K2206" t="b">
        <v>0</v>
      </c>
      <c r="L2206" s="10">
        <v>73</v>
      </c>
      <c r="M2206" t="b">
        <v>1</v>
      </c>
      <c r="N2206" t="s">
        <v>8278</v>
      </c>
      <c r="O2206" s="11">
        <f t="shared" si="140"/>
        <v>133</v>
      </c>
      <c r="P2206" s="12">
        <f t="shared" si="141"/>
        <v>27</v>
      </c>
      <c r="Q2206" s="14" t="s">
        <v>8322</v>
      </c>
      <c r="R2206" t="s">
        <v>8327</v>
      </c>
      <c r="S2206" s="17">
        <f t="shared" si="142"/>
        <v>41312.311562499999</v>
      </c>
      <c r="T2206" s="17">
        <f t="shared" si="143"/>
        <v>41342.311562499999</v>
      </c>
      <c r="U2206">
        <f>MONTH(Table1[[#This Row],[Launched]])</f>
        <v>2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8218</v>
      </c>
      <c r="G2207" t="s">
        <v>8223</v>
      </c>
      <c r="H2207" t="s">
        <v>8245</v>
      </c>
      <c r="I2207" s="8">
        <v>1338579789</v>
      </c>
      <c r="J2207">
        <v>1335987789</v>
      </c>
      <c r="K2207" t="b">
        <v>0</v>
      </c>
      <c r="L2207" s="10">
        <v>27</v>
      </c>
      <c r="M2207" t="b">
        <v>1</v>
      </c>
      <c r="N2207" t="s">
        <v>8278</v>
      </c>
      <c r="O2207" s="11">
        <f t="shared" si="140"/>
        <v>152</v>
      </c>
      <c r="P2207" s="12">
        <f t="shared" si="141"/>
        <v>42</v>
      </c>
      <c r="Q2207" s="14" t="s">
        <v>8322</v>
      </c>
      <c r="R2207" t="s">
        <v>8327</v>
      </c>
      <c r="S2207" s="17">
        <f t="shared" si="142"/>
        <v>41031.82163194444</v>
      </c>
      <c r="T2207" s="17">
        <f t="shared" si="143"/>
        <v>41061.82163194444</v>
      </c>
      <c r="U2207">
        <f>MONTH(Table1[[#This Row],[Launched]])</f>
        <v>5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 s="8">
        <v>1334556624</v>
      </c>
      <c r="J2208">
        <v>1333001424</v>
      </c>
      <c r="K2208" t="b">
        <v>0</v>
      </c>
      <c r="L2208" s="10">
        <v>34</v>
      </c>
      <c r="M2208" t="b">
        <v>1</v>
      </c>
      <c r="N2208" t="s">
        <v>8278</v>
      </c>
      <c r="O2208" s="11">
        <f t="shared" si="140"/>
        <v>103</v>
      </c>
      <c r="P2208" s="12">
        <f t="shared" si="141"/>
        <v>33</v>
      </c>
      <c r="Q2208" s="14" t="s">
        <v>8322</v>
      </c>
      <c r="R2208" t="s">
        <v>8327</v>
      </c>
      <c r="S2208" s="17">
        <f t="shared" si="142"/>
        <v>40997.257222222222</v>
      </c>
      <c r="T2208" s="17">
        <f t="shared" si="143"/>
        <v>41015.257222222222</v>
      </c>
      <c r="U2208">
        <f>MONTH(Table1[[#This Row],[Launched]])</f>
        <v>3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 s="8">
        <v>1384580373</v>
      </c>
      <c r="J2209">
        <v>1381984773</v>
      </c>
      <c r="K2209" t="b">
        <v>0</v>
      </c>
      <c r="L2209" s="10">
        <v>7</v>
      </c>
      <c r="M2209" t="b">
        <v>1</v>
      </c>
      <c r="N2209" t="s">
        <v>8278</v>
      </c>
      <c r="O2209" s="11">
        <f t="shared" si="140"/>
        <v>100</v>
      </c>
      <c r="P2209" s="12">
        <f t="shared" si="141"/>
        <v>286</v>
      </c>
      <c r="Q2209" s="14" t="s">
        <v>8322</v>
      </c>
      <c r="R2209" t="s">
        <v>8327</v>
      </c>
      <c r="S2209" s="17">
        <f t="shared" si="142"/>
        <v>41564.194131944445</v>
      </c>
      <c r="T2209" s="17">
        <f t="shared" si="143"/>
        <v>41594.235798611109</v>
      </c>
      <c r="U2209">
        <f>MONTH(Table1[[#This Row],[Launched]])</f>
        <v>10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 s="8">
        <v>1333771200</v>
      </c>
      <c r="J2210">
        <v>1328649026</v>
      </c>
      <c r="K2210" t="b">
        <v>0</v>
      </c>
      <c r="L2210" s="10">
        <v>24</v>
      </c>
      <c r="M2210" t="b">
        <v>1</v>
      </c>
      <c r="N2210" t="s">
        <v>8278</v>
      </c>
      <c r="O2210" s="11">
        <f t="shared" si="140"/>
        <v>102</v>
      </c>
      <c r="P2210" s="12">
        <f t="shared" si="141"/>
        <v>42</v>
      </c>
      <c r="Q2210" s="14" t="s">
        <v>8322</v>
      </c>
      <c r="R2210" t="s">
        <v>8327</v>
      </c>
      <c r="S2210" s="17">
        <f t="shared" si="142"/>
        <v>40946.882245370369</v>
      </c>
      <c r="T2210" s="17">
        <f t="shared" si="143"/>
        <v>41006.166666666664</v>
      </c>
      <c r="U2210">
        <f>MONTH(Table1[[#This Row],[Launched]])</f>
        <v>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8218</v>
      </c>
      <c r="G2211" t="s">
        <v>8224</v>
      </c>
      <c r="H2211" t="s">
        <v>8246</v>
      </c>
      <c r="I2211" s="8">
        <v>1397516400</v>
      </c>
      <c r="J2211">
        <v>1396524644</v>
      </c>
      <c r="K2211" t="b">
        <v>0</v>
      </c>
      <c r="L2211" s="10">
        <v>15</v>
      </c>
      <c r="M2211" t="b">
        <v>1</v>
      </c>
      <c r="N2211" t="s">
        <v>8278</v>
      </c>
      <c r="O2211" s="11">
        <f t="shared" si="140"/>
        <v>151</v>
      </c>
      <c r="P2211" s="12">
        <f t="shared" si="141"/>
        <v>50</v>
      </c>
      <c r="Q2211" s="14" t="s">
        <v>8322</v>
      </c>
      <c r="R2211" t="s">
        <v>8327</v>
      </c>
      <c r="S2211" s="17">
        <f t="shared" si="142"/>
        <v>41732.479675925926</v>
      </c>
      <c r="T2211" s="17">
        <f t="shared" si="143"/>
        <v>41743.958333333336</v>
      </c>
      <c r="U2211">
        <f>MONTH(Table1[[#This Row],[Launched]])</f>
        <v>4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 s="8">
        <v>1334424960</v>
      </c>
      <c r="J2212">
        <v>1329442510</v>
      </c>
      <c r="K2212" t="b">
        <v>0</v>
      </c>
      <c r="L2212" s="10">
        <v>72</v>
      </c>
      <c r="M2212" t="b">
        <v>1</v>
      </c>
      <c r="N2212" t="s">
        <v>8278</v>
      </c>
      <c r="O2212" s="11">
        <f t="shared" si="140"/>
        <v>111</v>
      </c>
      <c r="P2212" s="12">
        <f t="shared" si="141"/>
        <v>62</v>
      </c>
      <c r="Q2212" s="14" t="s">
        <v>8322</v>
      </c>
      <c r="R2212" t="s">
        <v>8327</v>
      </c>
      <c r="S2212" s="17">
        <f t="shared" si="142"/>
        <v>40956.066087962965</v>
      </c>
      <c r="T2212" s="17">
        <f t="shared" si="143"/>
        <v>41013.73333333333</v>
      </c>
      <c r="U2212">
        <f>MONTH(Table1[[#This Row],[Launched]])</f>
        <v>2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 s="8">
        <v>1397113140</v>
      </c>
      <c r="J2213">
        <v>1395168625</v>
      </c>
      <c r="K2213" t="b">
        <v>0</v>
      </c>
      <c r="L2213" s="10">
        <v>120</v>
      </c>
      <c r="M2213" t="b">
        <v>1</v>
      </c>
      <c r="N2213" t="s">
        <v>8278</v>
      </c>
      <c r="O2213" s="11">
        <f t="shared" si="140"/>
        <v>196</v>
      </c>
      <c r="P2213" s="12">
        <f t="shared" si="141"/>
        <v>41</v>
      </c>
      <c r="Q2213" s="14" t="s">
        <v>8322</v>
      </c>
      <c r="R2213" t="s">
        <v>8327</v>
      </c>
      <c r="S2213" s="17">
        <f t="shared" si="142"/>
        <v>41716.785011574073</v>
      </c>
      <c r="T2213" s="17">
        <f t="shared" si="143"/>
        <v>41739.290972222225</v>
      </c>
      <c r="U2213">
        <f>MONTH(Table1[[#This Row],[Launched]])</f>
        <v>3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 s="8">
        <v>1383526800</v>
      </c>
      <c r="J2214">
        <v>1380650177</v>
      </c>
      <c r="K2214" t="b">
        <v>0</v>
      </c>
      <c r="L2214" s="10">
        <v>123</v>
      </c>
      <c r="M2214" t="b">
        <v>1</v>
      </c>
      <c r="N2214" t="s">
        <v>8278</v>
      </c>
      <c r="O2214" s="11">
        <f t="shared" si="140"/>
        <v>114</v>
      </c>
      <c r="P2214" s="12">
        <f t="shared" si="141"/>
        <v>56</v>
      </c>
      <c r="Q2214" s="14" t="s">
        <v>8322</v>
      </c>
      <c r="R2214" t="s">
        <v>8327</v>
      </c>
      <c r="S2214" s="17">
        <f t="shared" si="142"/>
        <v>41548.747418981482</v>
      </c>
      <c r="T2214" s="17">
        <f t="shared" si="143"/>
        <v>41582.041666666664</v>
      </c>
      <c r="U2214">
        <f>MONTH(Table1[[#This Row],[Launched]])</f>
        <v>10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8218</v>
      </c>
      <c r="G2215" t="s">
        <v>8223</v>
      </c>
      <c r="H2215" t="s">
        <v>8245</v>
      </c>
      <c r="I2215" s="8">
        <v>1431719379</v>
      </c>
      <c r="J2215">
        <v>1429127379</v>
      </c>
      <c r="K2215" t="b">
        <v>0</v>
      </c>
      <c r="L2215" s="10">
        <v>1</v>
      </c>
      <c r="M2215" t="b">
        <v>1</v>
      </c>
      <c r="N2215" t="s">
        <v>8278</v>
      </c>
      <c r="O2215" s="11">
        <f t="shared" si="140"/>
        <v>200</v>
      </c>
      <c r="P2215" s="12">
        <f t="shared" si="141"/>
        <v>10</v>
      </c>
      <c r="Q2215" s="14" t="s">
        <v>8322</v>
      </c>
      <c r="R2215" t="s">
        <v>8327</v>
      </c>
      <c r="S2215" s="17">
        <f t="shared" si="142"/>
        <v>42109.826145833329</v>
      </c>
      <c r="T2215" s="17">
        <f t="shared" si="143"/>
        <v>42139.826145833329</v>
      </c>
      <c r="U2215">
        <f>MONTH(Table1[[#This Row],[Launched]])</f>
        <v>4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 s="8">
        <v>1391713248</v>
      </c>
      <c r="J2216">
        <v>1389121248</v>
      </c>
      <c r="K2216" t="b">
        <v>0</v>
      </c>
      <c r="L2216" s="10">
        <v>24</v>
      </c>
      <c r="M2216" t="b">
        <v>1</v>
      </c>
      <c r="N2216" t="s">
        <v>8278</v>
      </c>
      <c r="O2216" s="11">
        <f t="shared" si="140"/>
        <v>293</v>
      </c>
      <c r="P2216" s="12">
        <f t="shared" si="141"/>
        <v>73</v>
      </c>
      <c r="Q2216" s="14" t="s">
        <v>8322</v>
      </c>
      <c r="R2216" t="s">
        <v>8327</v>
      </c>
      <c r="S2216" s="17">
        <f t="shared" si="142"/>
        <v>41646.792222222226</v>
      </c>
      <c r="T2216" s="17">
        <f t="shared" si="143"/>
        <v>41676.792222222226</v>
      </c>
      <c r="U2216">
        <f>MONTH(Table1[[#This Row],[Launched]])</f>
        <v>1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8218</v>
      </c>
      <c r="G2217" t="s">
        <v>8223</v>
      </c>
      <c r="H2217" t="s">
        <v>8245</v>
      </c>
      <c r="I2217" s="8">
        <v>1331621940</v>
      </c>
      <c r="J2217">
        <v>1329671572</v>
      </c>
      <c r="K2217" t="b">
        <v>0</v>
      </c>
      <c r="L2217" s="10">
        <v>33</v>
      </c>
      <c r="M2217" t="b">
        <v>1</v>
      </c>
      <c r="N2217" t="s">
        <v>8278</v>
      </c>
      <c r="O2217" s="11">
        <f t="shared" si="140"/>
        <v>156</v>
      </c>
      <c r="P2217" s="12">
        <f t="shared" si="141"/>
        <v>26</v>
      </c>
      <c r="Q2217" s="14" t="s">
        <v>8322</v>
      </c>
      <c r="R2217" t="s">
        <v>8327</v>
      </c>
      <c r="S2217" s="17">
        <f t="shared" si="142"/>
        <v>40958.717268518521</v>
      </c>
      <c r="T2217" s="17">
        <f t="shared" si="143"/>
        <v>40981.290972222225</v>
      </c>
      <c r="U2217">
        <f>MONTH(Table1[[#This Row],[Launched]])</f>
        <v>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8218</v>
      </c>
      <c r="G2218" t="s">
        <v>8223</v>
      </c>
      <c r="H2218" t="s">
        <v>8245</v>
      </c>
      <c r="I2218" s="8">
        <v>1437674545</v>
      </c>
      <c r="J2218">
        <v>1436464945</v>
      </c>
      <c r="K2218" t="b">
        <v>0</v>
      </c>
      <c r="L2218" s="10">
        <v>14</v>
      </c>
      <c r="M2218" t="b">
        <v>1</v>
      </c>
      <c r="N2218" t="s">
        <v>8278</v>
      </c>
      <c r="O2218" s="11">
        <f t="shared" si="140"/>
        <v>106</v>
      </c>
      <c r="P2218" s="12">
        <f t="shared" si="141"/>
        <v>23</v>
      </c>
      <c r="Q2218" s="14" t="s">
        <v>8322</v>
      </c>
      <c r="R2218" t="s">
        <v>8327</v>
      </c>
      <c r="S2218" s="17">
        <f t="shared" si="142"/>
        <v>42194.751678240747</v>
      </c>
      <c r="T2218" s="17">
        <f t="shared" si="143"/>
        <v>42208.751678240747</v>
      </c>
      <c r="U2218">
        <f>MONTH(Table1[[#This Row],[Launched]])</f>
        <v>7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8218</v>
      </c>
      <c r="G2219" t="s">
        <v>8223</v>
      </c>
      <c r="H2219" t="s">
        <v>8245</v>
      </c>
      <c r="I2219" s="8">
        <v>1446451200</v>
      </c>
      <c r="J2219">
        <v>1445539113</v>
      </c>
      <c r="K2219" t="b">
        <v>0</v>
      </c>
      <c r="L2219" s="10">
        <v>9</v>
      </c>
      <c r="M2219" t="b">
        <v>1</v>
      </c>
      <c r="N2219" t="s">
        <v>8278</v>
      </c>
      <c r="O2219" s="11">
        <f t="shared" si="140"/>
        <v>101</v>
      </c>
      <c r="P2219" s="12">
        <f t="shared" si="141"/>
        <v>47</v>
      </c>
      <c r="Q2219" s="14" t="s">
        <v>8322</v>
      </c>
      <c r="R2219" t="s">
        <v>8327</v>
      </c>
      <c r="S2219" s="17">
        <f t="shared" si="142"/>
        <v>42299.776770833334</v>
      </c>
      <c r="T2219" s="17">
        <f t="shared" si="143"/>
        <v>42310.333333333328</v>
      </c>
      <c r="U2219">
        <f>MONTH(Table1[[#This Row],[Launched]])</f>
        <v>10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 s="8">
        <v>1346198400</v>
      </c>
      <c r="J2220">
        <v>1344281383</v>
      </c>
      <c r="K2220" t="b">
        <v>0</v>
      </c>
      <c r="L2220" s="10">
        <v>76</v>
      </c>
      <c r="M2220" t="b">
        <v>1</v>
      </c>
      <c r="N2220" t="s">
        <v>8278</v>
      </c>
      <c r="O2220" s="11">
        <f t="shared" si="140"/>
        <v>123</v>
      </c>
      <c r="P2220" s="12">
        <f t="shared" si="141"/>
        <v>32</v>
      </c>
      <c r="Q2220" s="14" t="s">
        <v>8322</v>
      </c>
      <c r="R2220" t="s">
        <v>8327</v>
      </c>
      <c r="S2220" s="17">
        <f t="shared" si="142"/>
        <v>41127.812303240738</v>
      </c>
      <c r="T2220" s="17">
        <f t="shared" si="143"/>
        <v>41150</v>
      </c>
      <c r="U2220">
        <f>MONTH(Table1[[#This Row],[Launched]])</f>
        <v>8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 s="8">
        <v>1440004512</v>
      </c>
      <c r="J2221">
        <v>1437412512</v>
      </c>
      <c r="K2221" t="b">
        <v>0</v>
      </c>
      <c r="L2221" s="10">
        <v>19</v>
      </c>
      <c r="M2221" t="b">
        <v>1</v>
      </c>
      <c r="N2221" t="s">
        <v>8278</v>
      </c>
      <c r="O2221" s="11">
        <f t="shared" si="140"/>
        <v>102</v>
      </c>
      <c r="P2221" s="12">
        <f t="shared" si="141"/>
        <v>53</v>
      </c>
      <c r="Q2221" s="14" t="s">
        <v>8322</v>
      </c>
      <c r="R2221" t="s">
        <v>8327</v>
      </c>
      <c r="S2221" s="17">
        <f t="shared" si="142"/>
        <v>42205.718888888892</v>
      </c>
      <c r="T2221" s="17">
        <f t="shared" si="143"/>
        <v>42235.718888888892</v>
      </c>
      <c r="U2221">
        <f>MONTH(Table1[[#This Row],[Launched]])</f>
        <v>7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 s="8">
        <v>1374888436</v>
      </c>
      <c r="J2222">
        <v>1372296436</v>
      </c>
      <c r="K2222" t="b">
        <v>0</v>
      </c>
      <c r="L2222" s="10">
        <v>69</v>
      </c>
      <c r="M2222" t="b">
        <v>1</v>
      </c>
      <c r="N2222" t="s">
        <v>8278</v>
      </c>
      <c r="O2222" s="11">
        <f t="shared" si="140"/>
        <v>101</v>
      </c>
      <c r="P2222" s="12">
        <f t="shared" si="141"/>
        <v>51</v>
      </c>
      <c r="Q2222" s="14" t="s">
        <v>8322</v>
      </c>
      <c r="R2222" t="s">
        <v>8327</v>
      </c>
      <c r="S2222" s="17">
        <f t="shared" si="142"/>
        <v>41452.060601851852</v>
      </c>
      <c r="T2222" s="17">
        <f t="shared" si="143"/>
        <v>41482.060601851852</v>
      </c>
      <c r="U2222">
        <f>MONTH(Table1[[#This Row],[Launched]])</f>
        <v>6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 s="8">
        <v>1461369600</v>
      </c>
      <c r="J2223">
        <v>1458748809</v>
      </c>
      <c r="K2223" t="b">
        <v>0</v>
      </c>
      <c r="L2223" s="10">
        <v>218</v>
      </c>
      <c r="M2223" t="b">
        <v>1</v>
      </c>
      <c r="N2223" t="s">
        <v>8295</v>
      </c>
      <c r="O2223" s="11">
        <f t="shared" si="140"/>
        <v>108</v>
      </c>
      <c r="P2223" s="12">
        <f t="shared" si="141"/>
        <v>37</v>
      </c>
      <c r="Q2223" s="14" t="s">
        <v>8330</v>
      </c>
      <c r="R2223" t="s">
        <v>8348</v>
      </c>
      <c r="S2223" s="17">
        <f t="shared" si="142"/>
        <v>42452.666770833333</v>
      </c>
      <c r="T2223" s="17">
        <f t="shared" si="143"/>
        <v>42483</v>
      </c>
      <c r="U2223">
        <f>MONTH(Table1[[#This Row],[Launched]])</f>
        <v>3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8218</v>
      </c>
      <c r="G2224" t="s">
        <v>8223</v>
      </c>
      <c r="H2224" t="s">
        <v>8245</v>
      </c>
      <c r="I2224" s="8">
        <v>1327776847</v>
      </c>
      <c r="J2224">
        <v>1325184847</v>
      </c>
      <c r="K2224" t="b">
        <v>0</v>
      </c>
      <c r="L2224" s="10">
        <v>30</v>
      </c>
      <c r="M2224" t="b">
        <v>1</v>
      </c>
      <c r="N2224" t="s">
        <v>8295</v>
      </c>
      <c r="O2224" s="11">
        <f t="shared" si="140"/>
        <v>163</v>
      </c>
      <c r="P2224" s="12">
        <f t="shared" si="141"/>
        <v>27</v>
      </c>
      <c r="Q2224" s="14" t="s">
        <v>8330</v>
      </c>
      <c r="R2224" t="s">
        <v>8348</v>
      </c>
      <c r="S2224" s="17">
        <f t="shared" si="142"/>
        <v>40906.787581018521</v>
      </c>
      <c r="T2224" s="17">
        <f t="shared" si="143"/>
        <v>40936.787581018521</v>
      </c>
      <c r="U2224">
        <f>MONTH(Table1[[#This Row],[Launched]])</f>
        <v>12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 s="8">
        <v>1435418568</v>
      </c>
      <c r="J2225">
        <v>1432826568</v>
      </c>
      <c r="K2225" t="b">
        <v>0</v>
      </c>
      <c r="L2225" s="10">
        <v>100</v>
      </c>
      <c r="M2225" t="b">
        <v>1</v>
      </c>
      <c r="N2225" t="s">
        <v>8295</v>
      </c>
      <c r="O2225" s="11">
        <f t="shared" si="140"/>
        <v>106</v>
      </c>
      <c r="P2225" s="12">
        <f t="shared" si="141"/>
        <v>206</v>
      </c>
      <c r="Q2225" s="14" t="s">
        <v>8330</v>
      </c>
      <c r="R2225" t="s">
        <v>8348</v>
      </c>
      <c r="S2225" s="17">
        <f t="shared" si="142"/>
        <v>42152.640833333338</v>
      </c>
      <c r="T2225" s="17">
        <f t="shared" si="143"/>
        <v>42182.640833333338</v>
      </c>
      <c r="U2225">
        <f>MONTH(Table1[[#This Row],[Launched]])</f>
        <v>5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 s="8">
        <v>1477767600</v>
      </c>
      <c r="J2226">
        <v>1475337675</v>
      </c>
      <c r="K2226" t="b">
        <v>0</v>
      </c>
      <c r="L2226" s="10">
        <v>296</v>
      </c>
      <c r="M2226" t="b">
        <v>1</v>
      </c>
      <c r="N2226" t="s">
        <v>8295</v>
      </c>
      <c r="O2226" s="11">
        <f t="shared" si="140"/>
        <v>243</v>
      </c>
      <c r="P2226" s="12">
        <f t="shared" si="141"/>
        <v>82</v>
      </c>
      <c r="Q2226" s="14" t="s">
        <v>8330</v>
      </c>
      <c r="R2226" t="s">
        <v>8348</v>
      </c>
      <c r="S2226" s="17">
        <f t="shared" si="142"/>
        <v>42644.667534722219</v>
      </c>
      <c r="T2226" s="17">
        <f t="shared" si="143"/>
        <v>42672.791666666672</v>
      </c>
      <c r="U2226">
        <f>MONTH(Table1[[#This Row],[Launched]])</f>
        <v>10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 s="8">
        <v>1411326015</v>
      </c>
      <c r="J2227">
        <v>1408734015</v>
      </c>
      <c r="K2227" t="b">
        <v>0</v>
      </c>
      <c r="L2227" s="10">
        <v>1204</v>
      </c>
      <c r="M2227" t="b">
        <v>1</v>
      </c>
      <c r="N2227" t="s">
        <v>8295</v>
      </c>
      <c r="O2227" s="11">
        <f t="shared" si="140"/>
        <v>945</v>
      </c>
      <c r="P2227" s="12">
        <f t="shared" si="141"/>
        <v>165</v>
      </c>
      <c r="Q2227" s="14" t="s">
        <v>8330</v>
      </c>
      <c r="R2227" t="s">
        <v>8348</v>
      </c>
      <c r="S2227" s="17">
        <f t="shared" si="142"/>
        <v>41873.79184027778</v>
      </c>
      <c r="T2227" s="17">
        <f t="shared" si="143"/>
        <v>41903.79184027778</v>
      </c>
      <c r="U2227">
        <f>MONTH(Table1[[#This Row],[Launched]])</f>
        <v>8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 s="8">
        <v>1455253140</v>
      </c>
      <c r="J2228">
        <v>1452625822</v>
      </c>
      <c r="K2228" t="b">
        <v>0</v>
      </c>
      <c r="L2228" s="10">
        <v>321</v>
      </c>
      <c r="M2228" t="b">
        <v>1</v>
      </c>
      <c r="N2228" t="s">
        <v>8295</v>
      </c>
      <c r="O2228" s="11">
        <f t="shared" si="140"/>
        <v>108</v>
      </c>
      <c r="P2228" s="12">
        <f t="shared" si="141"/>
        <v>61</v>
      </c>
      <c r="Q2228" s="14" t="s">
        <v>8330</v>
      </c>
      <c r="R2228" t="s">
        <v>8348</v>
      </c>
      <c r="S2228" s="17">
        <f t="shared" si="142"/>
        <v>42381.79886574074</v>
      </c>
      <c r="T2228" s="17">
        <f t="shared" si="143"/>
        <v>42412.207638888889</v>
      </c>
      <c r="U2228">
        <f>MONTH(Table1[[#This Row],[Launched]])</f>
        <v>1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 s="8">
        <v>1384374155</v>
      </c>
      <c r="J2229">
        <v>1381778555</v>
      </c>
      <c r="K2229" t="b">
        <v>0</v>
      </c>
      <c r="L2229" s="10">
        <v>301</v>
      </c>
      <c r="M2229" t="b">
        <v>1</v>
      </c>
      <c r="N2229" t="s">
        <v>8295</v>
      </c>
      <c r="O2229" s="11">
        <f t="shared" si="140"/>
        <v>157</v>
      </c>
      <c r="P2229" s="12">
        <f t="shared" si="141"/>
        <v>68</v>
      </c>
      <c r="Q2229" s="14" t="s">
        <v>8330</v>
      </c>
      <c r="R2229" t="s">
        <v>8348</v>
      </c>
      <c r="S2229" s="17">
        <f t="shared" si="142"/>
        <v>41561.807349537034</v>
      </c>
      <c r="T2229" s="17">
        <f t="shared" si="143"/>
        <v>41591.849016203705</v>
      </c>
      <c r="U2229">
        <f>MONTH(Table1[[#This Row],[Launched]])</f>
        <v>10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 s="8">
        <v>1439707236</v>
      </c>
      <c r="J2230">
        <v>1437115236</v>
      </c>
      <c r="K2230" t="b">
        <v>0</v>
      </c>
      <c r="L2230" s="10">
        <v>144</v>
      </c>
      <c r="M2230" t="b">
        <v>1</v>
      </c>
      <c r="N2230" t="s">
        <v>8295</v>
      </c>
      <c r="O2230" s="11">
        <f t="shared" si="140"/>
        <v>1174</v>
      </c>
      <c r="P2230" s="12">
        <f t="shared" si="141"/>
        <v>82</v>
      </c>
      <c r="Q2230" s="14" t="s">
        <v>8330</v>
      </c>
      <c r="R2230" t="s">
        <v>8348</v>
      </c>
      <c r="S2230" s="17">
        <f t="shared" si="142"/>
        <v>42202.278194444443</v>
      </c>
      <c r="T2230" s="17">
        <f t="shared" si="143"/>
        <v>42232.278194444443</v>
      </c>
      <c r="U2230">
        <f>MONTH(Table1[[#This Row],[Launched]])</f>
        <v>7</v>
      </c>
    </row>
    <row r="2231" spans="1:21" ht="57.6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 s="8">
        <v>1378180800</v>
      </c>
      <c r="J2231">
        <v>1375113391</v>
      </c>
      <c r="K2231" t="b">
        <v>0</v>
      </c>
      <c r="L2231" s="10">
        <v>539</v>
      </c>
      <c r="M2231" t="b">
        <v>1</v>
      </c>
      <c r="N2231" t="s">
        <v>8295</v>
      </c>
      <c r="O2231" s="11">
        <f t="shared" si="140"/>
        <v>171</v>
      </c>
      <c r="P2231" s="12">
        <f t="shared" si="141"/>
        <v>25</v>
      </c>
      <c r="Q2231" s="14" t="s">
        <v>8330</v>
      </c>
      <c r="R2231" t="s">
        <v>8348</v>
      </c>
      <c r="S2231" s="17">
        <f t="shared" si="142"/>
        <v>41484.664247685185</v>
      </c>
      <c r="T2231" s="17">
        <f t="shared" si="143"/>
        <v>41520.166666666664</v>
      </c>
      <c r="U2231">
        <f>MONTH(Table1[[#This Row],[Launched]])</f>
        <v>7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 s="8">
        <v>1398460127</v>
      </c>
      <c r="J2232">
        <v>1395868127</v>
      </c>
      <c r="K2232" t="b">
        <v>0</v>
      </c>
      <c r="L2232" s="10">
        <v>498</v>
      </c>
      <c r="M2232" t="b">
        <v>1</v>
      </c>
      <c r="N2232" t="s">
        <v>8295</v>
      </c>
      <c r="O2232" s="11">
        <f t="shared" si="140"/>
        <v>126</v>
      </c>
      <c r="P2232" s="12">
        <f t="shared" si="141"/>
        <v>21</v>
      </c>
      <c r="Q2232" s="14" t="s">
        <v>8330</v>
      </c>
      <c r="R2232" t="s">
        <v>8348</v>
      </c>
      <c r="S2232" s="17">
        <f t="shared" si="142"/>
        <v>41724.881099537037</v>
      </c>
      <c r="T2232" s="17">
        <f t="shared" si="143"/>
        <v>41754.881099537037</v>
      </c>
      <c r="U2232">
        <f>MONTH(Table1[[#This Row],[Launched]])</f>
        <v>3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 s="8">
        <v>1372136400</v>
      </c>
      <c r="J2233">
        <v>1369864301</v>
      </c>
      <c r="K2233" t="b">
        <v>0</v>
      </c>
      <c r="L2233" s="10">
        <v>1113</v>
      </c>
      <c r="M2233" t="b">
        <v>1</v>
      </c>
      <c r="N2233" t="s">
        <v>8295</v>
      </c>
      <c r="O2233" s="11">
        <f t="shared" si="140"/>
        <v>1212</v>
      </c>
      <c r="P2233" s="12">
        <f t="shared" si="141"/>
        <v>27</v>
      </c>
      <c r="Q2233" s="14" t="s">
        <v>8330</v>
      </c>
      <c r="R2233" t="s">
        <v>8348</v>
      </c>
      <c r="S2233" s="17">
        <f t="shared" si="142"/>
        <v>41423.910891203705</v>
      </c>
      <c r="T2233" s="17">
        <f t="shared" si="143"/>
        <v>41450.208333333336</v>
      </c>
      <c r="U2233">
        <f>MONTH(Table1[[#This Row],[Launched]])</f>
        <v>5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 s="8">
        <v>1405738800</v>
      </c>
      <c r="J2234">
        <v>1402945408</v>
      </c>
      <c r="K2234" t="b">
        <v>0</v>
      </c>
      <c r="L2234" s="10">
        <v>988</v>
      </c>
      <c r="M2234" t="b">
        <v>1</v>
      </c>
      <c r="N2234" t="s">
        <v>8295</v>
      </c>
      <c r="O2234" s="11">
        <f t="shared" si="140"/>
        <v>496</v>
      </c>
      <c r="P2234" s="12">
        <f t="shared" si="141"/>
        <v>25</v>
      </c>
      <c r="Q2234" s="14" t="s">
        <v>8330</v>
      </c>
      <c r="R2234" t="s">
        <v>8348</v>
      </c>
      <c r="S2234" s="17">
        <f t="shared" si="142"/>
        <v>41806.794074074074</v>
      </c>
      <c r="T2234" s="17">
        <f t="shared" si="143"/>
        <v>41839.125</v>
      </c>
      <c r="U2234">
        <f>MONTH(Table1[[#This Row],[Launched]])</f>
        <v>6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 s="8">
        <v>1450051200</v>
      </c>
      <c r="J2235">
        <v>1448269539</v>
      </c>
      <c r="K2235" t="b">
        <v>0</v>
      </c>
      <c r="L2235" s="10">
        <v>391</v>
      </c>
      <c r="M2235" t="b">
        <v>1</v>
      </c>
      <c r="N2235" t="s">
        <v>8295</v>
      </c>
      <c r="O2235" s="11">
        <f t="shared" si="140"/>
        <v>332</v>
      </c>
      <c r="P2235" s="12">
        <f t="shared" si="141"/>
        <v>21</v>
      </c>
      <c r="Q2235" s="14" t="s">
        <v>8330</v>
      </c>
      <c r="R2235" t="s">
        <v>8348</v>
      </c>
      <c r="S2235" s="17">
        <f t="shared" si="142"/>
        <v>42331.378923611104</v>
      </c>
      <c r="T2235" s="17">
        <f t="shared" si="143"/>
        <v>42352</v>
      </c>
      <c r="U2235">
        <f>MONTH(Table1[[#This Row],[Launched]])</f>
        <v>11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8218</v>
      </c>
      <c r="G2236" t="s">
        <v>8223</v>
      </c>
      <c r="H2236" t="s">
        <v>8245</v>
      </c>
      <c r="I2236" s="8">
        <v>1483645647</v>
      </c>
      <c r="J2236">
        <v>1481053647</v>
      </c>
      <c r="K2236" t="b">
        <v>0</v>
      </c>
      <c r="L2236" s="10">
        <v>28</v>
      </c>
      <c r="M2236" t="b">
        <v>1</v>
      </c>
      <c r="N2236" t="s">
        <v>8295</v>
      </c>
      <c r="O2236" s="11">
        <f t="shared" si="140"/>
        <v>1165</v>
      </c>
      <c r="P2236" s="12">
        <f t="shared" si="141"/>
        <v>42</v>
      </c>
      <c r="Q2236" s="14" t="s">
        <v>8330</v>
      </c>
      <c r="R2236" t="s">
        <v>8348</v>
      </c>
      <c r="S2236" s="17">
        <f t="shared" si="142"/>
        <v>42710.824618055558</v>
      </c>
      <c r="T2236" s="17">
        <f t="shared" si="143"/>
        <v>42740.824618055558</v>
      </c>
      <c r="U2236">
        <f>MONTH(Table1[[#This Row],[Launched]])</f>
        <v>12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 s="8">
        <v>1427585511</v>
      </c>
      <c r="J2237">
        <v>1424997111</v>
      </c>
      <c r="K2237" t="b">
        <v>0</v>
      </c>
      <c r="L2237" s="10">
        <v>147</v>
      </c>
      <c r="M2237" t="b">
        <v>1</v>
      </c>
      <c r="N2237" t="s">
        <v>8295</v>
      </c>
      <c r="O2237" s="11">
        <f t="shared" si="140"/>
        <v>153</v>
      </c>
      <c r="P2237" s="12">
        <f t="shared" si="141"/>
        <v>136</v>
      </c>
      <c r="Q2237" s="14" t="s">
        <v>8330</v>
      </c>
      <c r="R2237" t="s">
        <v>8348</v>
      </c>
      <c r="S2237" s="17">
        <f t="shared" si="142"/>
        <v>42062.022118055553</v>
      </c>
      <c r="T2237" s="17">
        <f t="shared" si="143"/>
        <v>42091.980451388896</v>
      </c>
      <c r="U2237">
        <f>MONTH(Table1[[#This Row],[Launched]])</f>
        <v>2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 s="8">
        <v>1454338123</v>
      </c>
      <c r="J2238">
        <v>1451746123</v>
      </c>
      <c r="K2238" t="b">
        <v>0</v>
      </c>
      <c r="L2238" s="10">
        <v>680</v>
      </c>
      <c r="M2238" t="b">
        <v>1</v>
      </c>
      <c r="N2238" t="s">
        <v>8295</v>
      </c>
      <c r="O2238" s="11">
        <f t="shared" si="140"/>
        <v>537</v>
      </c>
      <c r="P2238" s="12">
        <f t="shared" si="141"/>
        <v>22</v>
      </c>
      <c r="Q2238" s="14" t="s">
        <v>8330</v>
      </c>
      <c r="R2238" t="s">
        <v>8348</v>
      </c>
      <c r="S2238" s="17">
        <f t="shared" si="142"/>
        <v>42371.617164351846</v>
      </c>
      <c r="T2238" s="17">
        <f t="shared" si="143"/>
        <v>42401.617164351846</v>
      </c>
      <c r="U2238">
        <f>MONTH(Table1[[#This Row],[Launched]])</f>
        <v>1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 s="8">
        <v>1415779140</v>
      </c>
      <c r="J2239">
        <v>1412294683</v>
      </c>
      <c r="K2239" t="b">
        <v>0</v>
      </c>
      <c r="L2239" s="10">
        <v>983</v>
      </c>
      <c r="M2239" t="b">
        <v>1</v>
      </c>
      <c r="N2239" t="s">
        <v>8295</v>
      </c>
      <c r="O2239" s="11">
        <f t="shared" si="140"/>
        <v>353</v>
      </c>
      <c r="P2239" s="12">
        <f t="shared" si="141"/>
        <v>65</v>
      </c>
      <c r="Q2239" s="14" t="s">
        <v>8330</v>
      </c>
      <c r="R2239" t="s">
        <v>8348</v>
      </c>
      <c r="S2239" s="17">
        <f t="shared" si="142"/>
        <v>41915.003275462965</v>
      </c>
      <c r="T2239" s="17">
        <f t="shared" si="143"/>
        <v>41955.332638888889</v>
      </c>
      <c r="U2239">
        <f>MONTH(Table1[[#This Row],[Launched]])</f>
        <v>10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 s="8">
        <v>1489157716</v>
      </c>
      <c r="J2240">
        <v>1486565716</v>
      </c>
      <c r="K2240" t="b">
        <v>0</v>
      </c>
      <c r="L2240" s="10">
        <v>79</v>
      </c>
      <c r="M2240" t="b">
        <v>1</v>
      </c>
      <c r="N2240" t="s">
        <v>8295</v>
      </c>
      <c r="O2240" s="11">
        <f t="shared" si="140"/>
        <v>137</v>
      </c>
      <c r="P2240" s="12">
        <f t="shared" si="141"/>
        <v>70</v>
      </c>
      <c r="Q2240" s="14" t="s">
        <v>8330</v>
      </c>
      <c r="R2240" t="s">
        <v>8348</v>
      </c>
      <c r="S2240" s="17">
        <f t="shared" si="142"/>
        <v>42774.621712962966</v>
      </c>
      <c r="T2240" s="17">
        <f t="shared" si="143"/>
        <v>42804.621712962966</v>
      </c>
      <c r="U2240">
        <f>MONTH(Table1[[#This Row],[Launched]])</f>
        <v>2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 s="8">
        <v>1385870520</v>
      </c>
      <c r="J2241">
        <v>1382742014</v>
      </c>
      <c r="K2241" t="b">
        <v>0</v>
      </c>
      <c r="L2241" s="10">
        <v>426</v>
      </c>
      <c r="M2241" t="b">
        <v>1</v>
      </c>
      <c r="N2241" t="s">
        <v>8295</v>
      </c>
      <c r="O2241" s="11">
        <f t="shared" si="140"/>
        <v>128</v>
      </c>
      <c r="P2241" s="12">
        <f t="shared" si="141"/>
        <v>75</v>
      </c>
      <c r="Q2241" s="14" t="s">
        <v>8330</v>
      </c>
      <c r="R2241" t="s">
        <v>8348</v>
      </c>
      <c r="S2241" s="17">
        <f t="shared" si="142"/>
        <v>41572.958495370374</v>
      </c>
      <c r="T2241" s="17">
        <f t="shared" si="143"/>
        <v>41609.168055555558</v>
      </c>
      <c r="U2241">
        <f>MONTH(Table1[[#This Row],[Launched]])</f>
        <v>10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 s="8">
        <v>1461354544</v>
      </c>
      <c r="J2242">
        <v>1458762544</v>
      </c>
      <c r="K2242" t="b">
        <v>0</v>
      </c>
      <c r="L2242" s="10">
        <v>96</v>
      </c>
      <c r="M2242" t="b">
        <v>1</v>
      </c>
      <c r="N2242" t="s">
        <v>8295</v>
      </c>
      <c r="O2242" s="11">
        <f t="shared" ref="O2242:O2305" si="144">ROUND(E2242/D2242*100,0)</f>
        <v>271</v>
      </c>
      <c r="P2242" s="12">
        <f t="shared" si="141"/>
        <v>141</v>
      </c>
      <c r="Q2242" s="14" t="s">
        <v>8330</v>
      </c>
      <c r="R2242" t="s">
        <v>8348</v>
      </c>
      <c r="S2242" s="17">
        <f t="shared" si="142"/>
        <v>42452.825740740736</v>
      </c>
      <c r="T2242" s="17">
        <f t="shared" si="143"/>
        <v>42482.825740740736</v>
      </c>
      <c r="U2242">
        <f>MONTH(Table1[[#This Row],[Launched]])</f>
        <v>3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 s="8">
        <v>1488484300</v>
      </c>
      <c r="J2243">
        <v>1485892300</v>
      </c>
      <c r="K2243" t="b">
        <v>0</v>
      </c>
      <c r="L2243" s="10">
        <v>163</v>
      </c>
      <c r="M2243" t="b">
        <v>1</v>
      </c>
      <c r="N2243" t="s">
        <v>8295</v>
      </c>
      <c r="O2243" s="11">
        <f t="shared" si="144"/>
        <v>806</v>
      </c>
      <c r="P2243" s="12">
        <f t="shared" ref="P2243:P2306" si="145">IFERROR(ROUND(E2243/L2243,),"No Backers")</f>
        <v>49</v>
      </c>
      <c r="Q2243" s="14" t="s">
        <v>8330</v>
      </c>
      <c r="R2243" t="s">
        <v>8348</v>
      </c>
      <c r="S2243" s="17">
        <f t="shared" ref="S2243:S2306" si="146">(((J2243/60)/60)/24)+DATE(1970,1,1)</f>
        <v>42766.827546296292</v>
      </c>
      <c r="T2243" s="17">
        <f t="shared" ref="T2243:T2306" si="147">(((I2243/60)/60)/24)+DATE(1970,1,1)</f>
        <v>42796.827546296292</v>
      </c>
      <c r="U2243">
        <f>MONTH(Table1[[#This Row],[Launched]])</f>
        <v>1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 s="8">
        <v>1385521320</v>
      </c>
      <c r="J2244">
        <v>1382449733</v>
      </c>
      <c r="K2244" t="b">
        <v>0</v>
      </c>
      <c r="L2244" s="10">
        <v>2525</v>
      </c>
      <c r="M2244" t="b">
        <v>1</v>
      </c>
      <c r="N2244" t="s">
        <v>8295</v>
      </c>
      <c r="O2244" s="11">
        <f t="shared" si="144"/>
        <v>1360</v>
      </c>
      <c r="P2244" s="12">
        <f t="shared" si="145"/>
        <v>54</v>
      </c>
      <c r="Q2244" s="14" t="s">
        <v>8330</v>
      </c>
      <c r="R2244" t="s">
        <v>8348</v>
      </c>
      <c r="S2244" s="17">
        <f t="shared" si="146"/>
        <v>41569.575613425928</v>
      </c>
      <c r="T2244" s="17">
        <f t="shared" si="147"/>
        <v>41605.126388888886</v>
      </c>
      <c r="U2244">
        <f>MONTH(Table1[[#This Row],[Launched]])</f>
        <v>10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8218</v>
      </c>
      <c r="G2245" t="s">
        <v>8223</v>
      </c>
      <c r="H2245" t="s">
        <v>8245</v>
      </c>
      <c r="I2245" s="8">
        <v>1489374000</v>
      </c>
      <c r="J2245">
        <v>1488823290</v>
      </c>
      <c r="K2245" t="b">
        <v>0</v>
      </c>
      <c r="L2245" s="10">
        <v>2035</v>
      </c>
      <c r="M2245" t="b">
        <v>1</v>
      </c>
      <c r="N2245" t="s">
        <v>8295</v>
      </c>
      <c r="O2245" s="11">
        <f t="shared" si="144"/>
        <v>930250</v>
      </c>
      <c r="P2245" s="12">
        <f t="shared" si="145"/>
        <v>5</v>
      </c>
      <c r="Q2245" s="14" t="s">
        <v>8330</v>
      </c>
      <c r="R2245" t="s">
        <v>8348</v>
      </c>
      <c r="S2245" s="17">
        <f t="shared" si="146"/>
        <v>42800.751041666663</v>
      </c>
      <c r="T2245" s="17">
        <f t="shared" si="147"/>
        <v>42807.125</v>
      </c>
      <c r="U2245">
        <f>MONTH(Table1[[#This Row],[Launched]])</f>
        <v>3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 s="8">
        <v>1476649800</v>
      </c>
      <c r="J2246">
        <v>1475609946</v>
      </c>
      <c r="K2246" t="b">
        <v>0</v>
      </c>
      <c r="L2246" s="10">
        <v>290</v>
      </c>
      <c r="M2246" t="b">
        <v>1</v>
      </c>
      <c r="N2246" t="s">
        <v>8295</v>
      </c>
      <c r="O2246" s="11">
        <f t="shared" si="144"/>
        <v>377</v>
      </c>
      <c r="P2246" s="12">
        <f t="shared" si="145"/>
        <v>65</v>
      </c>
      <c r="Q2246" s="14" t="s">
        <v>8330</v>
      </c>
      <c r="R2246" t="s">
        <v>8348</v>
      </c>
      <c r="S2246" s="17">
        <f t="shared" si="146"/>
        <v>42647.818819444445</v>
      </c>
      <c r="T2246" s="17">
        <f t="shared" si="147"/>
        <v>42659.854166666672</v>
      </c>
      <c r="U2246">
        <f>MONTH(Table1[[#This Row],[Launched]])</f>
        <v>10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 s="8">
        <v>1393005600</v>
      </c>
      <c r="J2247">
        <v>1390323617</v>
      </c>
      <c r="K2247" t="b">
        <v>0</v>
      </c>
      <c r="L2247" s="10">
        <v>1980</v>
      </c>
      <c r="M2247" t="b">
        <v>1</v>
      </c>
      <c r="N2247" t="s">
        <v>8295</v>
      </c>
      <c r="O2247" s="11">
        <f t="shared" si="144"/>
        <v>2647</v>
      </c>
      <c r="P2247" s="12">
        <f t="shared" si="145"/>
        <v>53</v>
      </c>
      <c r="Q2247" s="14" t="s">
        <v>8330</v>
      </c>
      <c r="R2247" t="s">
        <v>8348</v>
      </c>
      <c r="S2247" s="17">
        <f t="shared" si="146"/>
        <v>41660.708530092597</v>
      </c>
      <c r="T2247" s="17">
        <f t="shared" si="147"/>
        <v>41691.75</v>
      </c>
      <c r="U2247">
        <f>MONTH(Table1[[#This Row],[Launched]])</f>
        <v>1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 s="8">
        <v>1441393210</v>
      </c>
      <c r="J2248">
        <v>1438801210</v>
      </c>
      <c r="K2248" t="b">
        <v>0</v>
      </c>
      <c r="L2248" s="10">
        <v>57</v>
      </c>
      <c r="M2248" t="b">
        <v>1</v>
      </c>
      <c r="N2248" t="s">
        <v>8295</v>
      </c>
      <c r="O2248" s="11">
        <f t="shared" si="144"/>
        <v>100</v>
      </c>
      <c r="P2248" s="12">
        <f t="shared" si="145"/>
        <v>44</v>
      </c>
      <c r="Q2248" s="14" t="s">
        <v>8330</v>
      </c>
      <c r="R2248" t="s">
        <v>8348</v>
      </c>
      <c r="S2248" s="17">
        <f t="shared" si="146"/>
        <v>42221.79178240741</v>
      </c>
      <c r="T2248" s="17">
        <f t="shared" si="147"/>
        <v>42251.79178240741</v>
      </c>
      <c r="U2248">
        <f>MONTH(Table1[[#This Row],[Launched]])</f>
        <v>8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 s="8">
        <v>1438185565</v>
      </c>
      <c r="J2249">
        <v>1436975965</v>
      </c>
      <c r="K2249" t="b">
        <v>0</v>
      </c>
      <c r="L2249" s="10">
        <v>380</v>
      </c>
      <c r="M2249" t="b">
        <v>1</v>
      </c>
      <c r="N2249" t="s">
        <v>8295</v>
      </c>
      <c r="O2249" s="11">
        <f t="shared" si="144"/>
        <v>104</v>
      </c>
      <c r="P2249" s="12">
        <f t="shared" si="145"/>
        <v>51</v>
      </c>
      <c r="Q2249" s="14" t="s">
        <v>8330</v>
      </c>
      <c r="R2249" t="s">
        <v>8348</v>
      </c>
      <c r="S2249" s="17">
        <f t="shared" si="146"/>
        <v>42200.666261574079</v>
      </c>
      <c r="T2249" s="17">
        <f t="shared" si="147"/>
        <v>42214.666261574079</v>
      </c>
      <c r="U2249">
        <f>MONTH(Table1[[#This Row],[Launched]])</f>
        <v>7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 s="8">
        <v>1481749278</v>
      </c>
      <c r="J2250">
        <v>1479157278</v>
      </c>
      <c r="K2250" t="b">
        <v>0</v>
      </c>
      <c r="L2250" s="10">
        <v>128</v>
      </c>
      <c r="M2250" t="b">
        <v>1</v>
      </c>
      <c r="N2250" t="s">
        <v>8295</v>
      </c>
      <c r="O2250" s="11">
        <f t="shared" si="144"/>
        <v>107</v>
      </c>
      <c r="P2250" s="12">
        <f t="shared" si="145"/>
        <v>59</v>
      </c>
      <c r="Q2250" s="14" t="s">
        <v>8330</v>
      </c>
      <c r="R2250" t="s">
        <v>8348</v>
      </c>
      <c r="S2250" s="17">
        <f t="shared" si="146"/>
        <v>42688.875902777778</v>
      </c>
      <c r="T2250" s="17">
        <f t="shared" si="147"/>
        <v>42718.875902777778</v>
      </c>
      <c r="U2250">
        <f>MONTH(Table1[[#This Row],[Launched]])</f>
        <v>11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 s="8">
        <v>1364917965</v>
      </c>
      <c r="J2251">
        <v>1362329565</v>
      </c>
      <c r="K2251" t="b">
        <v>0</v>
      </c>
      <c r="L2251" s="10">
        <v>180</v>
      </c>
      <c r="M2251" t="b">
        <v>1</v>
      </c>
      <c r="N2251" t="s">
        <v>8295</v>
      </c>
      <c r="O2251" s="11">
        <f t="shared" si="144"/>
        <v>169</v>
      </c>
      <c r="P2251" s="12">
        <f t="shared" si="145"/>
        <v>33</v>
      </c>
      <c r="Q2251" s="14" t="s">
        <v>8330</v>
      </c>
      <c r="R2251" t="s">
        <v>8348</v>
      </c>
      <c r="S2251" s="17">
        <f t="shared" si="146"/>
        <v>41336.703298611108</v>
      </c>
      <c r="T2251" s="17">
        <f t="shared" si="147"/>
        <v>41366.661631944444</v>
      </c>
      <c r="U2251">
        <f>MONTH(Table1[[#This Row],[Launched]])</f>
        <v>3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 s="8">
        <v>1480727273</v>
      </c>
      <c r="J2252">
        <v>1478131673</v>
      </c>
      <c r="K2252" t="b">
        <v>0</v>
      </c>
      <c r="L2252" s="10">
        <v>571</v>
      </c>
      <c r="M2252" t="b">
        <v>1</v>
      </c>
      <c r="N2252" t="s">
        <v>8295</v>
      </c>
      <c r="O2252" s="11">
        <f t="shared" si="144"/>
        <v>975</v>
      </c>
      <c r="P2252" s="12">
        <f t="shared" si="145"/>
        <v>427</v>
      </c>
      <c r="Q2252" s="14" t="s">
        <v>8330</v>
      </c>
      <c r="R2252" t="s">
        <v>8348</v>
      </c>
      <c r="S2252" s="17">
        <f t="shared" si="146"/>
        <v>42677.005474537036</v>
      </c>
      <c r="T2252" s="17">
        <f t="shared" si="147"/>
        <v>42707.0471412037</v>
      </c>
      <c r="U2252">
        <f>MONTH(Table1[[#This Row],[Launched]])</f>
        <v>11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 s="8">
        <v>1408177077</v>
      </c>
      <c r="J2253">
        <v>1406362677</v>
      </c>
      <c r="K2253" t="b">
        <v>0</v>
      </c>
      <c r="L2253" s="10">
        <v>480</v>
      </c>
      <c r="M2253" t="b">
        <v>1</v>
      </c>
      <c r="N2253" t="s">
        <v>8295</v>
      </c>
      <c r="O2253" s="11">
        <f t="shared" si="144"/>
        <v>134</v>
      </c>
      <c r="P2253" s="12">
        <f t="shared" si="145"/>
        <v>24</v>
      </c>
      <c r="Q2253" s="14" t="s">
        <v>8330</v>
      </c>
      <c r="R2253" t="s">
        <v>8348</v>
      </c>
      <c r="S2253" s="17">
        <f t="shared" si="146"/>
        <v>41846.34579861111</v>
      </c>
      <c r="T2253" s="17">
        <f t="shared" si="147"/>
        <v>41867.34579861111</v>
      </c>
      <c r="U2253">
        <f>MONTH(Table1[[#This Row],[Launched]])</f>
        <v>7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 s="8">
        <v>1470469938</v>
      </c>
      <c r="J2254">
        <v>1469173938</v>
      </c>
      <c r="K2254" t="b">
        <v>0</v>
      </c>
      <c r="L2254" s="10">
        <v>249</v>
      </c>
      <c r="M2254" t="b">
        <v>1</v>
      </c>
      <c r="N2254" t="s">
        <v>8295</v>
      </c>
      <c r="O2254" s="11">
        <f t="shared" si="144"/>
        <v>272</v>
      </c>
      <c r="P2254" s="12">
        <f t="shared" si="145"/>
        <v>98</v>
      </c>
      <c r="Q2254" s="14" t="s">
        <v>8330</v>
      </c>
      <c r="R2254" t="s">
        <v>8348</v>
      </c>
      <c r="S2254" s="17">
        <f t="shared" si="146"/>
        <v>42573.327986111108</v>
      </c>
      <c r="T2254" s="17">
        <f t="shared" si="147"/>
        <v>42588.327986111108</v>
      </c>
      <c r="U2254">
        <f>MONTH(Table1[[#This Row],[Launched]])</f>
        <v>7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 s="8">
        <v>1447862947</v>
      </c>
      <c r="J2255">
        <v>1445267347</v>
      </c>
      <c r="K2255" t="b">
        <v>0</v>
      </c>
      <c r="L2255" s="10">
        <v>84</v>
      </c>
      <c r="M2255" t="b">
        <v>1</v>
      </c>
      <c r="N2255" t="s">
        <v>8295</v>
      </c>
      <c r="O2255" s="11">
        <f t="shared" si="144"/>
        <v>113</v>
      </c>
      <c r="P2255" s="12">
        <f t="shared" si="145"/>
        <v>107</v>
      </c>
      <c r="Q2255" s="14" t="s">
        <v>8330</v>
      </c>
      <c r="R2255" t="s">
        <v>8348</v>
      </c>
      <c r="S2255" s="17">
        <f t="shared" si="146"/>
        <v>42296.631331018521</v>
      </c>
      <c r="T2255" s="17">
        <f t="shared" si="147"/>
        <v>42326.672997685186</v>
      </c>
      <c r="U2255">
        <f>MONTH(Table1[[#This Row],[Launched]])</f>
        <v>10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8218</v>
      </c>
      <c r="G2256" t="s">
        <v>8223</v>
      </c>
      <c r="H2256" t="s">
        <v>8245</v>
      </c>
      <c r="I2256" s="8">
        <v>1485271968</v>
      </c>
      <c r="J2256">
        <v>1484667168</v>
      </c>
      <c r="K2256" t="b">
        <v>0</v>
      </c>
      <c r="L2256" s="10">
        <v>197</v>
      </c>
      <c r="M2256" t="b">
        <v>1</v>
      </c>
      <c r="N2256" t="s">
        <v>8295</v>
      </c>
      <c r="O2256" s="11">
        <f t="shared" si="144"/>
        <v>460</v>
      </c>
      <c r="P2256" s="12">
        <f t="shared" si="145"/>
        <v>12</v>
      </c>
      <c r="Q2256" s="14" t="s">
        <v>8330</v>
      </c>
      <c r="R2256" t="s">
        <v>8348</v>
      </c>
      <c r="S2256" s="17">
        <f t="shared" si="146"/>
        <v>42752.647777777776</v>
      </c>
      <c r="T2256" s="17">
        <f t="shared" si="147"/>
        <v>42759.647777777776</v>
      </c>
      <c r="U2256">
        <f>MONTH(Table1[[#This Row],[Launched]])</f>
        <v>1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 s="8">
        <v>1462661451</v>
      </c>
      <c r="J2257">
        <v>1460069451</v>
      </c>
      <c r="K2257" t="b">
        <v>0</v>
      </c>
      <c r="L2257" s="10">
        <v>271</v>
      </c>
      <c r="M2257" t="b">
        <v>1</v>
      </c>
      <c r="N2257" t="s">
        <v>8295</v>
      </c>
      <c r="O2257" s="11">
        <f t="shared" si="144"/>
        <v>287</v>
      </c>
      <c r="P2257" s="12">
        <f t="shared" si="145"/>
        <v>42</v>
      </c>
      <c r="Q2257" s="14" t="s">
        <v>8330</v>
      </c>
      <c r="R2257" t="s">
        <v>8348</v>
      </c>
      <c r="S2257" s="17">
        <f t="shared" si="146"/>
        <v>42467.951979166668</v>
      </c>
      <c r="T2257" s="17">
        <f t="shared" si="147"/>
        <v>42497.951979166668</v>
      </c>
      <c r="U2257">
        <f>MONTH(Table1[[#This Row],[Launched]])</f>
        <v>4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8218</v>
      </c>
      <c r="G2258" t="s">
        <v>8224</v>
      </c>
      <c r="H2258" t="s">
        <v>8246</v>
      </c>
      <c r="I2258" s="8">
        <v>1479811846</v>
      </c>
      <c r="J2258">
        <v>1478602246</v>
      </c>
      <c r="K2258" t="b">
        <v>0</v>
      </c>
      <c r="L2258" s="10">
        <v>50</v>
      </c>
      <c r="M2258" t="b">
        <v>1</v>
      </c>
      <c r="N2258" t="s">
        <v>8295</v>
      </c>
      <c r="O2258" s="11">
        <f t="shared" si="144"/>
        <v>223</v>
      </c>
      <c r="P2258" s="12">
        <f t="shared" si="145"/>
        <v>21</v>
      </c>
      <c r="Q2258" s="14" t="s">
        <v>8330</v>
      </c>
      <c r="R2258" t="s">
        <v>8348</v>
      </c>
      <c r="S2258" s="17">
        <f t="shared" si="146"/>
        <v>42682.451921296291</v>
      </c>
      <c r="T2258" s="17">
        <f t="shared" si="147"/>
        <v>42696.451921296291</v>
      </c>
      <c r="U2258">
        <f>MONTH(Table1[[#This Row],[Launched]])</f>
        <v>11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 s="8">
        <v>1466377200</v>
      </c>
      <c r="J2259">
        <v>1463351329</v>
      </c>
      <c r="K2259" t="b">
        <v>0</v>
      </c>
      <c r="L2259" s="10">
        <v>169</v>
      </c>
      <c r="M2259" t="b">
        <v>1</v>
      </c>
      <c r="N2259" t="s">
        <v>8295</v>
      </c>
      <c r="O2259" s="11">
        <f t="shared" si="144"/>
        <v>636</v>
      </c>
      <c r="P2259" s="12">
        <f t="shared" si="145"/>
        <v>94</v>
      </c>
      <c r="Q2259" s="14" t="s">
        <v>8330</v>
      </c>
      <c r="R2259" t="s">
        <v>8348</v>
      </c>
      <c r="S2259" s="17">
        <f t="shared" si="146"/>
        <v>42505.936678240745</v>
      </c>
      <c r="T2259" s="17">
        <f t="shared" si="147"/>
        <v>42540.958333333328</v>
      </c>
      <c r="U2259">
        <f>MONTH(Table1[[#This Row],[Launched]])</f>
        <v>5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 s="8">
        <v>1434045687</v>
      </c>
      <c r="J2260">
        <v>1431453687</v>
      </c>
      <c r="K2260" t="b">
        <v>0</v>
      </c>
      <c r="L2260" s="10">
        <v>205</v>
      </c>
      <c r="M2260" t="b">
        <v>1</v>
      </c>
      <c r="N2260" t="s">
        <v>8295</v>
      </c>
      <c r="O2260" s="11">
        <f t="shared" si="144"/>
        <v>147</v>
      </c>
      <c r="P2260" s="12">
        <f t="shared" si="145"/>
        <v>16</v>
      </c>
      <c r="Q2260" s="14" t="s">
        <v>8330</v>
      </c>
      <c r="R2260" t="s">
        <v>8348</v>
      </c>
      <c r="S2260" s="17">
        <f t="shared" si="146"/>
        <v>42136.75100694444</v>
      </c>
      <c r="T2260" s="17">
        <f t="shared" si="147"/>
        <v>42166.75100694444</v>
      </c>
      <c r="U2260">
        <f>MONTH(Table1[[#This Row],[Launched]])</f>
        <v>5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 s="8">
        <v>1481224736</v>
      </c>
      <c r="J2261">
        <v>1480360736</v>
      </c>
      <c r="K2261" t="b">
        <v>0</v>
      </c>
      <c r="L2261" s="10">
        <v>206</v>
      </c>
      <c r="M2261" t="b">
        <v>1</v>
      </c>
      <c r="N2261" t="s">
        <v>8295</v>
      </c>
      <c r="O2261" s="11">
        <f t="shared" si="144"/>
        <v>1867</v>
      </c>
      <c r="P2261" s="12">
        <f t="shared" si="145"/>
        <v>91</v>
      </c>
      <c r="Q2261" s="14" t="s">
        <v>8330</v>
      </c>
      <c r="R2261" t="s">
        <v>8348</v>
      </c>
      <c r="S2261" s="17">
        <f t="shared" si="146"/>
        <v>42702.804814814815</v>
      </c>
      <c r="T2261" s="17">
        <f t="shared" si="147"/>
        <v>42712.804814814815</v>
      </c>
      <c r="U2261">
        <f>MONTH(Table1[[#This Row],[Launched]])</f>
        <v>11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 s="8">
        <v>1395876250</v>
      </c>
      <c r="J2262">
        <v>1393287850</v>
      </c>
      <c r="K2262" t="b">
        <v>0</v>
      </c>
      <c r="L2262" s="10">
        <v>84</v>
      </c>
      <c r="M2262" t="b">
        <v>1</v>
      </c>
      <c r="N2262" t="s">
        <v>8295</v>
      </c>
      <c r="O2262" s="11">
        <f t="shared" si="144"/>
        <v>327</v>
      </c>
      <c r="P2262" s="12">
        <f t="shared" si="145"/>
        <v>97</v>
      </c>
      <c r="Q2262" s="14" t="s">
        <v>8330</v>
      </c>
      <c r="R2262" t="s">
        <v>8348</v>
      </c>
      <c r="S2262" s="17">
        <f t="shared" si="146"/>
        <v>41695.016782407409</v>
      </c>
      <c r="T2262" s="17">
        <f t="shared" si="147"/>
        <v>41724.975115740745</v>
      </c>
      <c r="U2262">
        <f>MONTH(Table1[[#This Row],[Launched]])</f>
        <v>2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 s="8">
        <v>1487093020</v>
      </c>
      <c r="J2263">
        <v>1485278620</v>
      </c>
      <c r="K2263" t="b">
        <v>0</v>
      </c>
      <c r="L2263" s="10">
        <v>210</v>
      </c>
      <c r="M2263" t="b">
        <v>1</v>
      </c>
      <c r="N2263" t="s">
        <v>8295</v>
      </c>
      <c r="O2263" s="11">
        <f t="shared" si="144"/>
        <v>780</v>
      </c>
      <c r="P2263" s="12">
        <f t="shared" si="145"/>
        <v>37</v>
      </c>
      <c r="Q2263" s="14" t="s">
        <v>8330</v>
      </c>
      <c r="R2263" t="s">
        <v>8348</v>
      </c>
      <c r="S2263" s="17">
        <f t="shared" si="146"/>
        <v>42759.724768518514</v>
      </c>
      <c r="T2263" s="17">
        <f t="shared" si="147"/>
        <v>42780.724768518514</v>
      </c>
      <c r="U2263">
        <f>MONTH(Table1[[#This Row],[Launched]])</f>
        <v>1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 s="8">
        <v>1416268800</v>
      </c>
      <c r="J2264">
        <v>1413295358</v>
      </c>
      <c r="K2264" t="b">
        <v>0</v>
      </c>
      <c r="L2264" s="10">
        <v>181</v>
      </c>
      <c r="M2264" t="b">
        <v>1</v>
      </c>
      <c r="N2264" t="s">
        <v>8295</v>
      </c>
      <c r="O2264" s="11">
        <f t="shared" si="144"/>
        <v>154</v>
      </c>
      <c r="P2264" s="12">
        <f t="shared" si="145"/>
        <v>28</v>
      </c>
      <c r="Q2264" s="14" t="s">
        <v>8330</v>
      </c>
      <c r="R2264" t="s">
        <v>8348</v>
      </c>
      <c r="S2264" s="17">
        <f t="shared" si="146"/>
        <v>41926.585162037038</v>
      </c>
      <c r="T2264" s="17">
        <f t="shared" si="147"/>
        <v>41961</v>
      </c>
      <c r="U2264">
        <f>MONTH(Table1[[#This Row],[Launched]])</f>
        <v>10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 s="8">
        <v>1422734313</v>
      </c>
      <c r="J2265">
        <v>1420919913</v>
      </c>
      <c r="K2265" t="b">
        <v>0</v>
      </c>
      <c r="L2265" s="10">
        <v>60</v>
      </c>
      <c r="M2265" t="b">
        <v>1</v>
      </c>
      <c r="N2265" t="s">
        <v>8295</v>
      </c>
      <c r="O2265" s="11">
        <f t="shared" si="144"/>
        <v>116</v>
      </c>
      <c r="P2265" s="12">
        <f t="shared" si="145"/>
        <v>144</v>
      </c>
      <c r="Q2265" s="14" t="s">
        <v>8330</v>
      </c>
      <c r="R2265" t="s">
        <v>8348</v>
      </c>
      <c r="S2265" s="17">
        <f t="shared" si="146"/>
        <v>42014.832326388889</v>
      </c>
      <c r="T2265" s="17">
        <f t="shared" si="147"/>
        <v>42035.832326388889</v>
      </c>
      <c r="U2265">
        <f>MONTH(Table1[[#This Row],[Launched]])</f>
        <v>1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 s="8">
        <v>1463972400</v>
      </c>
      <c r="J2266">
        <v>1462543114</v>
      </c>
      <c r="K2266" t="b">
        <v>0</v>
      </c>
      <c r="L2266" s="10">
        <v>445</v>
      </c>
      <c r="M2266" t="b">
        <v>1</v>
      </c>
      <c r="N2266" t="s">
        <v>8295</v>
      </c>
      <c r="O2266" s="11">
        <f t="shared" si="144"/>
        <v>180</v>
      </c>
      <c r="P2266" s="12">
        <f t="shared" si="145"/>
        <v>24</v>
      </c>
      <c r="Q2266" s="14" t="s">
        <v>8330</v>
      </c>
      <c r="R2266" t="s">
        <v>8348</v>
      </c>
      <c r="S2266" s="17">
        <f t="shared" si="146"/>
        <v>42496.582337962958</v>
      </c>
      <c r="T2266" s="17">
        <f t="shared" si="147"/>
        <v>42513.125</v>
      </c>
      <c r="U2266">
        <f>MONTH(Table1[[#This Row],[Launched]])</f>
        <v>5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8218</v>
      </c>
      <c r="G2267" t="s">
        <v>8224</v>
      </c>
      <c r="H2267" t="s">
        <v>8246</v>
      </c>
      <c r="I2267" s="8">
        <v>1479846507</v>
      </c>
      <c r="J2267">
        <v>1479241707</v>
      </c>
      <c r="K2267" t="b">
        <v>0</v>
      </c>
      <c r="L2267" s="10">
        <v>17</v>
      </c>
      <c r="M2267" t="b">
        <v>1</v>
      </c>
      <c r="N2267" t="s">
        <v>8295</v>
      </c>
      <c r="O2267" s="11">
        <f t="shared" si="144"/>
        <v>299</v>
      </c>
      <c r="P2267" s="12">
        <f t="shared" si="145"/>
        <v>35</v>
      </c>
      <c r="Q2267" s="14" t="s">
        <v>8330</v>
      </c>
      <c r="R2267" t="s">
        <v>8348</v>
      </c>
      <c r="S2267" s="17">
        <f t="shared" si="146"/>
        <v>42689.853090277778</v>
      </c>
      <c r="T2267" s="17">
        <f t="shared" si="147"/>
        <v>42696.853090277778</v>
      </c>
      <c r="U2267">
        <f>MONTH(Table1[[#This Row],[Launched]])</f>
        <v>11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 s="8">
        <v>1461722400</v>
      </c>
      <c r="J2268">
        <v>1460235592</v>
      </c>
      <c r="K2268" t="b">
        <v>0</v>
      </c>
      <c r="L2268" s="10">
        <v>194</v>
      </c>
      <c r="M2268" t="b">
        <v>1</v>
      </c>
      <c r="N2268" t="s">
        <v>8295</v>
      </c>
      <c r="O2268" s="11">
        <f t="shared" si="144"/>
        <v>320</v>
      </c>
      <c r="P2268" s="12">
        <f t="shared" si="145"/>
        <v>25</v>
      </c>
      <c r="Q2268" s="14" t="s">
        <v>8330</v>
      </c>
      <c r="R2268" t="s">
        <v>8348</v>
      </c>
      <c r="S2268" s="17">
        <f t="shared" si="146"/>
        <v>42469.874907407408</v>
      </c>
      <c r="T2268" s="17">
        <f t="shared" si="147"/>
        <v>42487.083333333328</v>
      </c>
      <c r="U2268">
        <f>MONTH(Table1[[#This Row],[Launched]])</f>
        <v>4</v>
      </c>
    </row>
    <row r="2269" spans="1:21" ht="57.6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 s="8">
        <v>1419123600</v>
      </c>
      <c r="J2269">
        <v>1416945297</v>
      </c>
      <c r="K2269" t="b">
        <v>0</v>
      </c>
      <c r="L2269" s="10">
        <v>404</v>
      </c>
      <c r="M2269" t="b">
        <v>1</v>
      </c>
      <c r="N2269" t="s">
        <v>8295</v>
      </c>
      <c r="O2269" s="11">
        <f t="shared" si="144"/>
        <v>381</v>
      </c>
      <c r="P2269" s="12">
        <f t="shared" si="145"/>
        <v>188</v>
      </c>
      <c r="Q2269" s="14" t="s">
        <v>8330</v>
      </c>
      <c r="R2269" t="s">
        <v>8348</v>
      </c>
      <c r="S2269" s="17">
        <f t="shared" si="146"/>
        <v>41968.829826388886</v>
      </c>
      <c r="T2269" s="17">
        <f t="shared" si="147"/>
        <v>41994.041666666672</v>
      </c>
      <c r="U2269">
        <f>MONTH(Table1[[#This Row],[Launched]])</f>
        <v>11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 s="8">
        <v>1489283915</v>
      </c>
      <c r="J2270">
        <v>1486691915</v>
      </c>
      <c r="K2270" t="b">
        <v>0</v>
      </c>
      <c r="L2270" s="10">
        <v>194</v>
      </c>
      <c r="M2270" t="b">
        <v>1</v>
      </c>
      <c r="N2270" t="s">
        <v>8295</v>
      </c>
      <c r="O2270" s="11">
        <f t="shared" si="144"/>
        <v>103</v>
      </c>
      <c r="P2270" s="12">
        <f t="shared" si="145"/>
        <v>148</v>
      </c>
      <c r="Q2270" s="14" t="s">
        <v>8330</v>
      </c>
      <c r="R2270" t="s">
        <v>8348</v>
      </c>
      <c r="S2270" s="17">
        <f t="shared" si="146"/>
        <v>42776.082349537035</v>
      </c>
      <c r="T2270" s="17">
        <f t="shared" si="147"/>
        <v>42806.082349537035</v>
      </c>
      <c r="U2270">
        <f>MONTH(Table1[[#This Row],[Launched]])</f>
        <v>2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 s="8">
        <v>1488862800</v>
      </c>
      <c r="J2271">
        <v>1486745663</v>
      </c>
      <c r="K2271" t="b">
        <v>0</v>
      </c>
      <c r="L2271" s="10">
        <v>902</v>
      </c>
      <c r="M2271" t="b">
        <v>1</v>
      </c>
      <c r="N2271" t="s">
        <v>8295</v>
      </c>
      <c r="O2271" s="11">
        <f t="shared" si="144"/>
        <v>1802</v>
      </c>
      <c r="P2271" s="12">
        <f t="shared" si="145"/>
        <v>50</v>
      </c>
      <c r="Q2271" s="14" t="s">
        <v>8330</v>
      </c>
      <c r="R2271" t="s">
        <v>8348</v>
      </c>
      <c r="S2271" s="17">
        <f t="shared" si="146"/>
        <v>42776.704432870371</v>
      </c>
      <c r="T2271" s="17">
        <f t="shared" si="147"/>
        <v>42801.208333333328</v>
      </c>
      <c r="U2271">
        <f>MONTH(Table1[[#This Row],[Launched]])</f>
        <v>2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 s="8">
        <v>1484085540</v>
      </c>
      <c r="J2272">
        <v>1482353513</v>
      </c>
      <c r="K2272" t="b">
        <v>0</v>
      </c>
      <c r="L2272" s="10">
        <v>1670</v>
      </c>
      <c r="M2272" t="b">
        <v>1</v>
      </c>
      <c r="N2272" t="s">
        <v>8295</v>
      </c>
      <c r="O2272" s="11">
        <f t="shared" si="144"/>
        <v>720</v>
      </c>
      <c r="P2272" s="12">
        <f t="shared" si="145"/>
        <v>108</v>
      </c>
      <c r="Q2272" s="14" t="s">
        <v>8330</v>
      </c>
      <c r="R2272" t="s">
        <v>8348</v>
      </c>
      <c r="S2272" s="17">
        <f t="shared" si="146"/>
        <v>42725.869363425925</v>
      </c>
      <c r="T2272" s="17">
        <f t="shared" si="147"/>
        <v>42745.915972222225</v>
      </c>
      <c r="U2272">
        <f>MONTH(Table1[[#This Row],[Launched]])</f>
        <v>12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 s="8">
        <v>1481328004</v>
      </c>
      <c r="J2273">
        <v>1478736004</v>
      </c>
      <c r="K2273" t="b">
        <v>0</v>
      </c>
      <c r="L2273" s="10">
        <v>1328</v>
      </c>
      <c r="M2273" t="b">
        <v>1</v>
      </c>
      <c r="N2273" t="s">
        <v>8295</v>
      </c>
      <c r="O2273" s="11">
        <f t="shared" si="144"/>
        <v>283</v>
      </c>
      <c r="P2273" s="12">
        <f t="shared" si="145"/>
        <v>43</v>
      </c>
      <c r="Q2273" s="14" t="s">
        <v>8330</v>
      </c>
      <c r="R2273" t="s">
        <v>8348</v>
      </c>
      <c r="S2273" s="17">
        <f t="shared" si="146"/>
        <v>42684.000046296293</v>
      </c>
      <c r="T2273" s="17">
        <f t="shared" si="147"/>
        <v>42714.000046296293</v>
      </c>
      <c r="U2273">
        <f>MONTH(Table1[[#This Row],[Launched]])</f>
        <v>11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 s="8">
        <v>1449506836</v>
      </c>
      <c r="J2274">
        <v>1446914836</v>
      </c>
      <c r="K2274" t="b">
        <v>0</v>
      </c>
      <c r="L2274" s="10">
        <v>944</v>
      </c>
      <c r="M2274" t="b">
        <v>1</v>
      </c>
      <c r="N2274" t="s">
        <v>8295</v>
      </c>
      <c r="O2274" s="11">
        <f t="shared" si="144"/>
        <v>1357</v>
      </c>
      <c r="P2274" s="12">
        <f t="shared" si="145"/>
        <v>14</v>
      </c>
      <c r="Q2274" s="14" t="s">
        <v>8330</v>
      </c>
      <c r="R2274" t="s">
        <v>8348</v>
      </c>
      <c r="S2274" s="17">
        <f t="shared" si="146"/>
        <v>42315.699490740735</v>
      </c>
      <c r="T2274" s="17">
        <f t="shared" si="147"/>
        <v>42345.699490740735</v>
      </c>
      <c r="U2274">
        <f>MONTH(Table1[[#This Row],[Launched]])</f>
        <v>11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 s="8">
        <v>1489320642</v>
      </c>
      <c r="J2275">
        <v>1487164242</v>
      </c>
      <c r="K2275" t="b">
        <v>0</v>
      </c>
      <c r="L2275" s="10">
        <v>147</v>
      </c>
      <c r="M2275" t="b">
        <v>1</v>
      </c>
      <c r="N2275" t="s">
        <v>8295</v>
      </c>
      <c r="O2275" s="11">
        <f t="shared" si="144"/>
        <v>220</v>
      </c>
      <c r="P2275" s="12">
        <f t="shared" si="145"/>
        <v>37</v>
      </c>
      <c r="Q2275" s="14" t="s">
        <v>8330</v>
      </c>
      <c r="R2275" t="s">
        <v>8348</v>
      </c>
      <c r="S2275" s="17">
        <f t="shared" si="146"/>
        <v>42781.549097222218</v>
      </c>
      <c r="T2275" s="17">
        <f t="shared" si="147"/>
        <v>42806.507430555561</v>
      </c>
      <c r="U2275">
        <f>MONTH(Table1[[#This Row],[Launched]])</f>
        <v>2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 s="8">
        <v>1393156857</v>
      </c>
      <c r="J2276">
        <v>1390564857</v>
      </c>
      <c r="K2276" t="b">
        <v>0</v>
      </c>
      <c r="L2276" s="10">
        <v>99</v>
      </c>
      <c r="M2276" t="b">
        <v>1</v>
      </c>
      <c r="N2276" t="s">
        <v>8295</v>
      </c>
      <c r="O2276" s="11">
        <f t="shared" si="144"/>
        <v>120</v>
      </c>
      <c r="P2276" s="12">
        <f t="shared" si="145"/>
        <v>30</v>
      </c>
      <c r="Q2276" s="14" t="s">
        <v>8330</v>
      </c>
      <c r="R2276" t="s">
        <v>8348</v>
      </c>
      <c r="S2276" s="17">
        <f t="shared" si="146"/>
        <v>41663.500659722224</v>
      </c>
      <c r="T2276" s="17">
        <f t="shared" si="147"/>
        <v>41693.500659722224</v>
      </c>
      <c r="U2276">
        <f>MONTH(Table1[[#This Row],[Launched]])</f>
        <v>1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 s="8">
        <v>1419259679</v>
      </c>
      <c r="J2277">
        <v>1416667679</v>
      </c>
      <c r="K2277" t="b">
        <v>0</v>
      </c>
      <c r="L2277" s="10">
        <v>79</v>
      </c>
      <c r="M2277" t="b">
        <v>1</v>
      </c>
      <c r="N2277" t="s">
        <v>8295</v>
      </c>
      <c r="O2277" s="11">
        <f t="shared" si="144"/>
        <v>408</v>
      </c>
      <c r="P2277" s="12">
        <f t="shared" si="145"/>
        <v>34</v>
      </c>
      <c r="Q2277" s="14" t="s">
        <v>8330</v>
      </c>
      <c r="R2277" t="s">
        <v>8348</v>
      </c>
      <c r="S2277" s="17">
        <f t="shared" si="146"/>
        <v>41965.616655092599</v>
      </c>
      <c r="T2277" s="17">
        <f t="shared" si="147"/>
        <v>41995.616655092599</v>
      </c>
      <c r="U2277">
        <f>MONTH(Table1[[#This Row],[Launched]])</f>
        <v>11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 s="8">
        <v>1388936289</v>
      </c>
      <c r="J2278">
        <v>1386344289</v>
      </c>
      <c r="K2278" t="b">
        <v>0</v>
      </c>
      <c r="L2278" s="10">
        <v>75</v>
      </c>
      <c r="M2278" t="b">
        <v>1</v>
      </c>
      <c r="N2278" t="s">
        <v>8295</v>
      </c>
      <c r="O2278" s="11">
        <f t="shared" si="144"/>
        <v>106</v>
      </c>
      <c r="P2278" s="12">
        <f t="shared" si="145"/>
        <v>65</v>
      </c>
      <c r="Q2278" s="14" t="s">
        <v>8330</v>
      </c>
      <c r="R2278" t="s">
        <v>8348</v>
      </c>
      <c r="S2278" s="17">
        <f t="shared" si="146"/>
        <v>41614.651493055557</v>
      </c>
      <c r="T2278" s="17">
        <f t="shared" si="147"/>
        <v>41644.651493055557</v>
      </c>
      <c r="U2278">
        <f>MONTH(Table1[[#This Row],[Launched]])</f>
        <v>12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 s="8">
        <v>1330359423</v>
      </c>
      <c r="J2279">
        <v>1327767423</v>
      </c>
      <c r="K2279" t="b">
        <v>0</v>
      </c>
      <c r="L2279" s="10">
        <v>207</v>
      </c>
      <c r="M2279" t="b">
        <v>1</v>
      </c>
      <c r="N2279" t="s">
        <v>8295</v>
      </c>
      <c r="O2279" s="11">
        <f t="shared" si="144"/>
        <v>141</v>
      </c>
      <c r="P2279" s="12">
        <f t="shared" si="145"/>
        <v>58</v>
      </c>
      <c r="Q2279" s="14" t="s">
        <v>8330</v>
      </c>
      <c r="R2279" t="s">
        <v>8348</v>
      </c>
      <c r="S2279" s="17">
        <f t="shared" si="146"/>
        <v>40936.678506944445</v>
      </c>
      <c r="T2279" s="17">
        <f t="shared" si="147"/>
        <v>40966.678506944445</v>
      </c>
      <c r="U2279">
        <f>MONTH(Table1[[#This Row],[Launched]])</f>
        <v>1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 s="8">
        <v>1451861940</v>
      </c>
      <c r="J2280">
        <v>1448902867</v>
      </c>
      <c r="K2280" t="b">
        <v>0</v>
      </c>
      <c r="L2280" s="10">
        <v>102</v>
      </c>
      <c r="M2280" t="b">
        <v>1</v>
      </c>
      <c r="N2280" t="s">
        <v>8295</v>
      </c>
      <c r="O2280" s="11">
        <f t="shared" si="144"/>
        <v>271</v>
      </c>
      <c r="P2280" s="12">
        <f t="shared" si="145"/>
        <v>53</v>
      </c>
      <c r="Q2280" s="14" t="s">
        <v>8330</v>
      </c>
      <c r="R2280" t="s">
        <v>8348</v>
      </c>
      <c r="S2280" s="17">
        <f t="shared" si="146"/>
        <v>42338.709108796291</v>
      </c>
      <c r="T2280" s="17">
        <f t="shared" si="147"/>
        <v>42372.957638888889</v>
      </c>
      <c r="U2280">
        <f>MONTH(Table1[[#This Row],[Launched]])</f>
        <v>11</v>
      </c>
    </row>
    <row r="2281" spans="1:21" ht="57.6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 s="8">
        <v>1423022400</v>
      </c>
      <c r="J2281">
        <v>1421436099</v>
      </c>
      <c r="K2281" t="b">
        <v>0</v>
      </c>
      <c r="L2281" s="10">
        <v>32</v>
      </c>
      <c r="M2281" t="b">
        <v>1</v>
      </c>
      <c r="N2281" t="s">
        <v>8295</v>
      </c>
      <c r="O2281" s="11">
        <f t="shared" si="144"/>
        <v>154</v>
      </c>
      <c r="P2281" s="12">
        <f t="shared" si="145"/>
        <v>48</v>
      </c>
      <c r="Q2281" s="14" t="s">
        <v>8330</v>
      </c>
      <c r="R2281" t="s">
        <v>8348</v>
      </c>
      <c r="S2281" s="17">
        <f t="shared" si="146"/>
        <v>42020.806701388887</v>
      </c>
      <c r="T2281" s="17">
        <f t="shared" si="147"/>
        <v>42039.166666666672</v>
      </c>
      <c r="U2281">
        <f>MONTH(Table1[[#This Row],[Launched]])</f>
        <v>1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 s="8">
        <v>1442501991</v>
      </c>
      <c r="J2282">
        <v>1439909991</v>
      </c>
      <c r="K2282" t="b">
        <v>0</v>
      </c>
      <c r="L2282" s="10">
        <v>480</v>
      </c>
      <c r="M2282" t="b">
        <v>1</v>
      </c>
      <c r="N2282" t="s">
        <v>8295</v>
      </c>
      <c r="O2282" s="11">
        <f t="shared" si="144"/>
        <v>404</v>
      </c>
      <c r="P2282" s="12">
        <f t="shared" si="145"/>
        <v>82</v>
      </c>
      <c r="Q2282" s="14" t="s">
        <v>8330</v>
      </c>
      <c r="R2282" t="s">
        <v>8348</v>
      </c>
      <c r="S2282" s="17">
        <f t="shared" si="146"/>
        <v>42234.624895833331</v>
      </c>
      <c r="T2282" s="17">
        <f t="shared" si="147"/>
        <v>42264.624895833331</v>
      </c>
      <c r="U2282">
        <f>MONTH(Table1[[#This Row],[Launched]])</f>
        <v>8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8218</v>
      </c>
      <c r="G2283" t="s">
        <v>8223</v>
      </c>
      <c r="H2283" t="s">
        <v>8245</v>
      </c>
      <c r="I2283" s="8">
        <v>1311576600</v>
      </c>
      <c r="J2283">
        <v>1306219897</v>
      </c>
      <c r="K2283" t="b">
        <v>0</v>
      </c>
      <c r="L2283" s="10">
        <v>11</v>
      </c>
      <c r="M2283" t="b">
        <v>1</v>
      </c>
      <c r="N2283" t="s">
        <v>8274</v>
      </c>
      <c r="O2283" s="11">
        <f t="shared" si="144"/>
        <v>185</v>
      </c>
      <c r="P2283" s="12">
        <f t="shared" si="145"/>
        <v>50</v>
      </c>
      <c r="Q2283" s="14" t="s">
        <v>8322</v>
      </c>
      <c r="R2283" t="s">
        <v>8323</v>
      </c>
      <c r="S2283" s="17">
        <f t="shared" si="146"/>
        <v>40687.285844907405</v>
      </c>
      <c r="T2283" s="17">
        <f t="shared" si="147"/>
        <v>40749.284722222219</v>
      </c>
      <c r="U2283">
        <f>MONTH(Table1[[#This Row],[Launched]])</f>
        <v>5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8218</v>
      </c>
      <c r="G2284" t="s">
        <v>8223</v>
      </c>
      <c r="H2284" t="s">
        <v>8245</v>
      </c>
      <c r="I2284" s="8">
        <v>1452744686</v>
      </c>
      <c r="J2284">
        <v>1447560686</v>
      </c>
      <c r="K2284" t="b">
        <v>0</v>
      </c>
      <c r="L2284" s="10">
        <v>12</v>
      </c>
      <c r="M2284" t="b">
        <v>1</v>
      </c>
      <c r="N2284" t="s">
        <v>8274</v>
      </c>
      <c r="O2284" s="11">
        <f t="shared" si="144"/>
        <v>185</v>
      </c>
      <c r="P2284" s="12">
        <f t="shared" si="145"/>
        <v>116</v>
      </c>
      <c r="Q2284" s="14" t="s">
        <v>8322</v>
      </c>
      <c r="R2284" t="s">
        <v>8323</v>
      </c>
      <c r="S2284" s="17">
        <f t="shared" si="146"/>
        <v>42323.17460648148</v>
      </c>
      <c r="T2284" s="17">
        <f t="shared" si="147"/>
        <v>42383.17460648148</v>
      </c>
      <c r="U2284">
        <f>MONTH(Table1[[#This Row],[Launched]])</f>
        <v>11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 s="8">
        <v>1336528804</v>
      </c>
      <c r="J2285">
        <v>1331348404</v>
      </c>
      <c r="K2285" t="b">
        <v>0</v>
      </c>
      <c r="L2285" s="10">
        <v>48</v>
      </c>
      <c r="M2285" t="b">
        <v>1</v>
      </c>
      <c r="N2285" t="s">
        <v>8274</v>
      </c>
      <c r="O2285" s="11">
        <f t="shared" si="144"/>
        <v>101</v>
      </c>
      <c r="P2285" s="12">
        <f t="shared" si="145"/>
        <v>63</v>
      </c>
      <c r="Q2285" s="14" t="s">
        <v>8322</v>
      </c>
      <c r="R2285" t="s">
        <v>8323</v>
      </c>
      <c r="S2285" s="17">
        <f t="shared" si="146"/>
        <v>40978.125046296293</v>
      </c>
      <c r="T2285" s="17">
        <f t="shared" si="147"/>
        <v>41038.083379629628</v>
      </c>
      <c r="U2285">
        <f>MONTH(Table1[[#This Row],[Launched]])</f>
        <v>3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 s="8">
        <v>1299902400</v>
      </c>
      <c r="J2286">
        <v>1297451245</v>
      </c>
      <c r="K2286" t="b">
        <v>0</v>
      </c>
      <c r="L2286" s="10">
        <v>59</v>
      </c>
      <c r="M2286" t="b">
        <v>1</v>
      </c>
      <c r="N2286" t="s">
        <v>8274</v>
      </c>
      <c r="O2286" s="11">
        <f t="shared" si="144"/>
        <v>106</v>
      </c>
      <c r="P2286" s="12">
        <f t="shared" si="145"/>
        <v>108</v>
      </c>
      <c r="Q2286" s="14" t="s">
        <v>8322</v>
      </c>
      <c r="R2286" t="s">
        <v>8323</v>
      </c>
      <c r="S2286" s="17">
        <f t="shared" si="146"/>
        <v>40585.796817129631</v>
      </c>
      <c r="T2286" s="17">
        <f t="shared" si="147"/>
        <v>40614.166666666664</v>
      </c>
      <c r="U2286">
        <f>MONTH(Table1[[#This Row],[Launched]])</f>
        <v>2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 s="8">
        <v>1340944043</v>
      </c>
      <c r="J2287">
        <v>1338352043</v>
      </c>
      <c r="K2287" t="b">
        <v>0</v>
      </c>
      <c r="L2287" s="10">
        <v>79</v>
      </c>
      <c r="M2287" t="b">
        <v>1</v>
      </c>
      <c r="N2287" t="s">
        <v>8274</v>
      </c>
      <c r="O2287" s="11">
        <f t="shared" si="144"/>
        <v>121</v>
      </c>
      <c r="P2287" s="12">
        <f t="shared" si="145"/>
        <v>46</v>
      </c>
      <c r="Q2287" s="14" t="s">
        <v>8322</v>
      </c>
      <c r="R2287" t="s">
        <v>8323</v>
      </c>
      <c r="S2287" s="17">
        <f t="shared" si="146"/>
        <v>41059.185682870368</v>
      </c>
      <c r="T2287" s="17">
        <f t="shared" si="147"/>
        <v>41089.185682870368</v>
      </c>
      <c r="U2287">
        <f>MONTH(Table1[[#This Row],[Launched]])</f>
        <v>5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 s="8">
        <v>1378439940</v>
      </c>
      <c r="J2288">
        <v>1376003254</v>
      </c>
      <c r="K2288" t="b">
        <v>0</v>
      </c>
      <c r="L2288" s="10">
        <v>14</v>
      </c>
      <c r="M2288" t="b">
        <v>1</v>
      </c>
      <c r="N2288" t="s">
        <v>8274</v>
      </c>
      <c r="O2288" s="11">
        <f t="shared" si="144"/>
        <v>100</v>
      </c>
      <c r="P2288" s="12">
        <f t="shared" si="145"/>
        <v>107</v>
      </c>
      <c r="Q2288" s="14" t="s">
        <v>8322</v>
      </c>
      <c r="R2288" t="s">
        <v>8323</v>
      </c>
      <c r="S2288" s="17">
        <f t="shared" si="146"/>
        <v>41494.963587962964</v>
      </c>
      <c r="T2288" s="17">
        <f t="shared" si="147"/>
        <v>41523.165972222225</v>
      </c>
      <c r="U2288">
        <f>MONTH(Table1[[#This Row],[Launched]])</f>
        <v>8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 s="8">
        <v>1403539260</v>
      </c>
      <c r="J2289">
        <v>1401724860</v>
      </c>
      <c r="K2289" t="b">
        <v>0</v>
      </c>
      <c r="L2289" s="10">
        <v>106</v>
      </c>
      <c r="M2289" t="b">
        <v>1</v>
      </c>
      <c r="N2289" t="s">
        <v>8274</v>
      </c>
      <c r="O2289" s="11">
        <f t="shared" si="144"/>
        <v>120</v>
      </c>
      <c r="P2289" s="12">
        <f t="shared" si="145"/>
        <v>51</v>
      </c>
      <c r="Q2289" s="14" t="s">
        <v>8322</v>
      </c>
      <c r="R2289" t="s">
        <v>8323</v>
      </c>
      <c r="S2289" s="17">
        <f t="shared" si="146"/>
        <v>41792.667361111111</v>
      </c>
      <c r="T2289" s="17">
        <f t="shared" si="147"/>
        <v>41813.667361111111</v>
      </c>
      <c r="U2289">
        <f>MONTH(Table1[[#This Row],[Launched]])</f>
        <v>6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 s="8">
        <v>1340733600</v>
      </c>
      <c r="J2290">
        <v>1339098689</v>
      </c>
      <c r="K2290" t="b">
        <v>0</v>
      </c>
      <c r="L2290" s="10">
        <v>25</v>
      </c>
      <c r="M2290" t="b">
        <v>1</v>
      </c>
      <c r="N2290" t="s">
        <v>8274</v>
      </c>
      <c r="O2290" s="11">
        <f t="shared" si="144"/>
        <v>100</v>
      </c>
      <c r="P2290" s="12">
        <f t="shared" si="145"/>
        <v>40</v>
      </c>
      <c r="Q2290" s="14" t="s">
        <v>8322</v>
      </c>
      <c r="R2290" t="s">
        <v>8323</v>
      </c>
      <c r="S2290" s="17">
        <f t="shared" si="146"/>
        <v>41067.827418981484</v>
      </c>
      <c r="T2290" s="17">
        <f t="shared" si="147"/>
        <v>41086.75</v>
      </c>
      <c r="U2290">
        <f>MONTH(Table1[[#This Row],[Launched]])</f>
        <v>6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 s="8">
        <v>1386372120</v>
      </c>
      <c r="J2291">
        <v>1382659060</v>
      </c>
      <c r="K2291" t="b">
        <v>0</v>
      </c>
      <c r="L2291" s="10">
        <v>25</v>
      </c>
      <c r="M2291" t="b">
        <v>1</v>
      </c>
      <c r="N2291" t="s">
        <v>8274</v>
      </c>
      <c r="O2291" s="11">
        <f t="shared" si="144"/>
        <v>107</v>
      </c>
      <c r="P2291" s="12">
        <f t="shared" si="145"/>
        <v>64</v>
      </c>
      <c r="Q2291" s="14" t="s">
        <v>8322</v>
      </c>
      <c r="R2291" t="s">
        <v>8323</v>
      </c>
      <c r="S2291" s="17">
        <f t="shared" si="146"/>
        <v>41571.998379629629</v>
      </c>
      <c r="T2291" s="17">
        <f t="shared" si="147"/>
        <v>41614.973611111112</v>
      </c>
      <c r="U2291">
        <f>MONTH(Table1[[#This Row],[Launched]])</f>
        <v>10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 s="8">
        <v>1259686800</v>
      </c>
      <c r="J2292">
        <v>1252908330</v>
      </c>
      <c r="K2292" t="b">
        <v>0</v>
      </c>
      <c r="L2292" s="10">
        <v>29</v>
      </c>
      <c r="M2292" t="b">
        <v>1</v>
      </c>
      <c r="N2292" t="s">
        <v>8274</v>
      </c>
      <c r="O2292" s="11">
        <f t="shared" si="144"/>
        <v>104</v>
      </c>
      <c r="P2292" s="12">
        <f t="shared" si="145"/>
        <v>54</v>
      </c>
      <c r="Q2292" s="14" t="s">
        <v>8322</v>
      </c>
      <c r="R2292" t="s">
        <v>8323</v>
      </c>
      <c r="S2292" s="17">
        <f t="shared" si="146"/>
        <v>40070.253819444442</v>
      </c>
      <c r="T2292" s="17">
        <f t="shared" si="147"/>
        <v>40148.708333333336</v>
      </c>
      <c r="U2292">
        <f>MONTH(Table1[[#This Row],[Launched]])</f>
        <v>9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 s="8">
        <v>1335153600</v>
      </c>
      <c r="J2293">
        <v>1332199618</v>
      </c>
      <c r="K2293" t="b">
        <v>0</v>
      </c>
      <c r="L2293" s="10">
        <v>43</v>
      </c>
      <c r="M2293" t="b">
        <v>1</v>
      </c>
      <c r="N2293" t="s">
        <v>8274</v>
      </c>
      <c r="O2293" s="11">
        <f t="shared" si="144"/>
        <v>173</v>
      </c>
      <c r="P2293" s="12">
        <f t="shared" si="145"/>
        <v>100</v>
      </c>
      <c r="Q2293" s="14" t="s">
        <v>8322</v>
      </c>
      <c r="R2293" t="s">
        <v>8323</v>
      </c>
      <c r="S2293" s="17">
        <f t="shared" si="146"/>
        <v>40987.977060185185</v>
      </c>
      <c r="T2293" s="17">
        <f t="shared" si="147"/>
        <v>41022.166666666664</v>
      </c>
      <c r="U2293">
        <f>MONTH(Table1[[#This Row],[Launched]])</f>
        <v>3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 s="8">
        <v>1334767476</v>
      </c>
      <c r="J2294">
        <v>1332175476</v>
      </c>
      <c r="K2294" t="b">
        <v>0</v>
      </c>
      <c r="L2294" s="10">
        <v>46</v>
      </c>
      <c r="M2294" t="b">
        <v>1</v>
      </c>
      <c r="N2294" t="s">
        <v>8274</v>
      </c>
      <c r="O2294" s="11">
        <f t="shared" si="144"/>
        <v>107</v>
      </c>
      <c r="P2294" s="12">
        <f t="shared" si="145"/>
        <v>47</v>
      </c>
      <c r="Q2294" s="14" t="s">
        <v>8322</v>
      </c>
      <c r="R2294" t="s">
        <v>8323</v>
      </c>
      <c r="S2294" s="17">
        <f t="shared" si="146"/>
        <v>40987.697638888887</v>
      </c>
      <c r="T2294" s="17">
        <f t="shared" si="147"/>
        <v>41017.697638888887</v>
      </c>
      <c r="U2294">
        <f>MONTH(Table1[[#This Row],[Launched]])</f>
        <v>3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8218</v>
      </c>
      <c r="G2295" t="s">
        <v>8223</v>
      </c>
      <c r="H2295" t="s">
        <v>8245</v>
      </c>
      <c r="I2295" s="8">
        <v>1348545540</v>
      </c>
      <c r="J2295">
        <v>1346345999</v>
      </c>
      <c r="K2295" t="b">
        <v>0</v>
      </c>
      <c r="L2295" s="10">
        <v>27</v>
      </c>
      <c r="M2295" t="b">
        <v>1</v>
      </c>
      <c r="N2295" t="s">
        <v>8274</v>
      </c>
      <c r="O2295" s="11">
        <f t="shared" si="144"/>
        <v>108</v>
      </c>
      <c r="P2295" s="12">
        <f t="shared" si="145"/>
        <v>34</v>
      </c>
      <c r="Q2295" s="14" t="s">
        <v>8322</v>
      </c>
      <c r="R2295" t="s">
        <v>8323</v>
      </c>
      <c r="S2295" s="17">
        <f t="shared" si="146"/>
        <v>41151.708321759259</v>
      </c>
      <c r="T2295" s="17">
        <f t="shared" si="147"/>
        <v>41177.165972222225</v>
      </c>
      <c r="U2295">
        <f>MONTH(Table1[[#This Row],[Launched]])</f>
        <v>8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 s="8">
        <v>1358702480</v>
      </c>
      <c r="J2296">
        <v>1356110480</v>
      </c>
      <c r="K2296" t="b">
        <v>0</v>
      </c>
      <c r="L2296" s="10">
        <v>112</v>
      </c>
      <c r="M2296" t="b">
        <v>1</v>
      </c>
      <c r="N2296" t="s">
        <v>8274</v>
      </c>
      <c r="O2296" s="11">
        <f t="shared" si="144"/>
        <v>146</v>
      </c>
      <c r="P2296" s="12">
        <f t="shared" si="145"/>
        <v>65</v>
      </c>
      <c r="Q2296" s="14" t="s">
        <v>8322</v>
      </c>
      <c r="R2296" t="s">
        <v>8323</v>
      </c>
      <c r="S2296" s="17">
        <f t="shared" si="146"/>
        <v>41264.72314814815</v>
      </c>
      <c r="T2296" s="17">
        <f t="shared" si="147"/>
        <v>41294.72314814815</v>
      </c>
      <c r="U2296">
        <f>MONTH(Table1[[#This Row],[Launched]])</f>
        <v>12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 s="8">
        <v>1359240856</v>
      </c>
      <c r="J2297">
        <v>1356648856</v>
      </c>
      <c r="K2297" t="b">
        <v>0</v>
      </c>
      <c r="L2297" s="10">
        <v>34</v>
      </c>
      <c r="M2297" t="b">
        <v>1</v>
      </c>
      <c r="N2297" t="s">
        <v>8274</v>
      </c>
      <c r="O2297" s="11">
        <f t="shared" si="144"/>
        <v>125</v>
      </c>
      <c r="P2297" s="12">
        <f t="shared" si="145"/>
        <v>44</v>
      </c>
      <c r="Q2297" s="14" t="s">
        <v>8322</v>
      </c>
      <c r="R2297" t="s">
        <v>8323</v>
      </c>
      <c r="S2297" s="17">
        <f t="shared" si="146"/>
        <v>41270.954351851848</v>
      </c>
      <c r="T2297" s="17">
        <f t="shared" si="147"/>
        <v>41300.954351851848</v>
      </c>
      <c r="U2297">
        <f>MONTH(Table1[[#This Row],[Launched]])</f>
        <v>12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 s="8">
        <v>1330018426</v>
      </c>
      <c r="J2298">
        <v>1326994426</v>
      </c>
      <c r="K2298" t="b">
        <v>0</v>
      </c>
      <c r="L2298" s="10">
        <v>145</v>
      </c>
      <c r="M2298" t="b">
        <v>1</v>
      </c>
      <c r="N2298" t="s">
        <v>8274</v>
      </c>
      <c r="O2298" s="11">
        <f t="shared" si="144"/>
        <v>149</v>
      </c>
      <c r="P2298" s="12">
        <f t="shared" si="145"/>
        <v>72</v>
      </c>
      <c r="Q2298" s="14" t="s">
        <v>8322</v>
      </c>
      <c r="R2298" t="s">
        <v>8323</v>
      </c>
      <c r="S2298" s="17">
        <f t="shared" si="146"/>
        <v>40927.731782407405</v>
      </c>
      <c r="T2298" s="17">
        <f t="shared" si="147"/>
        <v>40962.731782407405</v>
      </c>
      <c r="U2298">
        <f>MONTH(Table1[[#This Row],[Launched]])</f>
        <v>1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 s="8">
        <v>1331697540</v>
      </c>
      <c r="J2299">
        <v>1328749249</v>
      </c>
      <c r="K2299" t="b">
        <v>0</v>
      </c>
      <c r="L2299" s="10">
        <v>19</v>
      </c>
      <c r="M2299" t="b">
        <v>1</v>
      </c>
      <c r="N2299" t="s">
        <v>8274</v>
      </c>
      <c r="O2299" s="11">
        <f t="shared" si="144"/>
        <v>101</v>
      </c>
      <c r="P2299" s="12">
        <f t="shared" si="145"/>
        <v>53</v>
      </c>
      <c r="Q2299" s="14" t="s">
        <v>8322</v>
      </c>
      <c r="R2299" t="s">
        <v>8323</v>
      </c>
      <c r="S2299" s="17">
        <f t="shared" si="146"/>
        <v>40948.042233796295</v>
      </c>
      <c r="T2299" s="17">
        <f t="shared" si="147"/>
        <v>40982.165972222225</v>
      </c>
      <c r="U2299">
        <f>MONTH(Table1[[#This Row],[Launched]])</f>
        <v>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 s="8">
        <v>1395861033</v>
      </c>
      <c r="J2300">
        <v>1393272633</v>
      </c>
      <c r="K2300" t="b">
        <v>0</v>
      </c>
      <c r="L2300" s="10">
        <v>288</v>
      </c>
      <c r="M2300" t="b">
        <v>1</v>
      </c>
      <c r="N2300" t="s">
        <v>8274</v>
      </c>
      <c r="O2300" s="11">
        <f t="shared" si="144"/>
        <v>105</v>
      </c>
      <c r="P2300" s="12">
        <f t="shared" si="145"/>
        <v>109</v>
      </c>
      <c r="Q2300" s="14" t="s">
        <v>8322</v>
      </c>
      <c r="R2300" t="s">
        <v>8323</v>
      </c>
      <c r="S2300" s="17">
        <f t="shared" si="146"/>
        <v>41694.84065972222</v>
      </c>
      <c r="T2300" s="17">
        <f t="shared" si="147"/>
        <v>41724.798993055556</v>
      </c>
      <c r="U2300">
        <f>MONTH(Table1[[#This Row],[Launched]])</f>
        <v>2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 s="8">
        <v>1296953209</v>
      </c>
      <c r="J2301">
        <v>1295657209</v>
      </c>
      <c r="K2301" t="b">
        <v>0</v>
      </c>
      <c r="L2301" s="10">
        <v>14</v>
      </c>
      <c r="M2301" t="b">
        <v>1</v>
      </c>
      <c r="N2301" t="s">
        <v>8274</v>
      </c>
      <c r="O2301" s="11">
        <f t="shared" si="144"/>
        <v>350</v>
      </c>
      <c r="P2301" s="12">
        <f t="shared" si="145"/>
        <v>75</v>
      </c>
      <c r="Q2301" s="14" t="s">
        <v>8322</v>
      </c>
      <c r="R2301" t="s">
        <v>8323</v>
      </c>
      <c r="S2301" s="17">
        <f t="shared" si="146"/>
        <v>40565.032511574071</v>
      </c>
      <c r="T2301" s="17">
        <f t="shared" si="147"/>
        <v>40580.032511574071</v>
      </c>
      <c r="U2301">
        <f>MONTH(Table1[[#This Row],[Launched]])</f>
        <v>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8218</v>
      </c>
      <c r="G2302" t="s">
        <v>8223</v>
      </c>
      <c r="H2302" t="s">
        <v>8245</v>
      </c>
      <c r="I2302" s="8">
        <v>1340904416</v>
      </c>
      <c r="J2302">
        <v>1339694816</v>
      </c>
      <c r="K2302" t="b">
        <v>0</v>
      </c>
      <c r="L2302" s="10">
        <v>7</v>
      </c>
      <c r="M2302" t="b">
        <v>1</v>
      </c>
      <c r="N2302" t="s">
        <v>8274</v>
      </c>
      <c r="O2302" s="11">
        <f t="shared" si="144"/>
        <v>101</v>
      </c>
      <c r="P2302" s="12">
        <f t="shared" si="145"/>
        <v>116</v>
      </c>
      <c r="Q2302" s="14" t="s">
        <v>8322</v>
      </c>
      <c r="R2302" t="s">
        <v>8323</v>
      </c>
      <c r="S2302" s="17">
        <f t="shared" si="146"/>
        <v>41074.727037037039</v>
      </c>
      <c r="T2302" s="17">
        <f t="shared" si="147"/>
        <v>41088.727037037039</v>
      </c>
      <c r="U2302">
        <f>MONTH(Table1[[#This Row],[Launched]])</f>
        <v>6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 s="8">
        <v>1371785496</v>
      </c>
      <c r="J2303">
        <v>1369193496</v>
      </c>
      <c r="K2303" t="b">
        <v>1</v>
      </c>
      <c r="L2303" s="10">
        <v>211</v>
      </c>
      <c r="M2303" t="b">
        <v>1</v>
      </c>
      <c r="N2303" t="s">
        <v>8277</v>
      </c>
      <c r="O2303" s="11">
        <f t="shared" si="144"/>
        <v>134</v>
      </c>
      <c r="P2303" s="12">
        <f t="shared" si="145"/>
        <v>32</v>
      </c>
      <c r="Q2303" s="14" t="s">
        <v>8322</v>
      </c>
      <c r="R2303" t="s">
        <v>8326</v>
      </c>
      <c r="S2303" s="17">
        <f t="shared" si="146"/>
        <v>41416.146944444445</v>
      </c>
      <c r="T2303" s="17">
        <f t="shared" si="147"/>
        <v>41446.146944444445</v>
      </c>
      <c r="U2303">
        <f>MONTH(Table1[[#This Row],[Launched]])</f>
        <v>5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 s="8">
        <v>1388473200</v>
      </c>
      <c r="J2304">
        <v>1385585434</v>
      </c>
      <c r="K2304" t="b">
        <v>1</v>
      </c>
      <c r="L2304" s="10">
        <v>85</v>
      </c>
      <c r="M2304" t="b">
        <v>1</v>
      </c>
      <c r="N2304" t="s">
        <v>8277</v>
      </c>
      <c r="O2304" s="11">
        <f t="shared" si="144"/>
        <v>171</v>
      </c>
      <c r="P2304" s="12">
        <f t="shared" si="145"/>
        <v>46</v>
      </c>
      <c r="Q2304" s="14" t="s">
        <v>8322</v>
      </c>
      <c r="R2304" t="s">
        <v>8326</v>
      </c>
      <c r="S2304" s="17">
        <f t="shared" si="146"/>
        <v>41605.868449074071</v>
      </c>
      <c r="T2304" s="17">
        <f t="shared" si="147"/>
        <v>41639.291666666664</v>
      </c>
      <c r="U2304">
        <f>MONTH(Table1[[#This Row],[Launched]])</f>
        <v>11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 s="8">
        <v>1323747596</v>
      </c>
      <c r="J2305">
        <v>1320287996</v>
      </c>
      <c r="K2305" t="b">
        <v>1</v>
      </c>
      <c r="L2305" s="10">
        <v>103</v>
      </c>
      <c r="M2305" t="b">
        <v>1</v>
      </c>
      <c r="N2305" t="s">
        <v>8277</v>
      </c>
      <c r="O2305" s="11">
        <f t="shared" si="144"/>
        <v>109</v>
      </c>
      <c r="P2305" s="12">
        <f t="shared" si="145"/>
        <v>68</v>
      </c>
      <c r="Q2305" s="14" t="s">
        <v>8322</v>
      </c>
      <c r="R2305" t="s">
        <v>8326</v>
      </c>
      <c r="S2305" s="17">
        <f t="shared" si="146"/>
        <v>40850.111064814817</v>
      </c>
      <c r="T2305" s="17">
        <f t="shared" si="147"/>
        <v>40890.152731481481</v>
      </c>
      <c r="U2305">
        <f>MONTH(Table1[[#This Row],[Launched]])</f>
        <v>11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 s="8">
        <v>1293857940</v>
      </c>
      <c r="J2306">
        <v>1290281691</v>
      </c>
      <c r="K2306" t="b">
        <v>1</v>
      </c>
      <c r="L2306" s="10">
        <v>113</v>
      </c>
      <c r="M2306" t="b">
        <v>1</v>
      </c>
      <c r="N2306" t="s">
        <v>8277</v>
      </c>
      <c r="O2306" s="11">
        <f t="shared" ref="O2306:O2369" si="148">ROUND(E2306/D2306*100,0)</f>
        <v>101</v>
      </c>
      <c r="P2306" s="12">
        <f t="shared" si="145"/>
        <v>53</v>
      </c>
      <c r="Q2306" s="14" t="s">
        <v>8322</v>
      </c>
      <c r="R2306" t="s">
        <v>8326</v>
      </c>
      <c r="S2306" s="17">
        <f t="shared" si="146"/>
        <v>40502.815868055557</v>
      </c>
      <c r="T2306" s="17">
        <f t="shared" si="147"/>
        <v>40544.207638888889</v>
      </c>
      <c r="U2306">
        <f>MONTH(Table1[[#This Row],[Launched]])</f>
        <v>11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 s="8">
        <v>1407520800</v>
      </c>
      <c r="J2307">
        <v>1405356072</v>
      </c>
      <c r="K2307" t="b">
        <v>1</v>
      </c>
      <c r="L2307" s="10">
        <v>167</v>
      </c>
      <c r="M2307" t="b">
        <v>1</v>
      </c>
      <c r="N2307" t="s">
        <v>8277</v>
      </c>
      <c r="O2307" s="11">
        <f t="shared" si="148"/>
        <v>101</v>
      </c>
      <c r="P2307" s="12">
        <f t="shared" ref="P2307:P2370" si="149">IFERROR(ROUND(E2307/L2307,),"No Backers")</f>
        <v>109</v>
      </c>
      <c r="Q2307" s="14" t="s">
        <v>8322</v>
      </c>
      <c r="R2307" t="s">
        <v>8326</v>
      </c>
      <c r="S2307" s="17">
        <f t="shared" ref="S2307:S2370" si="150">(((J2307/60)/60)/24)+DATE(1970,1,1)</f>
        <v>41834.695277777777</v>
      </c>
      <c r="T2307" s="17">
        <f t="shared" ref="T2307:T2370" si="151">(((I2307/60)/60)/24)+DATE(1970,1,1)</f>
        <v>41859.75</v>
      </c>
      <c r="U2307">
        <f>MONTH(Table1[[#This Row],[Launched]])</f>
        <v>7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 s="8">
        <v>1331352129</v>
      </c>
      <c r="J2308">
        <v>1328760129</v>
      </c>
      <c r="K2308" t="b">
        <v>1</v>
      </c>
      <c r="L2308" s="10">
        <v>73</v>
      </c>
      <c r="M2308" t="b">
        <v>1</v>
      </c>
      <c r="N2308" t="s">
        <v>8277</v>
      </c>
      <c r="O2308" s="11">
        <f t="shared" si="148"/>
        <v>107</v>
      </c>
      <c r="P2308" s="12">
        <f t="shared" si="149"/>
        <v>51</v>
      </c>
      <c r="Q2308" s="14" t="s">
        <v>8322</v>
      </c>
      <c r="R2308" t="s">
        <v>8326</v>
      </c>
      <c r="S2308" s="17">
        <f t="shared" si="150"/>
        <v>40948.16815972222</v>
      </c>
      <c r="T2308" s="17">
        <f t="shared" si="151"/>
        <v>40978.16815972222</v>
      </c>
      <c r="U2308">
        <f>MONTH(Table1[[#This Row],[Launched]])</f>
        <v>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 s="8">
        <v>1336245328</v>
      </c>
      <c r="J2309">
        <v>1333653333</v>
      </c>
      <c r="K2309" t="b">
        <v>1</v>
      </c>
      <c r="L2309" s="10">
        <v>75</v>
      </c>
      <c r="M2309" t="b">
        <v>1</v>
      </c>
      <c r="N2309" t="s">
        <v>8277</v>
      </c>
      <c r="O2309" s="11">
        <f t="shared" si="148"/>
        <v>107</v>
      </c>
      <c r="P2309" s="12">
        <f t="shared" si="149"/>
        <v>28</v>
      </c>
      <c r="Q2309" s="14" t="s">
        <v>8322</v>
      </c>
      <c r="R2309" t="s">
        <v>8326</v>
      </c>
      <c r="S2309" s="17">
        <f t="shared" si="150"/>
        <v>41004.802465277775</v>
      </c>
      <c r="T2309" s="17">
        <f t="shared" si="151"/>
        <v>41034.802407407406</v>
      </c>
      <c r="U2309">
        <f>MONTH(Table1[[#This Row],[Launched]])</f>
        <v>4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 s="8">
        <v>1409274000</v>
      </c>
      <c r="J2310">
        <v>1406847996</v>
      </c>
      <c r="K2310" t="b">
        <v>1</v>
      </c>
      <c r="L2310" s="10">
        <v>614</v>
      </c>
      <c r="M2310" t="b">
        <v>1</v>
      </c>
      <c r="N2310" t="s">
        <v>8277</v>
      </c>
      <c r="O2310" s="11">
        <f t="shared" si="148"/>
        <v>101</v>
      </c>
      <c r="P2310" s="12">
        <f t="shared" si="149"/>
        <v>82</v>
      </c>
      <c r="Q2310" s="14" t="s">
        <v>8322</v>
      </c>
      <c r="R2310" t="s">
        <v>8326</v>
      </c>
      <c r="S2310" s="17">
        <f t="shared" si="150"/>
        <v>41851.962916666671</v>
      </c>
      <c r="T2310" s="17">
        <f t="shared" si="151"/>
        <v>41880.041666666664</v>
      </c>
      <c r="U2310">
        <f>MONTH(Table1[[#This Row],[Launched]])</f>
        <v>7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 s="8">
        <v>1362872537</v>
      </c>
      <c r="J2311">
        <v>1359848537</v>
      </c>
      <c r="K2311" t="b">
        <v>1</v>
      </c>
      <c r="L2311" s="10">
        <v>107</v>
      </c>
      <c r="M2311" t="b">
        <v>1</v>
      </c>
      <c r="N2311" t="s">
        <v>8277</v>
      </c>
      <c r="O2311" s="11">
        <f t="shared" si="148"/>
        <v>107</v>
      </c>
      <c r="P2311" s="12">
        <f t="shared" si="149"/>
        <v>60</v>
      </c>
      <c r="Q2311" s="14" t="s">
        <v>8322</v>
      </c>
      <c r="R2311" t="s">
        <v>8326</v>
      </c>
      <c r="S2311" s="17">
        <f t="shared" si="150"/>
        <v>41307.987696759257</v>
      </c>
      <c r="T2311" s="17">
        <f t="shared" si="151"/>
        <v>41342.987696759257</v>
      </c>
      <c r="U2311">
        <f>MONTH(Table1[[#This Row],[Launched]])</f>
        <v>2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 s="8">
        <v>1363889015</v>
      </c>
      <c r="J2312">
        <v>1361300615</v>
      </c>
      <c r="K2312" t="b">
        <v>1</v>
      </c>
      <c r="L2312" s="10">
        <v>1224</v>
      </c>
      <c r="M2312" t="b">
        <v>1</v>
      </c>
      <c r="N2312" t="s">
        <v>8277</v>
      </c>
      <c r="O2312" s="11">
        <f t="shared" si="148"/>
        <v>429</v>
      </c>
      <c r="P2312" s="12">
        <f t="shared" si="149"/>
        <v>65</v>
      </c>
      <c r="Q2312" s="14" t="s">
        <v>8322</v>
      </c>
      <c r="R2312" t="s">
        <v>8326</v>
      </c>
      <c r="S2312" s="17">
        <f t="shared" si="150"/>
        <v>41324.79415509259</v>
      </c>
      <c r="T2312" s="17">
        <f t="shared" si="151"/>
        <v>41354.752488425926</v>
      </c>
      <c r="U2312">
        <f>MONTH(Table1[[#This Row],[Launched]])</f>
        <v>2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 s="8">
        <v>1399421189</v>
      </c>
      <c r="J2313">
        <v>1396829189</v>
      </c>
      <c r="K2313" t="b">
        <v>1</v>
      </c>
      <c r="L2313" s="10">
        <v>104</v>
      </c>
      <c r="M2313" t="b">
        <v>1</v>
      </c>
      <c r="N2313" t="s">
        <v>8277</v>
      </c>
      <c r="O2313" s="11">
        <f t="shared" si="148"/>
        <v>104</v>
      </c>
      <c r="P2313" s="12">
        <f t="shared" si="149"/>
        <v>90</v>
      </c>
      <c r="Q2313" s="14" t="s">
        <v>8322</v>
      </c>
      <c r="R2313" t="s">
        <v>8326</v>
      </c>
      <c r="S2313" s="17">
        <f t="shared" si="150"/>
        <v>41736.004502314812</v>
      </c>
      <c r="T2313" s="17">
        <f t="shared" si="151"/>
        <v>41766.004502314812</v>
      </c>
      <c r="U2313">
        <f>MONTH(Table1[[#This Row],[Launched]])</f>
        <v>4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 s="8">
        <v>1397862000</v>
      </c>
      <c r="J2314">
        <v>1395155478</v>
      </c>
      <c r="K2314" t="b">
        <v>1</v>
      </c>
      <c r="L2314" s="10">
        <v>79</v>
      </c>
      <c r="M2314" t="b">
        <v>1</v>
      </c>
      <c r="N2314" t="s">
        <v>8277</v>
      </c>
      <c r="O2314" s="11">
        <f t="shared" si="148"/>
        <v>108</v>
      </c>
      <c r="P2314" s="12">
        <f t="shared" si="149"/>
        <v>41</v>
      </c>
      <c r="Q2314" s="14" t="s">
        <v>8322</v>
      </c>
      <c r="R2314" t="s">
        <v>8326</v>
      </c>
      <c r="S2314" s="17">
        <f t="shared" si="150"/>
        <v>41716.632847222223</v>
      </c>
      <c r="T2314" s="17">
        <f t="shared" si="151"/>
        <v>41747.958333333336</v>
      </c>
      <c r="U2314">
        <f>MONTH(Table1[[#This Row],[Launched]])</f>
        <v>3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 s="8">
        <v>1336086026</v>
      </c>
      <c r="J2315">
        <v>1333494026</v>
      </c>
      <c r="K2315" t="b">
        <v>1</v>
      </c>
      <c r="L2315" s="10">
        <v>157</v>
      </c>
      <c r="M2315" t="b">
        <v>1</v>
      </c>
      <c r="N2315" t="s">
        <v>8277</v>
      </c>
      <c r="O2315" s="11">
        <f t="shared" si="148"/>
        <v>176</v>
      </c>
      <c r="P2315" s="12">
        <f t="shared" si="149"/>
        <v>56</v>
      </c>
      <c r="Q2315" s="14" t="s">
        <v>8322</v>
      </c>
      <c r="R2315" t="s">
        <v>8326</v>
      </c>
      <c r="S2315" s="17">
        <f t="shared" si="150"/>
        <v>41002.958634259259</v>
      </c>
      <c r="T2315" s="17">
        <f t="shared" si="151"/>
        <v>41032.958634259259</v>
      </c>
      <c r="U2315">
        <f>MONTH(Table1[[#This Row],[Launched]])</f>
        <v>4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 s="8">
        <v>1339074857</v>
      </c>
      <c r="J2316">
        <v>1336482857</v>
      </c>
      <c r="K2316" t="b">
        <v>1</v>
      </c>
      <c r="L2316" s="10">
        <v>50</v>
      </c>
      <c r="M2316" t="b">
        <v>1</v>
      </c>
      <c r="N2316" t="s">
        <v>8277</v>
      </c>
      <c r="O2316" s="11">
        <f t="shared" si="148"/>
        <v>157</v>
      </c>
      <c r="P2316" s="12">
        <f t="shared" si="149"/>
        <v>38</v>
      </c>
      <c r="Q2316" s="14" t="s">
        <v>8322</v>
      </c>
      <c r="R2316" t="s">
        <v>8326</v>
      </c>
      <c r="S2316" s="17">
        <f t="shared" si="150"/>
        <v>41037.551585648151</v>
      </c>
      <c r="T2316" s="17">
        <f t="shared" si="151"/>
        <v>41067.551585648151</v>
      </c>
      <c r="U2316">
        <f>MONTH(Table1[[#This Row],[Launched]])</f>
        <v>5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 s="8">
        <v>1336238743</v>
      </c>
      <c r="J2317">
        <v>1333646743</v>
      </c>
      <c r="K2317" t="b">
        <v>1</v>
      </c>
      <c r="L2317" s="10">
        <v>64</v>
      </c>
      <c r="M2317" t="b">
        <v>1</v>
      </c>
      <c r="N2317" t="s">
        <v>8277</v>
      </c>
      <c r="O2317" s="11">
        <f t="shared" si="148"/>
        <v>103</v>
      </c>
      <c r="P2317" s="12">
        <f t="shared" si="149"/>
        <v>40</v>
      </c>
      <c r="Q2317" s="14" t="s">
        <v>8322</v>
      </c>
      <c r="R2317" t="s">
        <v>8326</v>
      </c>
      <c r="S2317" s="17">
        <f t="shared" si="150"/>
        <v>41004.72619212963</v>
      </c>
      <c r="T2317" s="17">
        <f t="shared" si="151"/>
        <v>41034.72619212963</v>
      </c>
      <c r="U2317">
        <f>MONTH(Table1[[#This Row],[Launched]])</f>
        <v>4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 s="8">
        <v>1260383040</v>
      </c>
      <c r="J2318">
        <v>1253726650</v>
      </c>
      <c r="K2318" t="b">
        <v>1</v>
      </c>
      <c r="L2318" s="10">
        <v>200</v>
      </c>
      <c r="M2318" t="b">
        <v>1</v>
      </c>
      <c r="N2318" t="s">
        <v>8277</v>
      </c>
      <c r="O2318" s="11">
        <f t="shared" si="148"/>
        <v>104</v>
      </c>
      <c r="P2318" s="12">
        <f t="shared" si="149"/>
        <v>78</v>
      </c>
      <c r="Q2318" s="14" t="s">
        <v>8322</v>
      </c>
      <c r="R2318" t="s">
        <v>8326</v>
      </c>
      <c r="S2318" s="17">
        <f t="shared" si="150"/>
        <v>40079.725115740745</v>
      </c>
      <c r="T2318" s="17">
        <f t="shared" si="151"/>
        <v>40156.76666666667</v>
      </c>
      <c r="U2318">
        <f>MONTH(Table1[[#This Row],[Launched]])</f>
        <v>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8218</v>
      </c>
      <c r="G2319" t="s">
        <v>8223</v>
      </c>
      <c r="H2319" t="s">
        <v>8245</v>
      </c>
      <c r="I2319" s="8">
        <v>1266210000</v>
      </c>
      <c r="J2319">
        <v>1263474049</v>
      </c>
      <c r="K2319" t="b">
        <v>1</v>
      </c>
      <c r="L2319" s="10">
        <v>22</v>
      </c>
      <c r="M2319" t="b">
        <v>1</v>
      </c>
      <c r="N2319" t="s">
        <v>8277</v>
      </c>
      <c r="O2319" s="11">
        <f t="shared" si="148"/>
        <v>104</v>
      </c>
      <c r="P2319" s="12">
        <f t="shared" si="149"/>
        <v>19</v>
      </c>
      <c r="Q2319" s="14" t="s">
        <v>8322</v>
      </c>
      <c r="R2319" t="s">
        <v>8326</v>
      </c>
      <c r="S2319" s="17">
        <f t="shared" si="150"/>
        <v>40192.542233796295</v>
      </c>
      <c r="T2319" s="17">
        <f t="shared" si="151"/>
        <v>40224.208333333336</v>
      </c>
      <c r="U2319">
        <f>MONTH(Table1[[#This Row],[Launched]])</f>
        <v>1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 s="8">
        <v>1253937540</v>
      </c>
      <c r="J2320">
        <v>1251214014</v>
      </c>
      <c r="K2320" t="b">
        <v>1</v>
      </c>
      <c r="L2320" s="10">
        <v>163</v>
      </c>
      <c r="M2320" t="b">
        <v>1</v>
      </c>
      <c r="N2320" t="s">
        <v>8277</v>
      </c>
      <c r="O2320" s="11">
        <f t="shared" si="148"/>
        <v>121</v>
      </c>
      <c r="P2320" s="12">
        <f t="shared" si="149"/>
        <v>37</v>
      </c>
      <c r="Q2320" s="14" t="s">
        <v>8322</v>
      </c>
      <c r="R2320" t="s">
        <v>8326</v>
      </c>
      <c r="S2320" s="17">
        <f t="shared" si="150"/>
        <v>40050.643680555557</v>
      </c>
      <c r="T2320" s="17">
        <f t="shared" si="151"/>
        <v>40082.165972222225</v>
      </c>
      <c r="U2320">
        <f>MONTH(Table1[[#This Row],[Launched]])</f>
        <v>8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 s="8">
        <v>1387072685</v>
      </c>
      <c r="J2321">
        <v>1384480685</v>
      </c>
      <c r="K2321" t="b">
        <v>1</v>
      </c>
      <c r="L2321" s="10">
        <v>77</v>
      </c>
      <c r="M2321" t="b">
        <v>1</v>
      </c>
      <c r="N2321" t="s">
        <v>8277</v>
      </c>
      <c r="O2321" s="11">
        <f t="shared" si="148"/>
        <v>108</v>
      </c>
      <c r="P2321" s="12">
        <f t="shared" si="149"/>
        <v>42</v>
      </c>
      <c r="Q2321" s="14" t="s">
        <v>8322</v>
      </c>
      <c r="R2321" t="s">
        <v>8326</v>
      </c>
      <c r="S2321" s="17">
        <f t="shared" si="150"/>
        <v>41593.082002314812</v>
      </c>
      <c r="T2321" s="17">
        <f t="shared" si="151"/>
        <v>41623.082002314812</v>
      </c>
      <c r="U2321">
        <f>MONTH(Table1[[#This Row],[Launched]])</f>
        <v>11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 s="8">
        <v>1396463800</v>
      </c>
      <c r="J2322">
        <v>1393443400</v>
      </c>
      <c r="K2322" t="b">
        <v>1</v>
      </c>
      <c r="L2322" s="10">
        <v>89</v>
      </c>
      <c r="M2322" t="b">
        <v>1</v>
      </c>
      <c r="N2322" t="s">
        <v>8277</v>
      </c>
      <c r="O2322" s="11">
        <f t="shared" si="148"/>
        <v>109</v>
      </c>
      <c r="P2322" s="12">
        <f t="shared" si="149"/>
        <v>61</v>
      </c>
      <c r="Q2322" s="14" t="s">
        <v>8322</v>
      </c>
      <c r="R2322" t="s">
        <v>8326</v>
      </c>
      <c r="S2322" s="17">
        <f t="shared" si="150"/>
        <v>41696.817129629628</v>
      </c>
      <c r="T2322" s="17">
        <f t="shared" si="151"/>
        <v>41731.775462962964</v>
      </c>
      <c r="U2322">
        <f>MONTH(Table1[[#This Row],[Launched]])</f>
        <v>2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 s="8">
        <v>1491282901</v>
      </c>
      <c r="J2323">
        <v>1488694501</v>
      </c>
      <c r="K2323" t="b">
        <v>0</v>
      </c>
      <c r="L2323" s="10">
        <v>64</v>
      </c>
      <c r="M2323" t="b">
        <v>0</v>
      </c>
      <c r="N2323" t="s">
        <v>8296</v>
      </c>
      <c r="O2323" s="11">
        <f t="shared" si="148"/>
        <v>39</v>
      </c>
      <c r="P2323" s="12">
        <f t="shared" si="149"/>
        <v>65</v>
      </c>
      <c r="Q2323" s="14" t="s">
        <v>8333</v>
      </c>
      <c r="R2323" t="s">
        <v>8349</v>
      </c>
      <c r="S2323" s="17">
        <f t="shared" si="150"/>
        <v>42799.260428240741</v>
      </c>
      <c r="T2323" s="17">
        <f t="shared" si="151"/>
        <v>42829.21876157407</v>
      </c>
      <c r="U2323">
        <f>MONTH(Table1[[#This Row],[Launched]])</f>
        <v>3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8221</v>
      </c>
      <c r="G2324" t="s">
        <v>8223</v>
      </c>
      <c r="H2324" t="s">
        <v>8245</v>
      </c>
      <c r="I2324" s="8">
        <v>1491769769</v>
      </c>
      <c r="J2324">
        <v>1489181369</v>
      </c>
      <c r="K2324" t="b">
        <v>0</v>
      </c>
      <c r="L2324" s="10">
        <v>4</v>
      </c>
      <c r="M2324" t="b">
        <v>0</v>
      </c>
      <c r="N2324" t="s">
        <v>8296</v>
      </c>
      <c r="O2324" s="11">
        <f t="shared" si="148"/>
        <v>3</v>
      </c>
      <c r="P2324" s="12">
        <f t="shared" si="149"/>
        <v>21</v>
      </c>
      <c r="Q2324" s="14" t="s">
        <v>8333</v>
      </c>
      <c r="R2324" t="s">
        <v>8349</v>
      </c>
      <c r="S2324" s="17">
        <f t="shared" si="150"/>
        <v>42804.895474537043</v>
      </c>
      <c r="T2324" s="17">
        <f t="shared" si="151"/>
        <v>42834.853807870371</v>
      </c>
      <c r="U2324">
        <f>MONTH(Table1[[#This Row],[Launched]])</f>
        <v>3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8221</v>
      </c>
      <c r="G2325" t="s">
        <v>8223</v>
      </c>
      <c r="H2325" t="s">
        <v>8245</v>
      </c>
      <c r="I2325" s="8">
        <v>1490033247</v>
      </c>
      <c r="J2325">
        <v>1489428447</v>
      </c>
      <c r="K2325" t="b">
        <v>0</v>
      </c>
      <c r="L2325" s="10">
        <v>4</v>
      </c>
      <c r="M2325" t="b">
        <v>0</v>
      </c>
      <c r="N2325" t="s">
        <v>8296</v>
      </c>
      <c r="O2325" s="11">
        <f t="shared" si="148"/>
        <v>48</v>
      </c>
      <c r="P2325" s="12">
        <f t="shared" si="149"/>
        <v>30</v>
      </c>
      <c r="Q2325" s="14" t="s">
        <v>8333</v>
      </c>
      <c r="R2325" t="s">
        <v>8349</v>
      </c>
      <c r="S2325" s="17">
        <f t="shared" si="150"/>
        <v>42807.755173611105</v>
      </c>
      <c r="T2325" s="17">
        <f t="shared" si="151"/>
        <v>42814.755173611105</v>
      </c>
      <c r="U2325">
        <f>MONTH(Table1[[#This Row],[Launched]])</f>
        <v>3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 s="8">
        <v>1490559285</v>
      </c>
      <c r="J2326">
        <v>1487970885</v>
      </c>
      <c r="K2326" t="b">
        <v>0</v>
      </c>
      <c r="L2326" s="10">
        <v>61</v>
      </c>
      <c r="M2326" t="b">
        <v>0</v>
      </c>
      <c r="N2326" t="s">
        <v>8296</v>
      </c>
      <c r="O2326" s="11">
        <f t="shared" si="148"/>
        <v>21</v>
      </c>
      <c r="P2326" s="12">
        <f t="shared" si="149"/>
        <v>25</v>
      </c>
      <c r="Q2326" s="14" t="s">
        <v>8333</v>
      </c>
      <c r="R2326" t="s">
        <v>8349</v>
      </c>
      <c r="S2326" s="17">
        <f t="shared" si="150"/>
        <v>42790.885243055556</v>
      </c>
      <c r="T2326" s="17">
        <f t="shared" si="151"/>
        <v>42820.843576388885</v>
      </c>
      <c r="U2326">
        <f>MONTH(Table1[[#This Row],[Launched]])</f>
        <v>2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8221</v>
      </c>
      <c r="G2327" t="s">
        <v>8223</v>
      </c>
      <c r="H2327" t="s">
        <v>8245</v>
      </c>
      <c r="I2327" s="8">
        <v>1490830331</v>
      </c>
      <c r="J2327">
        <v>1488241931</v>
      </c>
      <c r="K2327" t="b">
        <v>0</v>
      </c>
      <c r="L2327" s="10">
        <v>7</v>
      </c>
      <c r="M2327" t="b">
        <v>0</v>
      </c>
      <c r="N2327" t="s">
        <v>8296</v>
      </c>
      <c r="O2327" s="11">
        <f t="shared" si="148"/>
        <v>8</v>
      </c>
      <c r="P2327" s="12">
        <f t="shared" si="149"/>
        <v>11</v>
      </c>
      <c r="Q2327" s="14" t="s">
        <v>8333</v>
      </c>
      <c r="R2327" t="s">
        <v>8349</v>
      </c>
      <c r="S2327" s="17">
        <f t="shared" si="150"/>
        <v>42794.022349537037</v>
      </c>
      <c r="T2327" s="17">
        <f t="shared" si="151"/>
        <v>42823.980682870373</v>
      </c>
      <c r="U2327">
        <f>MONTH(Table1[[#This Row],[Launched]])</f>
        <v>2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 s="8">
        <v>1493571600</v>
      </c>
      <c r="J2328">
        <v>1489106948</v>
      </c>
      <c r="K2328" t="b">
        <v>0</v>
      </c>
      <c r="L2328" s="10">
        <v>1</v>
      </c>
      <c r="M2328" t="b">
        <v>0</v>
      </c>
      <c r="N2328" t="s">
        <v>8296</v>
      </c>
      <c r="O2328" s="11">
        <f t="shared" si="148"/>
        <v>1</v>
      </c>
      <c r="P2328" s="12">
        <f t="shared" si="149"/>
        <v>108</v>
      </c>
      <c r="Q2328" s="14" t="s">
        <v>8333</v>
      </c>
      <c r="R2328" t="s">
        <v>8349</v>
      </c>
      <c r="S2328" s="17">
        <f t="shared" si="150"/>
        <v>42804.034120370372</v>
      </c>
      <c r="T2328" s="17">
        <f t="shared" si="151"/>
        <v>42855.708333333328</v>
      </c>
      <c r="U2328">
        <f>MONTH(Table1[[#This Row],[Launched]])</f>
        <v>3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 s="8">
        <v>1409090440</v>
      </c>
      <c r="J2329">
        <v>1406066440</v>
      </c>
      <c r="K2329" t="b">
        <v>1</v>
      </c>
      <c r="L2329" s="10">
        <v>3355</v>
      </c>
      <c r="M2329" t="b">
        <v>1</v>
      </c>
      <c r="N2329" t="s">
        <v>8296</v>
      </c>
      <c r="O2329" s="11">
        <f t="shared" si="148"/>
        <v>526</v>
      </c>
      <c r="P2329" s="12">
        <f t="shared" si="149"/>
        <v>55</v>
      </c>
      <c r="Q2329" s="14" t="s">
        <v>8333</v>
      </c>
      <c r="R2329" t="s">
        <v>8349</v>
      </c>
      <c r="S2329" s="17">
        <f t="shared" si="150"/>
        <v>41842.917129629634</v>
      </c>
      <c r="T2329" s="17">
        <f t="shared" si="151"/>
        <v>41877.917129629634</v>
      </c>
      <c r="U2329">
        <f>MONTH(Table1[[#This Row],[Launched]])</f>
        <v>7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 s="8">
        <v>1434307537</v>
      </c>
      <c r="J2330">
        <v>1431715537</v>
      </c>
      <c r="K2330" t="b">
        <v>1</v>
      </c>
      <c r="L2330" s="10">
        <v>537</v>
      </c>
      <c r="M2330" t="b">
        <v>1</v>
      </c>
      <c r="N2330" t="s">
        <v>8296</v>
      </c>
      <c r="O2330" s="11">
        <f t="shared" si="148"/>
        <v>254</v>
      </c>
      <c r="P2330" s="12">
        <f t="shared" si="149"/>
        <v>47</v>
      </c>
      <c r="Q2330" s="14" t="s">
        <v>8333</v>
      </c>
      <c r="R2330" t="s">
        <v>8349</v>
      </c>
      <c r="S2330" s="17">
        <f t="shared" si="150"/>
        <v>42139.781678240746</v>
      </c>
      <c r="T2330" s="17">
        <f t="shared" si="151"/>
        <v>42169.781678240746</v>
      </c>
      <c r="U2330">
        <f>MONTH(Table1[[#This Row],[Launched]])</f>
        <v>5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 s="8">
        <v>1405609146</v>
      </c>
      <c r="J2331">
        <v>1403017146</v>
      </c>
      <c r="K2331" t="b">
        <v>1</v>
      </c>
      <c r="L2331" s="10">
        <v>125</v>
      </c>
      <c r="M2331" t="b">
        <v>1</v>
      </c>
      <c r="N2331" t="s">
        <v>8296</v>
      </c>
      <c r="O2331" s="11">
        <f t="shared" si="148"/>
        <v>106</v>
      </c>
      <c r="P2331" s="12">
        <f t="shared" si="149"/>
        <v>212</v>
      </c>
      <c r="Q2331" s="14" t="s">
        <v>8333</v>
      </c>
      <c r="R2331" t="s">
        <v>8349</v>
      </c>
      <c r="S2331" s="17">
        <f t="shared" si="150"/>
        <v>41807.624374999999</v>
      </c>
      <c r="T2331" s="17">
        <f t="shared" si="151"/>
        <v>41837.624374999999</v>
      </c>
      <c r="U2331">
        <f>MONTH(Table1[[#This Row],[Launched]])</f>
        <v>6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 s="8">
        <v>1451001600</v>
      </c>
      <c r="J2332">
        <v>1448400943</v>
      </c>
      <c r="K2332" t="b">
        <v>1</v>
      </c>
      <c r="L2332" s="10">
        <v>163</v>
      </c>
      <c r="M2332" t="b">
        <v>1</v>
      </c>
      <c r="N2332" t="s">
        <v>8296</v>
      </c>
      <c r="O2332" s="11">
        <f t="shared" si="148"/>
        <v>102</v>
      </c>
      <c r="P2332" s="12">
        <f t="shared" si="149"/>
        <v>220</v>
      </c>
      <c r="Q2332" s="14" t="s">
        <v>8333</v>
      </c>
      <c r="R2332" t="s">
        <v>8349</v>
      </c>
      <c r="S2332" s="17">
        <f t="shared" si="150"/>
        <v>42332.89980324074</v>
      </c>
      <c r="T2332" s="17">
        <f t="shared" si="151"/>
        <v>42363</v>
      </c>
      <c r="U2332">
        <f>MONTH(Table1[[#This Row],[Launched]])</f>
        <v>11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 s="8">
        <v>1408320490</v>
      </c>
      <c r="J2333">
        <v>1405728490</v>
      </c>
      <c r="K2333" t="b">
        <v>1</v>
      </c>
      <c r="L2333" s="10">
        <v>283</v>
      </c>
      <c r="M2333" t="b">
        <v>1</v>
      </c>
      <c r="N2333" t="s">
        <v>8296</v>
      </c>
      <c r="O2333" s="11">
        <f t="shared" si="148"/>
        <v>144</v>
      </c>
      <c r="P2333" s="12">
        <f t="shared" si="149"/>
        <v>41</v>
      </c>
      <c r="Q2333" s="14" t="s">
        <v>8333</v>
      </c>
      <c r="R2333" t="s">
        <v>8349</v>
      </c>
      <c r="S2333" s="17">
        <f t="shared" si="150"/>
        <v>41839.005671296298</v>
      </c>
      <c r="T2333" s="17">
        <f t="shared" si="151"/>
        <v>41869.005671296298</v>
      </c>
      <c r="U2333">
        <f>MONTH(Table1[[#This Row],[Launched]])</f>
        <v>7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 s="8">
        <v>1423235071</v>
      </c>
      <c r="J2334">
        <v>1420643071</v>
      </c>
      <c r="K2334" t="b">
        <v>1</v>
      </c>
      <c r="L2334" s="10">
        <v>352</v>
      </c>
      <c r="M2334" t="b">
        <v>1</v>
      </c>
      <c r="N2334" t="s">
        <v>8296</v>
      </c>
      <c r="O2334" s="11">
        <f t="shared" si="148"/>
        <v>106</v>
      </c>
      <c r="P2334" s="12">
        <f t="shared" si="149"/>
        <v>76</v>
      </c>
      <c r="Q2334" s="14" t="s">
        <v>8333</v>
      </c>
      <c r="R2334" t="s">
        <v>8349</v>
      </c>
      <c r="S2334" s="17">
        <f t="shared" si="150"/>
        <v>42011.628136574072</v>
      </c>
      <c r="T2334" s="17">
        <f t="shared" si="151"/>
        <v>42041.628136574072</v>
      </c>
      <c r="U2334">
        <f>MONTH(Table1[[#This Row],[Launched]])</f>
        <v>1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8218</v>
      </c>
      <c r="G2335" t="s">
        <v>8223</v>
      </c>
      <c r="H2335" t="s">
        <v>8245</v>
      </c>
      <c r="I2335" s="8">
        <v>1401385800</v>
      </c>
      <c r="J2335">
        <v>1399563390</v>
      </c>
      <c r="K2335" t="b">
        <v>1</v>
      </c>
      <c r="L2335" s="10">
        <v>94</v>
      </c>
      <c r="M2335" t="b">
        <v>1</v>
      </c>
      <c r="N2335" t="s">
        <v>8296</v>
      </c>
      <c r="O2335" s="11">
        <f t="shared" si="148"/>
        <v>212</v>
      </c>
      <c r="P2335" s="12">
        <f t="shared" si="149"/>
        <v>14</v>
      </c>
      <c r="Q2335" s="14" t="s">
        <v>8333</v>
      </c>
      <c r="R2335" t="s">
        <v>8349</v>
      </c>
      <c r="S2335" s="17">
        <f t="shared" si="150"/>
        <v>41767.650347222225</v>
      </c>
      <c r="T2335" s="17">
        <f t="shared" si="151"/>
        <v>41788.743055555555</v>
      </c>
      <c r="U2335">
        <f>MONTH(Table1[[#This Row],[Launched]])</f>
        <v>5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 s="8">
        <v>1415208840</v>
      </c>
      <c r="J2336">
        <v>1412611498</v>
      </c>
      <c r="K2336" t="b">
        <v>1</v>
      </c>
      <c r="L2336" s="10">
        <v>67</v>
      </c>
      <c r="M2336" t="b">
        <v>1</v>
      </c>
      <c r="N2336" t="s">
        <v>8296</v>
      </c>
      <c r="O2336" s="11">
        <f t="shared" si="148"/>
        <v>102</v>
      </c>
      <c r="P2336" s="12">
        <f t="shared" si="149"/>
        <v>61</v>
      </c>
      <c r="Q2336" s="14" t="s">
        <v>8333</v>
      </c>
      <c r="R2336" t="s">
        <v>8349</v>
      </c>
      <c r="S2336" s="17">
        <f t="shared" si="150"/>
        <v>41918.670115740737</v>
      </c>
      <c r="T2336" s="17">
        <f t="shared" si="151"/>
        <v>41948.731944444444</v>
      </c>
      <c r="U2336">
        <f>MONTH(Table1[[#This Row],[Launched]])</f>
        <v>10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 s="8">
        <v>1402494243</v>
      </c>
      <c r="J2337">
        <v>1399902243</v>
      </c>
      <c r="K2337" t="b">
        <v>1</v>
      </c>
      <c r="L2337" s="10">
        <v>221</v>
      </c>
      <c r="M2337" t="b">
        <v>1</v>
      </c>
      <c r="N2337" t="s">
        <v>8296</v>
      </c>
      <c r="O2337" s="11">
        <f t="shared" si="148"/>
        <v>102</v>
      </c>
      <c r="P2337" s="12">
        <f t="shared" si="149"/>
        <v>116</v>
      </c>
      <c r="Q2337" s="14" t="s">
        <v>8333</v>
      </c>
      <c r="R2337" t="s">
        <v>8349</v>
      </c>
      <c r="S2337" s="17">
        <f t="shared" si="150"/>
        <v>41771.572256944448</v>
      </c>
      <c r="T2337" s="17">
        <f t="shared" si="151"/>
        <v>41801.572256944448</v>
      </c>
      <c r="U2337">
        <f>MONTH(Table1[[#This Row],[Launched]])</f>
        <v>5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 s="8">
        <v>1394316695</v>
      </c>
      <c r="J2338">
        <v>1390860695</v>
      </c>
      <c r="K2338" t="b">
        <v>1</v>
      </c>
      <c r="L2338" s="10">
        <v>2165</v>
      </c>
      <c r="M2338" t="b">
        <v>1</v>
      </c>
      <c r="N2338" t="s">
        <v>8296</v>
      </c>
      <c r="O2338" s="11">
        <f t="shared" si="148"/>
        <v>521</v>
      </c>
      <c r="P2338" s="12">
        <f t="shared" si="149"/>
        <v>48</v>
      </c>
      <c r="Q2338" s="14" t="s">
        <v>8333</v>
      </c>
      <c r="R2338" t="s">
        <v>8349</v>
      </c>
      <c r="S2338" s="17">
        <f t="shared" si="150"/>
        <v>41666.924710648149</v>
      </c>
      <c r="T2338" s="17">
        <f t="shared" si="151"/>
        <v>41706.924710648149</v>
      </c>
      <c r="U2338">
        <f>MONTH(Table1[[#This Row],[Launched]])</f>
        <v>1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 s="8">
        <v>1403796143</v>
      </c>
      <c r="J2339">
        <v>1401204143</v>
      </c>
      <c r="K2339" t="b">
        <v>1</v>
      </c>
      <c r="L2339" s="10">
        <v>179</v>
      </c>
      <c r="M2339" t="b">
        <v>1</v>
      </c>
      <c r="N2339" t="s">
        <v>8296</v>
      </c>
      <c r="O2339" s="11">
        <f t="shared" si="148"/>
        <v>111</v>
      </c>
      <c r="P2339" s="12">
        <f t="shared" si="149"/>
        <v>74</v>
      </c>
      <c r="Q2339" s="14" t="s">
        <v>8333</v>
      </c>
      <c r="R2339" t="s">
        <v>8349</v>
      </c>
      <c r="S2339" s="17">
        <f t="shared" si="150"/>
        <v>41786.640543981484</v>
      </c>
      <c r="T2339" s="17">
        <f t="shared" si="151"/>
        <v>41816.640543981484</v>
      </c>
      <c r="U2339">
        <f>MONTH(Table1[[#This Row],[Launched]])</f>
        <v>5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 s="8">
        <v>1404077484</v>
      </c>
      <c r="J2340">
        <v>1401485484</v>
      </c>
      <c r="K2340" t="b">
        <v>1</v>
      </c>
      <c r="L2340" s="10">
        <v>123</v>
      </c>
      <c r="M2340" t="b">
        <v>1</v>
      </c>
      <c r="N2340" t="s">
        <v>8296</v>
      </c>
      <c r="O2340" s="11">
        <f t="shared" si="148"/>
        <v>101</v>
      </c>
      <c r="P2340" s="12">
        <f t="shared" si="149"/>
        <v>123</v>
      </c>
      <c r="Q2340" s="14" t="s">
        <v>8333</v>
      </c>
      <c r="R2340" t="s">
        <v>8349</v>
      </c>
      <c r="S2340" s="17">
        <f t="shared" si="150"/>
        <v>41789.896805555552</v>
      </c>
      <c r="T2340" s="17">
        <f t="shared" si="151"/>
        <v>41819.896805555552</v>
      </c>
      <c r="U2340">
        <f>MONTH(Table1[[#This Row],[Launched]])</f>
        <v>5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 s="8">
        <v>1482134340</v>
      </c>
      <c r="J2341">
        <v>1479496309</v>
      </c>
      <c r="K2341" t="b">
        <v>1</v>
      </c>
      <c r="L2341" s="10">
        <v>1104</v>
      </c>
      <c r="M2341" t="b">
        <v>1</v>
      </c>
      <c r="N2341" t="s">
        <v>8296</v>
      </c>
      <c r="O2341" s="11">
        <f t="shared" si="148"/>
        <v>294</v>
      </c>
      <c r="P2341" s="12">
        <f t="shared" si="149"/>
        <v>67</v>
      </c>
      <c r="Q2341" s="14" t="s">
        <v>8333</v>
      </c>
      <c r="R2341" t="s">
        <v>8349</v>
      </c>
      <c r="S2341" s="17">
        <f t="shared" si="150"/>
        <v>42692.79987268518</v>
      </c>
      <c r="T2341" s="17">
        <f t="shared" si="151"/>
        <v>42723.332638888889</v>
      </c>
      <c r="U2341">
        <f>MONTH(Table1[[#This Row],[Launched]])</f>
        <v>11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 s="8">
        <v>1477841138</v>
      </c>
      <c r="J2342">
        <v>1475249138</v>
      </c>
      <c r="K2342" t="b">
        <v>1</v>
      </c>
      <c r="L2342" s="10">
        <v>403</v>
      </c>
      <c r="M2342" t="b">
        <v>1</v>
      </c>
      <c r="N2342" t="s">
        <v>8296</v>
      </c>
      <c r="O2342" s="11">
        <f t="shared" si="148"/>
        <v>106</v>
      </c>
      <c r="P2342" s="12">
        <f t="shared" si="149"/>
        <v>105</v>
      </c>
      <c r="Q2342" s="14" t="s">
        <v>8333</v>
      </c>
      <c r="R2342" t="s">
        <v>8349</v>
      </c>
      <c r="S2342" s="17">
        <f t="shared" si="150"/>
        <v>42643.642800925925</v>
      </c>
      <c r="T2342" s="17">
        <f t="shared" si="151"/>
        <v>42673.642800925925</v>
      </c>
      <c r="U2342">
        <f>MONTH(Table1[[#This Row],[Launched]])</f>
        <v>9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8219</v>
      </c>
      <c r="G2343" t="s">
        <v>8223</v>
      </c>
      <c r="H2343" t="s">
        <v>8245</v>
      </c>
      <c r="I2343" s="8">
        <v>1436729504</v>
      </c>
      <c r="J2343">
        <v>1434137504</v>
      </c>
      <c r="K2343" t="b">
        <v>0</v>
      </c>
      <c r="L2343" s="10">
        <v>0</v>
      </c>
      <c r="M2343" t="b">
        <v>0</v>
      </c>
      <c r="N2343" t="s">
        <v>8270</v>
      </c>
      <c r="O2343" s="11">
        <f t="shared" si="148"/>
        <v>0</v>
      </c>
      <c r="P2343" s="12" t="str">
        <f t="shared" si="149"/>
        <v>No Backers</v>
      </c>
      <c r="Q2343" s="14" t="s">
        <v>8316</v>
      </c>
      <c r="R2343" t="s">
        <v>8317</v>
      </c>
      <c r="S2343" s="17">
        <f t="shared" si="150"/>
        <v>42167.813703703709</v>
      </c>
      <c r="T2343" s="17">
        <f t="shared" si="151"/>
        <v>42197.813703703709</v>
      </c>
      <c r="U2343">
        <f>MONTH(Table1[[#This Row],[Launched]])</f>
        <v>6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8219</v>
      </c>
      <c r="G2344" t="s">
        <v>8223</v>
      </c>
      <c r="H2344" t="s">
        <v>8245</v>
      </c>
      <c r="I2344" s="8">
        <v>1412571600</v>
      </c>
      <c r="J2344">
        <v>1410799870</v>
      </c>
      <c r="K2344" t="b">
        <v>0</v>
      </c>
      <c r="L2344" s="10">
        <v>0</v>
      </c>
      <c r="M2344" t="b">
        <v>0</v>
      </c>
      <c r="N2344" t="s">
        <v>8270</v>
      </c>
      <c r="O2344" s="11">
        <f t="shared" si="148"/>
        <v>0</v>
      </c>
      <c r="P2344" s="12" t="str">
        <f t="shared" si="149"/>
        <v>No Backers</v>
      </c>
      <c r="Q2344" s="14" t="s">
        <v>8316</v>
      </c>
      <c r="R2344" t="s">
        <v>8317</v>
      </c>
      <c r="S2344" s="17">
        <f t="shared" si="150"/>
        <v>41897.702199074076</v>
      </c>
      <c r="T2344" s="17">
        <f t="shared" si="151"/>
        <v>41918.208333333336</v>
      </c>
      <c r="U2344">
        <f>MONTH(Table1[[#This Row],[Launched]])</f>
        <v>9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 s="8">
        <v>1452282420</v>
      </c>
      <c r="J2345">
        <v>1447962505</v>
      </c>
      <c r="K2345" t="b">
        <v>0</v>
      </c>
      <c r="L2345" s="10">
        <v>1</v>
      </c>
      <c r="M2345" t="b">
        <v>0</v>
      </c>
      <c r="N2345" t="s">
        <v>8270</v>
      </c>
      <c r="O2345" s="11">
        <f t="shared" si="148"/>
        <v>3</v>
      </c>
      <c r="P2345" s="12">
        <f t="shared" si="149"/>
        <v>300</v>
      </c>
      <c r="Q2345" s="14" t="s">
        <v>8316</v>
      </c>
      <c r="R2345" t="s">
        <v>8317</v>
      </c>
      <c r="S2345" s="17">
        <f t="shared" si="150"/>
        <v>42327.825289351851</v>
      </c>
      <c r="T2345" s="17">
        <f t="shared" si="151"/>
        <v>42377.82430555555</v>
      </c>
      <c r="U2345">
        <f>MONTH(Table1[[#This Row],[Launched]])</f>
        <v>11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8219</v>
      </c>
      <c r="G2346" t="s">
        <v>8228</v>
      </c>
      <c r="H2346" t="s">
        <v>8250</v>
      </c>
      <c r="I2346" s="8">
        <v>1466789269</v>
      </c>
      <c r="J2346">
        <v>1464197269</v>
      </c>
      <c r="K2346" t="b">
        <v>0</v>
      </c>
      <c r="L2346" s="10">
        <v>1</v>
      </c>
      <c r="M2346" t="b">
        <v>0</v>
      </c>
      <c r="N2346" t="s">
        <v>8270</v>
      </c>
      <c r="O2346" s="11">
        <f t="shared" si="148"/>
        <v>0</v>
      </c>
      <c r="P2346" s="12">
        <f t="shared" si="149"/>
        <v>1</v>
      </c>
      <c r="Q2346" s="14" t="s">
        <v>8316</v>
      </c>
      <c r="R2346" t="s">
        <v>8317</v>
      </c>
      <c r="S2346" s="17">
        <f t="shared" si="150"/>
        <v>42515.727650462963</v>
      </c>
      <c r="T2346" s="17">
        <f t="shared" si="151"/>
        <v>42545.727650462963</v>
      </c>
      <c r="U2346">
        <f>MONTH(Table1[[#This Row],[Launched]])</f>
        <v>5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8219</v>
      </c>
      <c r="G2347" t="s">
        <v>8223</v>
      </c>
      <c r="H2347" t="s">
        <v>8245</v>
      </c>
      <c r="I2347" s="8">
        <v>1427845140</v>
      </c>
      <c r="J2347">
        <v>1424822556</v>
      </c>
      <c r="K2347" t="b">
        <v>0</v>
      </c>
      <c r="L2347" s="10">
        <v>0</v>
      </c>
      <c r="M2347" t="b">
        <v>0</v>
      </c>
      <c r="N2347" t="s">
        <v>8270</v>
      </c>
      <c r="O2347" s="11">
        <f t="shared" si="148"/>
        <v>0</v>
      </c>
      <c r="P2347" s="12" t="str">
        <f t="shared" si="149"/>
        <v>No Backers</v>
      </c>
      <c r="Q2347" s="14" t="s">
        <v>8316</v>
      </c>
      <c r="R2347" t="s">
        <v>8317</v>
      </c>
      <c r="S2347" s="17">
        <f t="shared" si="150"/>
        <v>42060.001805555556</v>
      </c>
      <c r="T2347" s="17">
        <f t="shared" si="151"/>
        <v>42094.985416666663</v>
      </c>
      <c r="U2347">
        <f>MONTH(Table1[[#This Row],[Launched]])</f>
        <v>2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8219</v>
      </c>
      <c r="G2348" t="s">
        <v>8223</v>
      </c>
      <c r="H2348" t="s">
        <v>8245</v>
      </c>
      <c r="I2348" s="8">
        <v>1476731431</v>
      </c>
      <c r="J2348">
        <v>1472843431</v>
      </c>
      <c r="K2348" t="b">
        <v>0</v>
      </c>
      <c r="L2348" s="10">
        <v>3</v>
      </c>
      <c r="M2348" t="b">
        <v>0</v>
      </c>
      <c r="N2348" t="s">
        <v>8270</v>
      </c>
      <c r="O2348" s="11">
        <f t="shared" si="148"/>
        <v>0</v>
      </c>
      <c r="P2348" s="12">
        <f t="shared" si="149"/>
        <v>13</v>
      </c>
      <c r="Q2348" s="14" t="s">
        <v>8316</v>
      </c>
      <c r="R2348" t="s">
        <v>8317</v>
      </c>
      <c r="S2348" s="17">
        <f t="shared" si="150"/>
        <v>42615.79896990741</v>
      </c>
      <c r="T2348" s="17">
        <f t="shared" si="151"/>
        <v>42660.79896990741</v>
      </c>
      <c r="U2348">
        <f>MONTH(Table1[[#This Row],[Launched]])</f>
        <v>9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8219</v>
      </c>
      <c r="G2349" t="s">
        <v>8223</v>
      </c>
      <c r="H2349" t="s">
        <v>8245</v>
      </c>
      <c r="I2349" s="8">
        <v>1472135676</v>
      </c>
      <c r="J2349">
        <v>1469543676</v>
      </c>
      <c r="K2349" t="b">
        <v>0</v>
      </c>
      <c r="L2349" s="10">
        <v>1</v>
      </c>
      <c r="M2349" t="b">
        <v>0</v>
      </c>
      <c r="N2349" t="s">
        <v>8270</v>
      </c>
      <c r="O2349" s="11">
        <f t="shared" si="148"/>
        <v>2</v>
      </c>
      <c r="P2349" s="12">
        <f t="shared" si="149"/>
        <v>15</v>
      </c>
      <c r="Q2349" s="14" t="s">
        <v>8316</v>
      </c>
      <c r="R2349" t="s">
        <v>8317</v>
      </c>
      <c r="S2349" s="17">
        <f t="shared" si="150"/>
        <v>42577.607361111113</v>
      </c>
      <c r="T2349" s="17">
        <f t="shared" si="151"/>
        <v>42607.607361111113</v>
      </c>
      <c r="U2349">
        <f>MONTH(Table1[[#This Row],[Launched]])</f>
        <v>7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 s="8">
        <v>1456006938</v>
      </c>
      <c r="J2350">
        <v>1450822938</v>
      </c>
      <c r="K2350" t="b">
        <v>0</v>
      </c>
      <c r="L2350" s="10">
        <v>5</v>
      </c>
      <c r="M2350" t="b">
        <v>0</v>
      </c>
      <c r="N2350" t="s">
        <v>8270</v>
      </c>
      <c r="O2350" s="11">
        <f t="shared" si="148"/>
        <v>0</v>
      </c>
      <c r="P2350" s="12">
        <f t="shared" si="149"/>
        <v>54</v>
      </c>
      <c r="Q2350" s="14" t="s">
        <v>8316</v>
      </c>
      <c r="R2350" t="s">
        <v>8317</v>
      </c>
      <c r="S2350" s="17">
        <f t="shared" si="150"/>
        <v>42360.932152777779</v>
      </c>
      <c r="T2350" s="17">
        <f t="shared" si="151"/>
        <v>42420.932152777779</v>
      </c>
      <c r="U2350">
        <f>MONTH(Table1[[#This Row],[Launched]])</f>
        <v>12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8219</v>
      </c>
      <c r="G2351" t="s">
        <v>8234</v>
      </c>
      <c r="H2351" t="s">
        <v>8254</v>
      </c>
      <c r="I2351" s="8">
        <v>1439318228</v>
      </c>
      <c r="J2351">
        <v>1436812628</v>
      </c>
      <c r="K2351" t="b">
        <v>0</v>
      </c>
      <c r="L2351" s="10">
        <v>0</v>
      </c>
      <c r="M2351" t="b">
        <v>0</v>
      </c>
      <c r="N2351" t="s">
        <v>8270</v>
      </c>
      <c r="O2351" s="11">
        <f t="shared" si="148"/>
        <v>0</v>
      </c>
      <c r="P2351" s="12" t="str">
        <f t="shared" si="149"/>
        <v>No Backers</v>
      </c>
      <c r="Q2351" s="14" t="s">
        <v>8316</v>
      </c>
      <c r="R2351" t="s">
        <v>8317</v>
      </c>
      <c r="S2351" s="17">
        <f t="shared" si="150"/>
        <v>42198.775787037041</v>
      </c>
      <c r="T2351" s="17">
        <f t="shared" si="151"/>
        <v>42227.775787037041</v>
      </c>
      <c r="U2351">
        <f>MONTH(Table1[[#This Row],[Launched]])</f>
        <v>7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8219</v>
      </c>
      <c r="G2352" t="s">
        <v>8240</v>
      </c>
      <c r="H2352" t="s">
        <v>8248</v>
      </c>
      <c r="I2352" s="8">
        <v>1483474370</v>
      </c>
      <c r="J2352">
        <v>1480882370</v>
      </c>
      <c r="K2352" t="b">
        <v>0</v>
      </c>
      <c r="L2352" s="10">
        <v>0</v>
      </c>
      <c r="M2352" t="b">
        <v>0</v>
      </c>
      <c r="N2352" t="s">
        <v>8270</v>
      </c>
      <c r="O2352" s="11">
        <f t="shared" si="148"/>
        <v>0</v>
      </c>
      <c r="P2352" s="12" t="str">
        <f t="shared" si="149"/>
        <v>No Backers</v>
      </c>
      <c r="Q2352" s="14" t="s">
        <v>8316</v>
      </c>
      <c r="R2352" t="s">
        <v>8317</v>
      </c>
      <c r="S2352" s="17">
        <f t="shared" si="150"/>
        <v>42708.842245370368</v>
      </c>
      <c r="T2352" s="17">
        <f t="shared" si="151"/>
        <v>42738.842245370368</v>
      </c>
      <c r="U2352">
        <f>MONTH(Table1[[#This Row],[Launched]])</f>
        <v>12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 s="8">
        <v>1430360739</v>
      </c>
      <c r="J2353">
        <v>1427768739</v>
      </c>
      <c r="K2353" t="b">
        <v>0</v>
      </c>
      <c r="L2353" s="10">
        <v>7</v>
      </c>
      <c r="M2353" t="b">
        <v>0</v>
      </c>
      <c r="N2353" t="s">
        <v>8270</v>
      </c>
      <c r="O2353" s="11">
        <f t="shared" si="148"/>
        <v>1</v>
      </c>
      <c r="P2353" s="12">
        <f t="shared" si="149"/>
        <v>15</v>
      </c>
      <c r="Q2353" s="14" t="s">
        <v>8316</v>
      </c>
      <c r="R2353" t="s">
        <v>8317</v>
      </c>
      <c r="S2353" s="17">
        <f t="shared" si="150"/>
        <v>42094.101145833338</v>
      </c>
      <c r="T2353" s="17">
        <f t="shared" si="151"/>
        <v>42124.101145833338</v>
      </c>
      <c r="U2353">
        <f>MONTH(Table1[[#This Row],[Launched]])</f>
        <v>3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8219</v>
      </c>
      <c r="G2354" t="s">
        <v>8223</v>
      </c>
      <c r="H2354" t="s">
        <v>8245</v>
      </c>
      <c r="I2354" s="8">
        <v>1433603552</v>
      </c>
      <c r="J2354">
        <v>1428419552</v>
      </c>
      <c r="K2354" t="b">
        <v>0</v>
      </c>
      <c r="L2354" s="10">
        <v>0</v>
      </c>
      <c r="M2354" t="b">
        <v>0</v>
      </c>
      <c r="N2354" t="s">
        <v>8270</v>
      </c>
      <c r="O2354" s="11">
        <f t="shared" si="148"/>
        <v>0</v>
      </c>
      <c r="P2354" s="12" t="str">
        <f t="shared" si="149"/>
        <v>No Backers</v>
      </c>
      <c r="Q2354" s="14" t="s">
        <v>8316</v>
      </c>
      <c r="R2354" t="s">
        <v>8317</v>
      </c>
      <c r="S2354" s="17">
        <f t="shared" si="150"/>
        <v>42101.633703703701</v>
      </c>
      <c r="T2354" s="17">
        <f t="shared" si="151"/>
        <v>42161.633703703701</v>
      </c>
      <c r="U2354">
        <f>MONTH(Table1[[#This Row],[Launched]])</f>
        <v>4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8219</v>
      </c>
      <c r="G2355" t="s">
        <v>8223</v>
      </c>
      <c r="H2355" t="s">
        <v>8245</v>
      </c>
      <c r="I2355" s="8">
        <v>1429632822</v>
      </c>
      <c r="J2355">
        <v>1428596022</v>
      </c>
      <c r="K2355" t="b">
        <v>0</v>
      </c>
      <c r="L2355" s="10">
        <v>0</v>
      </c>
      <c r="M2355" t="b">
        <v>0</v>
      </c>
      <c r="N2355" t="s">
        <v>8270</v>
      </c>
      <c r="O2355" s="11">
        <f t="shared" si="148"/>
        <v>0</v>
      </c>
      <c r="P2355" s="12" t="str">
        <f t="shared" si="149"/>
        <v>No Backers</v>
      </c>
      <c r="Q2355" s="14" t="s">
        <v>8316</v>
      </c>
      <c r="R2355" t="s">
        <v>8317</v>
      </c>
      <c r="S2355" s="17">
        <f t="shared" si="150"/>
        <v>42103.676180555558</v>
      </c>
      <c r="T2355" s="17">
        <f t="shared" si="151"/>
        <v>42115.676180555558</v>
      </c>
      <c r="U2355">
        <f>MONTH(Table1[[#This Row],[Launched]])</f>
        <v>4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8219</v>
      </c>
      <c r="G2356" t="s">
        <v>8223</v>
      </c>
      <c r="H2356" t="s">
        <v>8245</v>
      </c>
      <c r="I2356" s="8">
        <v>1420910460</v>
      </c>
      <c r="J2356">
        <v>1415726460</v>
      </c>
      <c r="K2356" t="b">
        <v>0</v>
      </c>
      <c r="L2356" s="10">
        <v>1</v>
      </c>
      <c r="M2356" t="b">
        <v>0</v>
      </c>
      <c r="N2356" t="s">
        <v>8270</v>
      </c>
      <c r="O2356" s="11">
        <f t="shared" si="148"/>
        <v>0</v>
      </c>
      <c r="P2356" s="12">
        <f t="shared" si="149"/>
        <v>25</v>
      </c>
      <c r="Q2356" s="14" t="s">
        <v>8316</v>
      </c>
      <c r="R2356" t="s">
        <v>8317</v>
      </c>
      <c r="S2356" s="17">
        <f t="shared" si="150"/>
        <v>41954.722916666666</v>
      </c>
      <c r="T2356" s="17">
        <f t="shared" si="151"/>
        <v>42014.722916666666</v>
      </c>
      <c r="U2356">
        <f>MONTH(Table1[[#This Row],[Launched]])</f>
        <v>11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8219</v>
      </c>
      <c r="G2357" t="s">
        <v>8225</v>
      </c>
      <c r="H2357" t="s">
        <v>8247</v>
      </c>
      <c r="I2357" s="8">
        <v>1430604136</v>
      </c>
      <c r="J2357">
        <v>1428012136</v>
      </c>
      <c r="K2357" t="b">
        <v>0</v>
      </c>
      <c r="L2357" s="10">
        <v>2</v>
      </c>
      <c r="M2357" t="b">
        <v>0</v>
      </c>
      <c r="N2357" t="s">
        <v>8270</v>
      </c>
      <c r="O2357" s="11">
        <f t="shared" si="148"/>
        <v>1</v>
      </c>
      <c r="P2357" s="12">
        <f t="shared" si="149"/>
        <v>28</v>
      </c>
      <c r="Q2357" s="14" t="s">
        <v>8316</v>
      </c>
      <c r="R2357" t="s">
        <v>8317</v>
      </c>
      <c r="S2357" s="17">
        <f t="shared" si="150"/>
        <v>42096.918240740735</v>
      </c>
      <c r="T2357" s="17">
        <f t="shared" si="151"/>
        <v>42126.918240740735</v>
      </c>
      <c r="U2357">
        <f>MONTH(Table1[[#This Row],[Launched]])</f>
        <v>4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8219</v>
      </c>
      <c r="G2358" t="s">
        <v>8232</v>
      </c>
      <c r="H2358" t="s">
        <v>8248</v>
      </c>
      <c r="I2358" s="8">
        <v>1433530104</v>
      </c>
      <c r="J2358">
        <v>1430938104</v>
      </c>
      <c r="K2358" t="b">
        <v>0</v>
      </c>
      <c r="L2358" s="10">
        <v>0</v>
      </c>
      <c r="M2358" t="b">
        <v>0</v>
      </c>
      <c r="N2358" t="s">
        <v>8270</v>
      </c>
      <c r="O2358" s="11">
        <f t="shared" si="148"/>
        <v>0</v>
      </c>
      <c r="P2358" s="12" t="str">
        <f t="shared" si="149"/>
        <v>No Backers</v>
      </c>
      <c r="Q2358" s="14" t="s">
        <v>8316</v>
      </c>
      <c r="R2358" t="s">
        <v>8317</v>
      </c>
      <c r="S2358" s="17">
        <f t="shared" si="150"/>
        <v>42130.78361111111</v>
      </c>
      <c r="T2358" s="17">
        <f t="shared" si="151"/>
        <v>42160.78361111111</v>
      </c>
      <c r="U2358">
        <f>MONTH(Table1[[#This Row],[Launched]])</f>
        <v>5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8219</v>
      </c>
      <c r="G2359" t="s">
        <v>8224</v>
      </c>
      <c r="H2359" t="s">
        <v>8246</v>
      </c>
      <c r="I2359" s="8">
        <v>1445093578</v>
      </c>
      <c r="J2359">
        <v>1442501578</v>
      </c>
      <c r="K2359" t="b">
        <v>0</v>
      </c>
      <c r="L2359" s="10">
        <v>0</v>
      </c>
      <c r="M2359" t="b">
        <v>0</v>
      </c>
      <c r="N2359" t="s">
        <v>8270</v>
      </c>
      <c r="O2359" s="11">
        <f t="shared" si="148"/>
        <v>0</v>
      </c>
      <c r="P2359" s="12" t="str">
        <f t="shared" si="149"/>
        <v>No Backers</v>
      </c>
      <c r="Q2359" s="14" t="s">
        <v>8316</v>
      </c>
      <c r="R2359" t="s">
        <v>8317</v>
      </c>
      <c r="S2359" s="17">
        <f t="shared" si="150"/>
        <v>42264.620115740734</v>
      </c>
      <c r="T2359" s="17">
        <f t="shared" si="151"/>
        <v>42294.620115740734</v>
      </c>
      <c r="U2359">
        <f>MONTH(Table1[[#This Row],[Launched]])</f>
        <v>9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8219</v>
      </c>
      <c r="G2360" t="s">
        <v>8224</v>
      </c>
      <c r="H2360" t="s">
        <v>8246</v>
      </c>
      <c r="I2360" s="8">
        <v>1422664740</v>
      </c>
      <c r="J2360">
        <v>1417818036</v>
      </c>
      <c r="K2360" t="b">
        <v>0</v>
      </c>
      <c r="L2360" s="10">
        <v>0</v>
      </c>
      <c r="M2360" t="b">
        <v>0</v>
      </c>
      <c r="N2360" t="s">
        <v>8270</v>
      </c>
      <c r="O2360" s="11">
        <f t="shared" si="148"/>
        <v>0</v>
      </c>
      <c r="P2360" s="12" t="str">
        <f t="shared" si="149"/>
        <v>No Backers</v>
      </c>
      <c r="Q2360" s="14" t="s">
        <v>8316</v>
      </c>
      <c r="R2360" t="s">
        <v>8317</v>
      </c>
      <c r="S2360" s="17">
        <f t="shared" si="150"/>
        <v>41978.930972222224</v>
      </c>
      <c r="T2360" s="17">
        <f t="shared" si="151"/>
        <v>42035.027083333334</v>
      </c>
      <c r="U2360">
        <f>MONTH(Table1[[#This Row],[Launched]])</f>
        <v>12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 s="8">
        <v>1438616124</v>
      </c>
      <c r="J2361">
        <v>1433432124</v>
      </c>
      <c r="K2361" t="b">
        <v>0</v>
      </c>
      <c r="L2361" s="10">
        <v>3</v>
      </c>
      <c r="M2361" t="b">
        <v>0</v>
      </c>
      <c r="N2361" t="s">
        <v>8270</v>
      </c>
      <c r="O2361" s="11">
        <f t="shared" si="148"/>
        <v>15</v>
      </c>
      <c r="P2361" s="12">
        <f t="shared" si="149"/>
        <v>367</v>
      </c>
      <c r="Q2361" s="14" t="s">
        <v>8316</v>
      </c>
      <c r="R2361" t="s">
        <v>8317</v>
      </c>
      <c r="S2361" s="17">
        <f t="shared" si="150"/>
        <v>42159.649583333332</v>
      </c>
      <c r="T2361" s="17">
        <f t="shared" si="151"/>
        <v>42219.649583333332</v>
      </c>
      <c r="U2361">
        <f>MONTH(Table1[[#This Row],[Launched]])</f>
        <v>6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8219</v>
      </c>
      <c r="G2362" t="s">
        <v>8228</v>
      </c>
      <c r="H2362" t="s">
        <v>8250</v>
      </c>
      <c r="I2362" s="8">
        <v>1454864280</v>
      </c>
      <c r="J2362">
        <v>1452272280</v>
      </c>
      <c r="K2362" t="b">
        <v>0</v>
      </c>
      <c r="L2362" s="10">
        <v>1</v>
      </c>
      <c r="M2362" t="b">
        <v>0</v>
      </c>
      <c r="N2362" t="s">
        <v>8270</v>
      </c>
      <c r="O2362" s="11">
        <f t="shared" si="148"/>
        <v>0</v>
      </c>
      <c r="P2362" s="12">
        <f t="shared" si="149"/>
        <v>2</v>
      </c>
      <c r="Q2362" s="14" t="s">
        <v>8316</v>
      </c>
      <c r="R2362" t="s">
        <v>8317</v>
      </c>
      <c r="S2362" s="17">
        <f t="shared" si="150"/>
        <v>42377.70694444445</v>
      </c>
      <c r="T2362" s="17">
        <f t="shared" si="151"/>
        <v>42407.70694444445</v>
      </c>
      <c r="U2362">
        <f>MONTH(Table1[[#This Row],[Launched]])</f>
        <v>1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8219</v>
      </c>
      <c r="G2363" t="s">
        <v>8228</v>
      </c>
      <c r="H2363" t="s">
        <v>8250</v>
      </c>
      <c r="I2363" s="8">
        <v>1462053600</v>
      </c>
      <c r="J2363">
        <v>1459975008</v>
      </c>
      <c r="K2363" t="b">
        <v>0</v>
      </c>
      <c r="L2363" s="10">
        <v>0</v>
      </c>
      <c r="M2363" t="b">
        <v>0</v>
      </c>
      <c r="N2363" t="s">
        <v>8270</v>
      </c>
      <c r="O2363" s="11">
        <f t="shared" si="148"/>
        <v>0</v>
      </c>
      <c r="P2363" s="12" t="str">
        <f t="shared" si="149"/>
        <v>No Backers</v>
      </c>
      <c r="Q2363" s="14" t="s">
        <v>8316</v>
      </c>
      <c r="R2363" t="s">
        <v>8317</v>
      </c>
      <c r="S2363" s="17">
        <f t="shared" si="150"/>
        <v>42466.858888888892</v>
      </c>
      <c r="T2363" s="17">
        <f t="shared" si="151"/>
        <v>42490.916666666672</v>
      </c>
      <c r="U2363">
        <f>MONTH(Table1[[#This Row],[Launched]])</f>
        <v>4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8219</v>
      </c>
      <c r="G2364" t="s">
        <v>8223</v>
      </c>
      <c r="H2364" t="s">
        <v>8245</v>
      </c>
      <c r="I2364" s="8">
        <v>1418315470</v>
      </c>
      <c r="J2364">
        <v>1415723470</v>
      </c>
      <c r="K2364" t="b">
        <v>0</v>
      </c>
      <c r="L2364" s="10">
        <v>2</v>
      </c>
      <c r="M2364" t="b">
        <v>0</v>
      </c>
      <c r="N2364" t="s">
        <v>8270</v>
      </c>
      <c r="O2364" s="11">
        <f t="shared" si="148"/>
        <v>29</v>
      </c>
      <c r="P2364" s="12">
        <f t="shared" si="149"/>
        <v>60</v>
      </c>
      <c r="Q2364" s="14" t="s">
        <v>8316</v>
      </c>
      <c r="R2364" t="s">
        <v>8317</v>
      </c>
      <c r="S2364" s="17">
        <f t="shared" si="150"/>
        <v>41954.688310185185</v>
      </c>
      <c r="T2364" s="17">
        <f t="shared" si="151"/>
        <v>41984.688310185185</v>
      </c>
      <c r="U2364">
        <f>MONTH(Table1[[#This Row],[Launched]])</f>
        <v>11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8219</v>
      </c>
      <c r="G2365" t="s">
        <v>8223</v>
      </c>
      <c r="H2365" t="s">
        <v>8245</v>
      </c>
      <c r="I2365" s="8">
        <v>1451348200</v>
      </c>
      <c r="J2365">
        <v>1447460200</v>
      </c>
      <c r="K2365" t="b">
        <v>0</v>
      </c>
      <c r="L2365" s="10">
        <v>0</v>
      </c>
      <c r="M2365" t="b">
        <v>0</v>
      </c>
      <c r="N2365" t="s">
        <v>8270</v>
      </c>
      <c r="O2365" s="11">
        <f t="shared" si="148"/>
        <v>0</v>
      </c>
      <c r="P2365" s="12" t="str">
        <f t="shared" si="149"/>
        <v>No Backers</v>
      </c>
      <c r="Q2365" s="14" t="s">
        <v>8316</v>
      </c>
      <c r="R2365" t="s">
        <v>8317</v>
      </c>
      <c r="S2365" s="17">
        <f t="shared" si="150"/>
        <v>42322.011574074073</v>
      </c>
      <c r="T2365" s="17">
        <f t="shared" si="151"/>
        <v>42367.011574074073</v>
      </c>
      <c r="U2365">
        <f>MONTH(Table1[[#This Row],[Launched]])</f>
        <v>11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8219</v>
      </c>
      <c r="G2366" t="s">
        <v>8223</v>
      </c>
      <c r="H2366" t="s">
        <v>8245</v>
      </c>
      <c r="I2366" s="8">
        <v>1445898356</v>
      </c>
      <c r="J2366">
        <v>1441146356</v>
      </c>
      <c r="K2366" t="b">
        <v>0</v>
      </c>
      <c r="L2366" s="10">
        <v>0</v>
      </c>
      <c r="M2366" t="b">
        <v>0</v>
      </c>
      <c r="N2366" t="s">
        <v>8270</v>
      </c>
      <c r="O2366" s="11">
        <f t="shared" si="148"/>
        <v>0</v>
      </c>
      <c r="P2366" s="12" t="str">
        <f t="shared" si="149"/>
        <v>No Backers</v>
      </c>
      <c r="Q2366" s="14" t="s">
        <v>8316</v>
      </c>
      <c r="R2366" t="s">
        <v>8317</v>
      </c>
      <c r="S2366" s="17">
        <f t="shared" si="150"/>
        <v>42248.934675925921</v>
      </c>
      <c r="T2366" s="17">
        <f t="shared" si="151"/>
        <v>42303.934675925921</v>
      </c>
      <c r="U2366">
        <f>MONTH(Table1[[#This Row],[Launched]])</f>
        <v>9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8219</v>
      </c>
      <c r="G2367" t="s">
        <v>8236</v>
      </c>
      <c r="H2367" t="s">
        <v>8248</v>
      </c>
      <c r="I2367" s="8">
        <v>1453071600</v>
      </c>
      <c r="J2367">
        <v>1449596425</v>
      </c>
      <c r="K2367" t="b">
        <v>0</v>
      </c>
      <c r="L2367" s="10">
        <v>0</v>
      </c>
      <c r="M2367" t="b">
        <v>0</v>
      </c>
      <c r="N2367" t="s">
        <v>8270</v>
      </c>
      <c r="O2367" s="11">
        <f t="shared" si="148"/>
        <v>0</v>
      </c>
      <c r="P2367" s="12" t="str">
        <f t="shared" si="149"/>
        <v>No Backers</v>
      </c>
      <c r="Q2367" s="14" t="s">
        <v>8316</v>
      </c>
      <c r="R2367" t="s">
        <v>8317</v>
      </c>
      <c r="S2367" s="17">
        <f t="shared" si="150"/>
        <v>42346.736400462964</v>
      </c>
      <c r="T2367" s="17">
        <f t="shared" si="151"/>
        <v>42386.958333333328</v>
      </c>
      <c r="U2367">
        <f>MONTH(Table1[[#This Row],[Launched]])</f>
        <v>12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 s="8">
        <v>1445431533</v>
      </c>
      <c r="J2368">
        <v>1442839533</v>
      </c>
      <c r="K2368" t="b">
        <v>0</v>
      </c>
      <c r="L2368" s="10">
        <v>27</v>
      </c>
      <c r="M2368" t="b">
        <v>0</v>
      </c>
      <c r="N2368" t="s">
        <v>8270</v>
      </c>
      <c r="O2368" s="11">
        <f t="shared" si="148"/>
        <v>11</v>
      </c>
      <c r="P2368" s="12">
        <f t="shared" si="149"/>
        <v>97</v>
      </c>
      <c r="Q2368" s="14" t="s">
        <v>8316</v>
      </c>
      <c r="R2368" t="s">
        <v>8317</v>
      </c>
      <c r="S2368" s="17">
        <f t="shared" si="150"/>
        <v>42268.531631944439</v>
      </c>
      <c r="T2368" s="17">
        <f t="shared" si="151"/>
        <v>42298.531631944439</v>
      </c>
      <c r="U2368">
        <f>MONTH(Table1[[#This Row],[Launched]])</f>
        <v>9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 s="8">
        <v>1461622616</v>
      </c>
      <c r="J2369">
        <v>1456442216</v>
      </c>
      <c r="K2369" t="b">
        <v>0</v>
      </c>
      <c r="L2369" s="10">
        <v>14</v>
      </c>
      <c r="M2369" t="b">
        <v>0</v>
      </c>
      <c r="N2369" t="s">
        <v>8270</v>
      </c>
      <c r="O2369" s="11">
        <f t="shared" si="148"/>
        <v>1</v>
      </c>
      <c r="P2369" s="12">
        <f t="shared" si="149"/>
        <v>48</v>
      </c>
      <c r="Q2369" s="14" t="s">
        <v>8316</v>
      </c>
      <c r="R2369" t="s">
        <v>8317</v>
      </c>
      <c r="S2369" s="17">
        <f t="shared" si="150"/>
        <v>42425.970092592594</v>
      </c>
      <c r="T2369" s="17">
        <f t="shared" si="151"/>
        <v>42485.928425925929</v>
      </c>
      <c r="U2369">
        <f>MONTH(Table1[[#This Row],[Launched]])</f>
        <v>2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 s="8">
        <v>1429028365</v>
      </c>
      <c r="J2370">
        <v>1425143965</v>
      </c>
      <c r="K2370" t="b">
        <v>0</v>
      </c>
      <c r="L2370" s="10">
        <v>2</v>
      </c>
      <c r="M2370" t="b">
        <v>0</v>
      </c>
      <c r="N2370" t="s">
        <v>8270</v>
      </c>
      <c r="O2370" s="11">
        <f t="shared" ref="O2370:O2433" si="152">ROUND(E2370/D2370*100,0)</f>
        <v>0</v>
      </c>
      <c r="P2370" s="12">
        <f t="shared" si="149"/>
        <v>50</v>
      </c>
      <c r="Q2370" s="14" t="s">
        <v>8316</v>
      </c>
      <c r="R2370" t="s">
        <v>8317</v>
      </c>
      <c r="S2370" s="17">
        <f t="shared" si="150"/>
        <v>42063.721817129626</v>
      </c>
      <c r="T2370" s="17">
        <f t="shared" si="151"/>
        <v>42108.680150462969</v>
      </c>
      <c r="U2370">
        <f>MONTH(Table1[[#This Row],[Launched]])</f>
        <v>2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8219</v>
      </c>
      <c r="G2371" t="s">
        <v>8223</v>
      </c>
      <c r="H2371" t="s">
        <v>8245</v>
      </c>
      <c r="I2371" s="8">
        <v>1455132611</v>
      </c>
      <c r="J2371">
        <v>1452540611</v>
      </c>
      <c r="K2371" t="b">
        <v>0</v>
      </c>
      <c r="L2371" s="10">
        <v>0</v>
      </c>
      <c r="M2371" t="b">
        <v>0</v>
      </c>
      <c r="N2371" t="s">
        <v>8270</v>
      </c>
      <c r="O2371" s="11">
        <f t="shared" si="152"/>
        <v>0</v>
      </c>
      <c r="P2371" s="12" t="str">
        <f t="shared" ref="P2371:P2434" si="153">IFERROR(ROUND(E2371/L2371,),"No Backers")</f>
        <v>No Backers</v>
      </c>
      <c r="Q2371" s="14" t="s">
        <v>8316</v>
      </c>
      <c r="R2371" t="s">
        <v>8317</v>
      </c>
      <c r="S2371" s="17">
        <f t="shared" ref="S2371:S2434" si="154">(((J2371/60)/60)/24)+DATE(1970,1,1)</f>
        <v>42380.812627314815</v>
      </c>
      <c r="T2371" s="17">
        <f t="shared" ref="T2371:T2434" si="155">(((I2371/60)/60)/24)+DATE(1970,1,1)</f>
        <v>42410.812627314815</v>
      </c>
      <c r="U2371">
        <f>MONTH(Table1[[#This Row],[Launched]])</f>
        <v>1</v>
      </c>
    </row>
    <row r="2372" spans="1:21" ht="57.6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8219</v>
      </c>
      <c r="G2372" t="s">
        <v>8223</v>
      </c>
      <c r="H2372" t="s">
        <v>8245</v>
      </c>
      <c r="I2372" s="8">
        <v>1418877141</v>
      </c>
      <c r="J2372">
        <v>1416285141</v>
      </c>
      <c r="K2372" t="b">
        <v>0</v>
      </c>
      <c r="L2372" s="10">
        <v>4</v>
      </c>
      <c r="M2372" t="b">
        <v>0</v>
      </c>
      <c r="N2372" t="s">
        <v>8270</v>
      </c>
      <c r="O2372" s="11">
        <f t="shared" si="152"/>
        <v>0</v>
      </c>
      <c r="P2372" s="12">
        <f t="shared" si="153"/>
        <v>21</v>
      </c>
      <c r="Q2372" s="14" t="s">
        <v>8316</v>
      </c>
      <c r="R2372" t="s">
        <v>8317</v>
      </c>
      <c r="S2372" s="17">
        <f t="shared" si="154"/>
        <v>41961.18913194444</v>
      </c>
      <c r="T2372" s="17">
        <f t="shared" si="155"/>
        <v>41991.18913194444</v>
      </c>
      <c r="U2372">
        <f>MONTH(Table1[[#This Row],[Launched]])</f>
        <v>11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8219</v>
      </c>
      <c r="G2373" t="s">
        <v>8223</v>
      </c>
      <c r="H2373" t="s">
        <v>8245</v>
      </c>
      <c r="I2373" s="8">
        <v>1435257596</v>
      </c>
      <c r="J2373">
        <v>1432665596</v>
      </c>
      <c r="K2373" t="b">
        <v>0</v>
      </c>
      <c r="L2373" s="10">
        <v>0</v>
      </c>
      <c r="M2373" t="b">
        <v>0</v>
      </c>
      <c r="N2373" t="s">
        <v>8270</v>
      </c>
      <c r="O2373" s="11">
        <f t="shared" si="152"/>
        <v>0</v>
      </c>
      <c r="P2373" s="12" t="str">
        <f t="shared" si="153"/>
        <v>No Backers</v>
      </c>
      <c r="Q2373" s="14" t="s">
        <v>8316</v>
      </c>
      <c r="R2373" t="s">
        <v>8317</v>
      </c>
      <c r="S2373" s="17">
        <f t="shared" si="154"/>
        <v>42150.777731481481</v>
      </c>
      <c r="T2373" s="17">
        <f t="shared" si="155"/>
        <v>42180.777731481481</v>
      </c>
      <c r="U2373">
        <f>MONTH(Table1[[#This Row],[Launched]])</f>
        <v>5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8219</v>
      </c>
      <c r="G2374" t="s">
        <v>8225</v>
      </c>
      <c r="H2374" t="s">
        <v>8247</v>
      </c>
      <c r="I2374" s="8">
        <v>1429839571</v>
      </c>
      <c r="J2374">
        <v>1427247571</v>
      </c>
      <c r="K2374" t="b">
        <v>0</v>
      </c>
      <c r="L2374" s="10">
        <v>6</v>
      </c>
      <c r="M2374" t="b">
        <v>0</v>
      </c>
      <c r="N2374" t="s">
        <v>8270</v>
      </c>
      <c r="O2374" s="11">
        <f t="shared" si="152"/>
        <v>3</v>
      </c>
      <c r="P2374" s="12">
        <f t="shared" si="153"/>
        <v>30</v>
      </c>
      <c r="Q2374" s="14" t="s">
        <v>8316</v>
      </c>
      <c r="R2374" t="s">
        <v>8317</v>
      </c>
      <c r="S2374" s="17">
        <f t="shared" si="154"/>
        <v>42088.069108796291</v>
      </c>
      <c r="T2374" s="17">
        <f t="shared" si="155"/>
        <v>42118.069108796291</v>
      </c>
      <c r="U2374">
        <f>MONTH(Table1[[#This Row],[Launched]])</f>
        <v>3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 s="8">
        <v>1440863624</v>
      </c>
      <c r="J2375">
        <v>1438271624</v>
      </c>
      <c r="K2375" t="b">
        <v>0</v>
      </c>
      <c r="L2375" s="10">
        <v>1</v>
      </c>
      <c r="M2375" t="b">
        <v>0</v>
      </c>
      <c r="N2375" t="s">
        <v>8270</v>
      </c>
      <c r="O2375" s="11">
        <f t="shared" si="152"/>
        <v>0</v>
      </c>
      <c r="P2375" s="12">
        <f t="shared" si="153"/>
        <v>50</v>
      </c>
      <c r="Q2375" s="14" t="s">
        <v>8316</v>
      </c>
      <c r="R2375" t="s">
        <v>8317</v>
      </c>
      <c r="S2375" s="17">
        <f t="shared" si="154"/>
        <v>42215.662314814821</v>
      </c>
      <c r="T2375" s="17">
        <f t="shared" si="155"/>
        <v>42245.662314814821</v>
      </c>
      <c r="U2375">
        <f>MONTH(Table1[[#This Row],[Launched]])</f>
        <v>7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8219</v>
      </c>
      <c r="G2376" t="s">
        <v>8223</v>
      </c>
      <c r="H2376" t="s">
        <v>8245</v>
      </c>
      <c r="I2376" s="8">
        <v>1423772060</v>
      </c>
      <c r="J2376">
        <v>1421180060</v>
      </c>
      <c r="K2376" t="b">
        <v>0</v>
      </c>
      <c r="L2376" s="10">
        <v>1</v>
      </c>
      <c r="M2376" t="b">
        <v>0</v>
      </c>
      <c r="N2376" t="s">
        <v>8270</v>
      </c>
      <c r="O2376" s="11">
        <f t="shared" si="152"/>
        <v>0</v>
      </c>
      <c r="P2376" s="12">
        <f t="shared" si="153"/>
        <v>10</v>
      </c>
      <c r="Q2376" s="14" t="s">
        <v>8316</v>
      </c>
      <c r="R2376" t="s">
        <v>8317</v>
      </c>
      <c r="S2376" s="17">
        <f t="shared" si="154"/>
        <v>42017.843287037031</v>
      </c>
      <c r="T2376" s="17">
        <f t="shared" si="155"/>
        <v>42047.843287037031</v>
      </c>
      <c r="U2376">
        <f>MONTH(Table1[[#This Row],[Launched]])</f>
        <v>1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8219</v>
      </c>
      <c r="G2377" t="s">
        <v>8223</v>
      </c>
      <c r="H2377" t="s">
        <v>8245</v>
      </c>
      <c r="I2377" s="8">
        <v>1473451437</v>
      </c>
      <c r="J2377">
        <v>1470859437</v>
      </c>
      <c r="K2377" t="b">
        <v>0</v>
      </c>
      <c r="L2377" s="10">
        <v>0</v>
      </c>
      <c r="M2377" t="b">
        <v>0</v>
      </c>
      <c r="N2377" t="s">
        <v>8270</v>
      </c>
      <c r="O2377" s="11">
        <f t="shared" si="152"/>
        <v>0</v>
      </c>
      <c r="P2377" s="12" t="str">
        <f t="shared" si="153"/>
        <v>No Backers</v>
      </c>
      <c r="Q2377" s="14" t="s">
        <v>8316</v>
      </c>
      <c r="R2377" t="s">
        <v>8317</v>
      </c>
      <c r="S2377" s="17">
        <f t="shared" si="154"/>
        <v>42592.836076388892</v>
      </c>
      <c r="T2377" s="17">
        <f t="shared" si="155"/>
        <v>42622.836076388892</v>
      </c>
      <c r="U2377">
        <f>MONTH(Table1[[#This Row],[Launched]])</f>
        <v>8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 s="8">
        <v>1449785566</v>
      </c>
      <c r="J2378">
        <v>1447193566</v>
      </c>
      <c r="K2378" t="b">
        <v>0</v>
      </c>
      <c r="L2378" s="10">
        <v>4</v>
      </c>
      <c r="M2378" t="b">
        <v>0</v>
      </c>
      <c r="N2378" t="s">
        <v>8270</v>
      </c>
      <c r="O2378" s="11">
        <f t="shared" si="152"/>
        <v>11</v>
      </c>
      <c r="P2378" s="12">
        <f t="shared" si="153"/>
        <v>82</v>
      </c>
      <c r="Q2378" s="14" t="s">
        <v>8316</v>
      </c>
      <c r="R2378" t="s">
        <v>8317</v>
      </c>
      <c r="S2378" s="17">
        <f t="shared" si="154"/>
        <v>42318.925532407404</v>
      </c>
      <c r="T2378" s="17">
        <f t="shared" si="155"/>
        <v>42348.925532407404</v>
      </c>
      <c r="U2378">
        <f>MONTH(Table1[[#This Row],[Launched]])</f>
        <v>11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8219</v>
      </c>
      <c r="G2379" t="s">
        <v>8228</v>
      </c>
      <c r="H2379" t="s">
        <v>8250</v>
      </c>
      <c r="I2379" s="8">
        <v>1480110783</v>
      </c>
      <c r="J2379">
        <v>1477515183</v>
      </c>
      <c r="K2379" t="b">
        <v>0</v>
      </c>
      <c r="L2379" s="10">
        <v>0</v>
      </c>
      <c r="M2379" t="b">
        <v>0</v>
      </c>
      <c r="N2379" t="s">
        <v>8270</v>
      </c>
      <c r="O2379" s="11">
        <f t="shared" si="152"/>
        <v>0</v>
      </c>
      <c r="P2379" s="12" t="str">
        <f t="shared" si="153"/>
        <v>No Backers</v>
      </c>
      <c r="Q2379" s="14" t="s">
        <v>8316</v>
      </c>
      <c r="R2379" t="s">
        <v>8317</v>
      </c>
      <c r="S2379" s="17">
        <f t="shared" si="154"/>
        <v>42669.870173611111</v>
      </c>
      <c r="T2379" s="17">
        <f t="shared" si="155"/>
        <v>42699.911840277782</v>
      </c>
      <c r="U2379">
        <f>MONTH(Table1[[#This Row],[Launched]])</f>
        <v>10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8219</v>
      </c>
      <c r="G2380" t="s">
        <v>8223</v>
      </c>
      <c r="H2380" t="s">
        <v>8245</v>
      </c>
      <c r="I2380" s="8">
        <v>1440548330</v>
      </c>
      <c r="J2380">
        <v>1438042730</v>
      </c>
      <c r="K2380" t="b">
        <v>0</v>
      </c>
      <c r="L2380" s="10">
        <v>0</v>
      </c>
      <c r="M2380" t="b">
        <v>0</v>
      </c>
      <c r="N2380" t="s">
        <v>8270</v>
      </c>
      <c r="O2380" s="11">
        <f t="shared" si="152"/>
        <v>0</v>
      </c>
      <c r="P2380" s="12" t="str">
        <f t="shared" si="153"/>
        <v>No Backers</v>
      </c>
      <c r="Q2380" s="14" t="s">
        <v>8316</v>
      </c>
      <c r="R2380" t="s">
        <v>8317</v>
      </c>
      <c r="S2380" s="17">
        <f t="shared" si="154"/>
        <v>42213.013078703705</v>
      </c>
      <c r="T2380" s="17">
        <f t="shared" si="155"/>
        <v>42242.013078703705</v>
      </c>
      <c r="U2380">
        <f>MONTH(Table1[[#This Row],[Launched]])</f>
        <v>7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8219</v>
      </c>
      <c r="G2381" t="s">
        <v>8223</v>
      </c>
      <c r="H2381" t="s">
        <v>8245</v>
      </c>
      <c r="I2381" s="8">
        <v>1444004616</v>
      </c>
      <c r="J2381">
        <v>1440116616</v>
      </c>
      <c r="K2381" t="b">
        <v>0</v>
      </c>
      <c r="L2381" s="10">
        <v>0</v>
      </c>
      <c r="M2381" t="b">
        <v>0</v>
      </c>
      <c r="N2381" t="s">
        <v>8270</v>
      </c>
      <c r="O2381" s="11">
        <f t="shared" si="152"/>
        <v>0</v>
      </c>
      <c r="P2381" s="12" t="str">
        <f t="shared" si="153"/>
        <v>No Backers</v>
      </c>
      <c r="Q2381" s="14" t="s">
        <v>8316</v>
      </c>
      <c r="R2381" t="s">
        <v>8317</v>
      </c>
      <c r="S2381" s="17">
        <f t="shared" si="154"/>
        <v>42237.016388888893</v>
      </c>
      <c r="T2381" s="17">
        <f t="shared" si="155"/>
        <v>42282.016388888893</v>
      </c>
      <c r="U2381">
        <f>MONTH(Table1[[#This Row],[Launched]])</f>
        <v>8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8219</v>
      </c>
      <c r="G2382" t="s">
        <v>8223</v>
      </c>
      <c r="H2382" t="s">
        <v>8245</v>
      </c>
      <c r="I2382" s="8">
        <v>1443726142</v>
      </c>
      <c r="J2382">
        <v>1441134142</v>
      </c>
      <c r="K2382" t="b">
        <v>0</v>
      </c>
      <c r="L2382" s="10">
        <v>3</v>
      </c>
      <c r="M2382" t="b">
        <v>0</v>
      </c>
      <c r="N2382" t="s">
        <v>8270</v>
      </c>
      <c r="O2382" s="11">
        <f t="shared" si="152"/>
        <v>0</v>
      </c>
      <c r="P2382" s="12">
        <f t="shared" si="153"/>
        <v>18</v>
      </c>
      <c r="Q2382" s="14" t="s">
        <v>8316</v>
      </c>
      <c r="R2382" t="s">
        <v>8317</v>
      </c>
      <c r="S2382" s="17">
        <f t="shared" si="154"/>
        <v>42248.793310185181</v>
      </c>
      <c r="T2382" s="17">
        <f t="shared" si="155"/>
        <v>42278.793310185181</v>
      </c>
      <c r="U2382">
        <f>MONTH(Table1[[#This Row],[Launched]])</f>
        <v>9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 s="8">
        <v>1428704848</v>
      </c>
      <c r="J2383">
        <v>1426112848</v>
      </c>
      <c r="K2383" t="b">
        <v>0</v>
      </c>
      <c r="L2383" s="10">
        <v>7</v>
      </c>
      <c r="M2383" t="b">
        <v>0</v>
      </c>
      <c r="N2383" t="s">
        <v>8270</v>
      </c>
      <c r="O2383" s="11">
        <f t="shared" si="152"/>
        <v>2</v>
      </c>
      <c r="P2383" s="12">
        <f t="shared" si="153"/>
        <v>224</v>
      </c>
      <c r="Q2383" s="14" t="s">
        <v>8316</v>
      </c>
      <c r="R2383" t="s">
        <v>8317</v>
      </c>
      <c r="S2383" s="17">
        <f t="shared" si="154"/>
        <v>42074.935740740737</v>
      </c>
      <c r="T2383" s="17">
        <f t="shared" si="155"/>
        <v>42104.935740740737</v>
      </c>
      <c r="U2383">
        <f>MONTH(Table1[[#This Row],[Launched]])</f>
        <v>3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8219</v>
      </c>
      <c r="G2384" t="s">
        <v>8223</v>
      </c>
      <c r="H2384" t="s">
        <v>8245</v>
      </c>
      <c r="I2384" s="8">
        <v>1438662603</v>
      </c>
      <c r="J2384">
        <v>1436502603</v>
      </c>
      <c r="K2384" t="b">
        <v>0</v>
      </c>
      <c r="L2384" s="10">
        <v>2</v>
      </c>
      <c r="M2384" t="b">
        <v>0</v>
      </c>
      <c r="N2384" t="s">
        <v>8270</v>
      </c>
      <c r="O2384" s="11">
        <f t="shared" si="152"/>
        <v>3</v>
      </c>
      <c r="P2384" s="12">
        <f t="shared" si="153"/>
        <v>38</v>
      </c>
      <c r="Q2384" s="14" t="s">
        <v>8316</v>
      </c>
      <c r="R2384" t="s">
        <v>8317</v>
      </c>
      <c r="S2384" s="17">
        <f t="shared" si="154"/>
        <v>42195.187534722223</v>
      </c>
      <c r="T2384" s="17">
        <f t="shared" si="155"/>
        <v>42220.187534722223</v>
      </c>
      <c r="U2384">
        <f>MONTH(Table1[[#This Row],[Launched]])</f>
        <v>7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 s="8">
        <v>1424568107</v>
      </c>
      <c r="J2385">
        <v>1421976107</v>
      </c>
      <c r="K2385" t="b">
        <v>0</v>
      </c>
      <c r="L2385" s="10">
        <v>3</v>
      </c>
      <c r="M2385" t="b">
        <v>0</v>
      </c>
      <c r="N2385" t="s">
        <v>8270</v>
      </c>
      <c r="O2385" s="11">
        <f t="shared" si="152"/>
        <v>4</v>
      </c>
      <c r="P2385" s="12">
        <f t="shared" si="153"/>
        <v>145</v>
      </c>
      <c r="Q2385" s="14" t="s">
        <v>8316</v>
      </c>
      <c r="R2385" t="s">
        <v>8317</v>
      </c>
      <c r="S2385" s="17">
        <f t="shared" si="154"/>
        <v>42027.056793981479</v>
      </c>
      <c r="T2385" s="17">
        <f t="shared" si="155"/>
        <v>42057.056793981479</v>
      </c>
      <c r="U2385">
        <f>MONTH(Table1[[#This Row],[Launched]])</f>
        <v>1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8219</v>
      </c>
      <c r="G2386" t="s">
        <v>8223</v>
      </c>
      <c r="H2386" t="s">
        <v>8245</v>
      </c>
      <c r="I2386" s="8">
        <v>1415932643</v>
      </c>
      <c r="J2386">
        <v>1413337043</v>
      </c>
      <c r="K2386" t="b">
        <v>0</v>
      </c>
      <c r="L2386" s="10">
        <v>8</v>
      </c>
      <c r="M2386" t="b">
        <v>0</v>
      </c>
      <c r="N2386" t="s">
        <v>8270</v>
      </c>
      <c r="O2386" s="11">
        <f t="shared" si="152"/>
        <v>1</v>
      </c>
      <c r="P2386" s="12">
        <f t="shared" si="153"/>
        <v>1</v>
      </c>
      <c r="Q2386" s="14" t="s">
        <v>8316</v>
      </c>
      <c r="R2386" t="s">
        <v>8317</v>
      </c>
      <c r="S2386" s="17">
        <f t="shared" si="154"/>
        <v>41927.067627314813</v>
      </c>
      <c r="T2386" s="17">
        <f t="shared" si="155"/>
        <v>41957.109293981484</v>
      </c>
      <c r="U2386">
        <f>MONTH(Table1[[#This Row],[Launched]])</f>
        <v>10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 s="8">
        <v>1438793432</v>
      </c>
      <c r="J2387">
        <v>1436201432</v>
      </c>
      <c r="K2387" t="b">
        <v>0</v>
      </c>
      <c r="L2387" s="10">
        <v>7</v>
      </c>
      <c r="M2387" t="b">
        <v>0</v>
      </c>
      <c r="N2387" t="s">
        <v>8270</v>
      </c>
      <c r="O2387" s="11">
        <f t="shared" si="152"/>
        <v>1</v>
      </c>
      <c r="P2387" s="12">
        <f t="shared" si="153"/>
        <v>113</v>
      </c>
      <c r="Q2387" s="14" t="s">
        <v>8316</v>
      </c>
      <c r="R2387" t="s">
        <v>8317</v>
      </c>
      <c r="S2387" s="17">
        <f t="shared" si="154"/>
        <v>42191.70175925926</v>
      </c>
      <c r="T2387" s="17">
        <f t="shared" si="155"/>
        <v>42221.70175925926</v>
      </c>
      <c r="U2387">
        <f>MONTH(Table1[[#This Row],[Launched]])</f>
        <v>7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8219</v>
      </c>
      <c r="G2388" t="s">
        <v>8228</v>
      </c>
      <c r="H2388" t="s">
        <v>8250</v>
      </c>
      <c r="I2388" s="8">
        <v>1420920424</v>
      </c>
      <c r="J2388">
        <v>1415736424</v>
      </c>
      <c r="K2388" t="b">
        <v>0</v>
      </c>
      <c r="L2388" s="10">
        <v>0</v>
      </c>
      <c r="M2388" t="b">
        <v>0</v>
      </c>
      <c r="N2388" t="s">
        <v>8270</v>
      </c>
      <c r="O2388" s="11">
        <f t="shared" si="152"/>
        <v>0</v>
      </c>
      <c r="P2388" s="12" t="str">
        <f t="shared" si="153"/>
        <v>No Backers</v>
      </c>
      <c r="Q2388" s="14" t="s">
        <v>8316</v>
      </c>
      <c r="R2388" t="s">
        <v>8317</v>
      </c>
      <c r="S2388" s="17">
        <f t="shared" si="154"/>
        <v>41954.838240740741</v>
      </c>
      <c r="T2388" s="17">
        <f t="shared" si="155"/>
        <v>42014.838240740741</v>
      </c>
      <c r="U2388">
        <f>MONTH(Table1[[#This Row],[Launched]])</f>
        <v>11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 s="8">
        <v>1469199740</v>
      </c>
      <c r="J2389">
        <v>1465311740</v>
      </c>
      <c r="K2389" t="b">
        <v>0</v>
      </c>
      <c r="L2389" s="10">
        <v>3</v>
      </c>
      <c r="M2389" t="b">
        <v>0</v>
      </c>
      <c r="N2389" t="s">
        <v>8270</v>
      </c>
      <c r="O2389" s="11">
        <f t="shared" si="152"/>
        <v>1</v>
      </c>
      <c r="P2389" s="12">
        <f t="shared" si="153"/>
        <v>342</v>
      </c>
      <c r="Q2389" s="14" t="s">
        <v>8316</v>
      </c>
      <c r="R2389" t="s">
        <v>8317</v>
      </c>
      <c r="S2389" s="17">
        <f t="shared" si="154"/>
        <v>42528.626620370371</v>
      </c>
      <c r="T2389" s="17">
        <f t="shared" si="155"/>
        <v>42573.626620370371</v>
      </c>
      <c r="U2389">
        <f>MONTH(Table1[[#This Row],[Launched]])</f>
        <v>6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 s="8">
        <v>1421350140</v>
      </c>
      <c r="J2390">
        <v>1418761759</v>
      </c>
      <c r="K2390" t="b">
        <v>0</v>
      </c>
      <c r="L2390" s="10">
        <v>8</v>
      </c>
      <c r="M2390" t="b">
        <v>0</v>
      </c>
      <c r="N2390" t="s">
        <v>8270</v>
      </c>
      <c r="O2390" s="11">
        <f t="shared" si="152"/>
        <v>1</v>
      </c>
      <c r="P2390" s="12">
        <f t="shared" si="153"/>
        <v>58</v>
      </c>
      <c r="Q2390" s="14" t="s">
        <v>8316</v>
      </c>
      <c r="R2390" t="s">
        <v>8317</v>
      </c>
      <c r="S2390" s="17">
        <f t="shared" si="154"/>
        <v>41989.853692129633</v>
      </c>
      <c r="T2390" s="17">
        <f t="shared" si="155"/>
        <v>42019.811805555553</v>
      </c>
      <c r="U2390">
        <f>MONTH(Table1[[#This Row],[Launched]])</f>
        <v>12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8219</v>
      </c>
      <c r="G2391" t="s">
        <v>8229</v>
      </c>
      <c r="H2391" t="s">
        <v>8248</v>
      </c>
      <c r="I2391" s="8">
        <v>1437861540</v>
      </c>
      <c r="J2391">
        <v>1435160452</v>
      </c>
      <c r="K2391" t="b">
        <v>0</v>
      </c>
      <c r="L2391" s="10">
        <v>1</v>
      </c>
      <c r="M2391" t="b">
        <v>0</v>
      </c>
      <c r="N2391" t="s">
        <v>8270</v>
      </c>
      <c r="O2391" s="11">
        <f t="shared" si="152"/>
        <v>0</v>
      </c>
      <c r="P2391" s="12">
        <f t="shared" si="153"/>
        <v>30</v>
      </c>
      <c r="Q2391" s="14" t="s">
        <v>8316</v>
      </c>
      <c r="R2391" t="s">
        <v>8317</v>
      </c>
      <c r="S2391" s="17">
        <f t="shared" si="154"/>
        <v>42179.653379629628</v>
      </c>
      <c r="T2391" s="17">
        <f t="shared" si="155"/>
        <v>42210.915972222225</v>
      </c>
      <c r="U2391">
        <f>MONTH(Table1[[#This Row],[Launched]])</f>
        <v>6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8219</v>
      </c>
      <c r="G2392" t="s">
        <v>8225</v>
      </c>
      <c r="H2392" t="s">
        <v>8247</v>
      </c>
      <c r="I2392" s="8">
        <v>1420352264</v>
      </c>
      <c r="J2392">
        <v>1416896264</v>
      </c>
      <c r="K2392" t="b">
        <v>0</v>
      </c>
      <c r="L2392" s="10">
        <v>0</v>
      </c>
      <c r="M2392" t="b">
        <v>0</v>
      </c>
      <c r="N2392" t="s">
        <v>8270</v>
      </c>
      <c r="O2392" s="11">
        <f t="shared" si="152"/>
        <v>0</v>
      </c>
      <c r="P2392" s="12" t="str">
        <f t="shared" si="153"/>
        <v>No Backers</v>
      </c>
      <c r="Q2392" s="14" t="s">
        <v>8316</v>
      </c>
      <c r="R2392" t="s">
        <v>8317</v>
      </c>
      <c r="S2392" s="17">
        <f t="shared" si="154"/>
        <v>41968.262314814812</v>
      </c>
      <c r="T2392" s="17">
        <f t="shared" si="155"/>
        <v>42008.262314814812</v>
      </c>
      <c r="U2392">
        <f>MONTH(Table1[[#This Row],[Launched]])</f>
        <v>11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8219</v>
      </c>
      <c r="G2393" t="s">
        <v>8223</v>
      </c>
      <c r="H2393" t="s">
        <v>8245</v>
      </c>
      <c r="I2393" s="8">
        <v>1427825044</v>
      </c>
      <c r="J2393">
        <v>1425236644</v>
      </c>
      <c r="K2393" t="b">
        <v>0</v>
      </c>
      <c r="L2393" s="10">
        <v>1</v>
      </c>
      <c r="M2393" t="b">
        <v>0</v>
      </c>
      <c r="N2393" t="s">
        <v>8270</v>
      </c>
      <c r="O2393" s="11">
        <f t="shared" si="152"/>
        <v>0</v>
      </c>
      <c r="P2393" s="12">
        <f t="shared" si="153"/>
        <v>25</v>
      </c>
      <c r="Q2393" s="14" t="s">
        <v>8316</v>
      </c>
      <c r="R2393" t="s">
        <v>8317</v>
      </c>
      <c r="S2393" s="17">
        <f t="shared" si="154"/>
        <v>42064.794490740736</v>
      </c>
      <c r="T2393" s="17">
        <f t="shared" si="155"/>
        <v>42094.752824074079</v>
      </c>
      <c r="U2393">
        <f>MONTH(Table1[[#This Row],[Launched]])</f>
        <v>3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8219</v>
      </c>
      <c r="G2394" t="s">
        <v>8223</v>
      </c>
      <c r="H2394" t="s">
        <v>8245</v>
      </c>
      <c r="I2394" s="8">
        <v>1446087223</v>
      </c>
      <c r="J2394">
        <v>1443495223</v>
      </c>
      <c r="K2394" t="b">
        <v>0</v>
      </c>
      <c r="L2394" s="10">
        <v>0</v>
      </c>
      <c r="M2394" t="b">
        <v>0</v>
      </c>
      <c r="N2394" t="s">
        <v>8270</v>
      </c>
      <c r="O2394" s="11">
        <f t="shared" si="152"/>
        <v>0</v>
      </c>
      <c r="P2394" s="12" t="str">
        <f t="shared" si="153"/>
        <v>No Backers</v>
      </c>
      <c r="Q2394" s="14" t="s">
        <v>8316</v>
      </c>
      <c r="R2394" t="s">
        <v>8317</v>
      </c>
      <c r="S2394" s="17">
        <f t="shared" si="154"/>
        <v>42276.120636574073</v>
      </c>
      <c r="T2394" s="17">
        <f t="shared" si="155"/>
        <v>42306.120636574073</v>
      </c>
      <c r="U2394">
        <f>MONTH(Table1[[#This Row],[Launched]])</f>
        <v>9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 s="8">
        <v>1439048017</v>
      </c>
      <c r="J2395">
        <v>1436456017</v>
      </c>
      <c r="K2395" t="b">
        <v>0</v>
      </c>
      <c r="L2395" s="10">
        <v>1</v>
      </c>
      <c r="M2395" t="b">
        <v>0</v>
      </c>
      <c r="N2395" t="s">
        <v>8270</v>
      </c>
      <c r="O2395" s="11">
        <f t="shared" si="152"/>
        <v>0</v>
      </c>
      <c r="P2395" s="12">
        <f t="shared" si="153"/>
        <v>50</v>
      </c>
      <c r="Q2395" s="14" t="s">
        <v>8316</v>
      </c>
      <c r="R2395" t="s">
        <v>8317</v>
      </c>
      <c r="S2395" s="17">
        <f t="shared" si="154"/>
        <v>42194.648344907408</v>
      </c>
      <c r="T2395" s="17">
        <f t="shared" si="155"/>
        <v>42224.648344907408</v>
      </c>
      <c r="U2395">
        <f>MONTH(Table1[[#This Row],[Launched]])</f>
        <v>7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8219</v>
      </c>
      <c r="G2396" t="s">
        <v>8240</v>
      </c>
      <c r="H2396" t="s">
        <v>8248</v>
      </c>
      <c r="I2396" s="8">
        <v>1424940093</v>
      </c>
      <c r="J2396">
        <v>1422348093</v>
      </c>
      <c r="K2396" t="b">
        <v>0</v>
      </c>
      <c r="L2396" s="10">
        <v>2</v>
      </c>
      <c r="M2396" t="b">
        <v>0</v>
      </c>
      <c r="N2396" t="s">
        <v>8270</v>
      </c>
      <c r="O2396" s="11">
        <f t="shared" si="152"/>
        <v>0</v>
      </c>
      <c r="P2396" s="12">
        <f t="shared" si="153"/>
        <v>2</v>
      </c>
      <c r="Q2396" s="14" t="s">
        <v>8316</v>
      </c>
      <c r="R2396" t="s">
        <v>8317</v>
      </c>
      <c r="S2396" s="17">
        <f t="shared" si="154"/>
        <v>42031.362187499995</v>
      </c>
      <c r="T2396" s="17">
        <f t="shared" si="155"/>
        <v>42061.362187499995</v>
      </c>
      <c r="U2396">
        <f>MONTH(Table1[[#This Row],[Launched]])</f>
        <v>1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8219</v>
      </c>
      <c r="G2397" t="s">
        <v>8223</v>
      </c>
      <c r="H2397" t="s">
        <v>8245</v>
      </c>
      <c r="I2397" s="8">
        <v>1484038620</v>
      </c>
      <c r="J2397">
        <v>1481597687</v>
      </c>
      <c r="K2397" t="b">
        <v>0</v>
      </c>
      <c r="L2397" s="10">
        <v>0</v>
      </c>
      <c r="M2397" t="b">
        <v>0</v>
      </c>
      <c r="N2397" t="s">
        <v>8270</v>
      </c>
      <c r="O2397" s="11">
        <f t="shared" si="152"/>
        <v>0</v>
      </c>
      <c r="P2397" s="12" t="str">
        <f t="shared" si="153"/>
        <v>No Backers</v>
      </c>
      <c r="Q2397" s="14" t="s">
        <v>8316</v>
      </c>
      <c r="R2397" t="s">
        <v>8317</v>
      </c>
      <c r="S2397" s="17">
        <f t="shared" si="154"/>
        <v>42717.121377314819</v>
      </c>
      <c r="T2397" s="17">
        <f t="shared" si="155"/>
        <v>42745.372916666667</v>
      </c>
      <c r="U2397">
        <f>MONTH(Table1[[#This Row],[Launched]])</f>
        <v>12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8219</v>
      </c>
      <c r="G2398" t="s">
        <v>8239</v>
      </c>
      <c r="H2398" t="s">
        <v>8256</v>
      </c>
      <c r="I2398" s="8">
        <v>1444940558</v>
      </c>
      <c r="J2398">
        <v>1442348558</v>
      </c>
      <c r="K2398" t="b">
        <v>0</v>
      </c>
      <c r="L2398" s="10">
        <v>1</v>
      </c>
      <c r="M2398" t="b">
        <v>0</v>
      </c>
      <c r="N2398" t="s">
        <v>8270</v>
      </c>
      <c r="O2398" s="11">
        <f t="shared" si="152"/>
        <v>0</v>
      </c>
      <c r="P2398" s="12">
        <f t="shared" si="153"/>
        <v>10</v>
      </c>
      <c r="Q2398" s="14" t="s">
        <v>8316</v>
      </c>
      <c r="R2398" t="s">
        <v>8317</v>
      </c>
      <c r="S2398" s="17">
        <f t="shared" si="154"/>
        <v>42262.849050925928</v>
      </c>
      <c r="T2398" s="17">
        <f t="shared" si="155"/>
        <v>42292.849050925928</v>
      </c>
      <c r="U2398">
        <f>MONTH(Table1[[#This Row],[Launched]])</f>
        <v>9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8219</v>
      </c>
      <c r="G2399" t="s">
        <v>8223</v>
      </c>
      <c r="H2399" t="s">
        <v>8245</v>
      </c>
      <c r="I2399" s="8">
        <v>1420233256</v>
      </c>
      <c r="J2399">
        <v>1417641256</v>
      </c>
      <c r="K2399" t="b">
        <v>0</v>
      </c>
      <c r="L2399" s="10">
        <v>0</v>
      </c>
      <c r="M2399" t="b">
        <v>0</v>
      </c>
      <c r="N2399" t="s">
        <v>8270</v>
      </c>
      <c r="O2399" s="11">
        <f t="shared" si="152"/>
        <v>0</v>
      </c>
      <c r="P2399" s="12" t="str">
        <f t="shared" si="153"/>
        <v>No Backers</v>
      </c>
      <c r="Q2399" s="14" t="s">
        <v>8316</v>
      </c>
      <c r="R2399" t="s">
        <v>8317</v>
      </c>
      <c r="S2399" s="17">
        <f t="shared" si="154"/>
        <v>41976.88490740741</v>
      </c>
      <c r="T2399" s="17">
        <f t="shared" si="155"/>
        <v>42006.88490740741</v>
      </c>
      <c r="U2399">
        <f>MONTH(Table1[[#This Row],[Launched]])</f>
        <v>12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8219</v>
      </c>
      <c r="G2400" t="s">
        <v>8223</v>
      </c>
      <c r="H2400" t="s">
        <v>8245</v>
      </c>
      <c r="I2400" s="8">
        <v>1435874384</v>
      </c>
      <c r="J2400">
        <v>1433282384</v>
      </c>
      <c r="K2400" t="b">
        <v>0</v>
      </c>
      <c r="L2400" s="10">
        <v>0</v>
      </c>
      <c r="M2400" t="b">
        <v>0</v>
      </c>
      <c r="N2400" t="s">
        <v>8270</v>
      </c>
      <c r="O2400" s="11">
        <f t="shared" si="152"/>
        <v>0</v>
      </c>
      <c r="P2400" s="12" t="str">
        <f t="shared" si="153"/>
        <v>No Backers</v>
      </c>
      <c r="Q2400" s="14" t="s">
        <v>8316</v>
      </c>
      <c r="R2400" t="s">
        <v>8317</v>
      </c>
      <c r="S2400" s="17">
        <f t="shared" si="154"/>
        <v>42157.916481481487</v>
      </c>
      <c r="T2400" s="17">
        <f t="shared" si="155"/>
        <v>42187.916481481487</v>
      </c>
      <c r="U2400">
        <f>MONTH(Table1[[#This Row],[Launched]])</f>
        <v>6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8219</v>
      </c>
      <c r="G2401" t="s">
        <v>8234</v>
      </c>
      <c r="H2401" t="s">
        <v>8254</v>
      </c>
      <c r="I2401" s="8">
        <v>1418934506</v>
      </c>
      <c r="J2401">
        <v>1415910506</v>
      </c>
      <c r="K2401" t="b">
        <v>0</v>
      </c>
      <c r="L2401" s="10">
        <v>0</v>
      </c>
      <c r="M2401" t="b">
        <v>0</v>
      </c>
      <c r="N2401" t="s">
        <v>8270</v>
      </c>
      <c r="O2401" s="11">
        <f t="shared" si="152"/>
        <v>0</v>
      </c>
      <c r="P2401" s="12" t="str">
        <f t="shared" si="153"/>
        <v>No Backers</v>
      </c>
      <c r="Q2401" s="14" t="s">
        <v>8316</v>
      </c>
      <c r="R2401" t="s">
        <v>8317</v>
      </c>
      <c r="S2401" s="17">
        <f t="shared" si="154"/>
        <v>41956.853078703702</v>
      </c>
      <c r="T2401" s="17">
        <f t="shared" si="155"/>
        <v>41991.853078703702</v>
      </c>
      <c r="U2401">
        <f>MONTH(Table1[[#This Row],[Launched]])</f>
        <v>11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8219</v>
      </c>
      <c r="G2402" t="s">
        <v>8225</v>
      </c>
      <c r="H2402" t="s">
        <v>8247</v>
      </c>
      <c r="I2402" s="8">
        <v>1460615164</v>
      </c>
      <c r="J2402">
        <v>1458023164</v>
      </c>
      <c r="K2402" t="b">
        <v>0</v>
      </c>
      <c r="L2402" s="10">
        <v>0</v>
      </c>
      <c r="M2402" t="b">
        <v>0</v>
      </c>
      <c r="N2402" t="s">
        <v>8270</v>
      </c>
      <c r="O2402" s="11">
        <f t="shared" si="152"/>
        <v>0</v>
      </c>
      <c r="P2402" s="12" t="str">
        <f t="shared" si="153"/>
        <v>No Backers</v>
      </c>
      <c r="Q2402" s="14" t="s">
        <v>8316</v>
      </c>
      <c r="R2402" t="s">
        <v>8317</v>
      </c>
      <c r="S2402" s="17">
        <f t="shared" si="154"/>
        <v>42444.268101851849</v>
      </c>
      <c r="T2402" s="17">
        <f t="shared" si="155"/>
        <v>42474.268101851849</v>
      </c>
      <c r="U2402">
        <f>MONTH(Table1[[#This Row],[Launched]])</f>
        <v>3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 s="8">
        <v>1457207096</v>
      </c>
      <c r="J2403">
        <v>1452023096</v>
      </c>
      <c r="K2403" t="b">
        <v>0</v>
      </c>
      <c r="L2403" s="10">
        <v>9</v>
      </c>
      <c r="M2403" t="b">
        <v>0</v>
      </c>
      <c r="N2403" t="s">
        <v>8282</v>
      </c>
      <c r="O2403" s="11">
        <f t="shared" si="152"/>
        <v>1</v>
      </c>
      <c r="P2403" s="12">
        <f t="shared" si="153"/>
        <v>22</v>
      </c>
      <c r="Q2403" s="14" t="s">
        <v>8333</v>
      </c>
      <c r="R2403" t="s">
        <v>8334</v>
      </c>
      <c r="S2403" s="17">
        <f t="shared" si="154"/>
        <v>42374.822870370372</v>
      </c>
      <c r="T2403" s="17">
        <f t="shared" si="155"/>
        <v>42434.822870370372</v>
      </c>
      <c r="U2403">
        <f>MONTH(Table1[[#This Row],[Launched]])</f>
        <v>1</v>
      </c>
    </row>
    <row r="2404" spans="1:21" ht="15.6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8220</v>
      </c>
      <c r="G2404" t="s">
        <v>8223</v>
      </c>
      <c r="H2404" t="s">
        <v>8245</v>
      </c>
      <c r="I2404" s="8">
        <v>1431533931</v>
      </c>
      <c r="J2404">
        <v>1428941931</v>
      </c>
      <c r="K2404" t="b">
        <v>0</v>
      </c>
      <c r="L2404" s="10">
        <v>1</v>
      </c>
      <c r="M2404" t="b">
        <v>0</v>
      </c>
      <c r="N2404" t="s">
        <v>8282</v>
      </c>
      <c r="O2404" s="11">
        <f t="shared" si="152"/>
        <v>0</v>
      </c>
      <c r="P2404" s="12">
        <f t="shared" si="153"/>
        <v>52</v>
      </c>
      <c r="Q2404" s="14" t="s">
        <v>8333</v>
      </c>
      <c r="R2404" t="s">
        <v>8334</v>
      </c>
      <c r="S2404" s="17">
        <f t="shared" si="154"/>
        <v>42107.679756944446</v>
      </c>
      <c r="T2404" s="17">
        <f t="shared" si="155"/>
        <v>42137.679756944446</v>
      </c>
      <c r="U2404">
        <f>MONTH(Table1[[#This Row],[Launched]])</f>
        <v>4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8220</v>
      </c>
      <c r="G2405" t="s">
        <v>8224</v>
      </c>
      <c r="H2405" t="s">
        <v>8246</v>
      </c>
      <c r="I2405" s="8">
        <v>1459368658</v>
      </c>
      <c r="J2405">
        <v>1454188258</v>
      </c>
      <c r="K2405" t="b">
        <v>0</v>
      </c>
      <c r="L2405" s="10">
        <v>12</v>
      </c>
      <c r="M2405" t="b">
        <v>0</v>
      </c>
      <c r="N2405" t="s">
        <v>8282</v>
      </c>
      <c r="O2405" s="11">
        <f t="shared" si="152"/>
        <v>17</v>
      </c>
      <c r="P2405" s="12">
        <f t="shared" si="153"/>
        <v>17</v>
      </c>
      <c r="Q2405" s="14" t="s">
        <v>8333</v>
      </c>
      <c r="R2405" t="s">
        <v>8334</v>
      </c>
      <c r="S2405" s="17">
        <f t="shared" si="154"/>
        <v>42399.882615740738</v>
      </c>
      <c r="T2405" s="17">
        <f t="shared" si="155"/>
        <v>42459.840949074074</v>
      </c>
      <c r="U2405">
        <f>MONTH(Table1[[#This Row],[Launched]])</f>
        <v>1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8220</v>
      </c>
      <c r="G2406" t="s">
        <v>8223</v>
      </c>
      <c r="H2406" t="s">
        <v>8245</v>
      </c>
      <c r="I2406" s="8">
        <v>1451782607</v>
      </c>
      <c r="J2406">
        <v>1449190607</v>
      </c>
      <c r="K2406" t="b">
        <v>0</v>
      </c>
      <c r="L2406" s="10">
        <v>0</v>
      </c>
      <c r="M2406" t="b">
        <v>0</v>
      </c>
      <c r="N2406" t="s">
        <v>8282</v>
      </c>
      <c r="O2406" s="11">
        <f t="shared" si="152"/>
        <v>0</v>
      </c>
      <c r="P2406" s="12" t="str">
        <f t="shared" si="153"/>
        <v>No Backers</v>
      </c>
      <c r="Q2406" s="14" t="s">
        <v>8333</v>
      </c>
      <c r="R2406" t="s">
        <v>8334</v>
      </c>
      <c r="S2406" s="17">
        <f t="shared" si="154"/>
        <v>42342.03943287037</v>
      </c>
      <c r="T2406" s="17">
        <f t="shared" si="155"/>
        <v>42372.03943287037</v>
      </c>
      <c r="U2406">
        <f>MONTH(Table1[[#This Row],[Launched]])</f>
        <v>12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 s="8">
        <v>1472911375</v>
      </c>
      <c r="J2407">
        <v>1471096975</v>
      </c>
      <c r="K2407" t="b">
        <v>0</v>
      </c>
      <c r="L2407" s="10">
        <v>20</v>
      </c>
      <c r="M2407" t="b">
        <v>0</v>
      </c>
      <c r="N2407" t="s">
        <v>8282</v>
      </c>
      <c r="O2407" s="11">
        <f t="shared" si="152"/>
        <v>23</v>
      </c>
      <c r="P2407" s="12">
        <f t="shared" si="153"/>
        <v>56</v>
      </c>
      <c r="Q2407" s="14" t="s">
        <v>8333</v>
      </c>
      <c r="R2407" t="s">
        <v>8334</v>
      </c>
      <c r="S2407" s="17">
        <f t="shared" si="154"/>
        <v>42595.585358796292</v>
      </c>
      <c r="T2407" s="17">
        <f t="shared" si="155"/>
        <v>42616.585358796292</v>
      </c>
      <c r="U2407">
        <f>MONTH(Table1[[#This Row],[Launched]])</f>
        <v>8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 s="8">
        <v>1421635190</v>
      </c>
      <c r="J2408">
        <v>1418179190</v>
      </c>
      <c r="K2408" t="b">
        <v>0</v>
      </c>
      <c r="L2408" s="10">
        <v>16</v>
      </c>
      <c r="M2408" t="b">
        <v>0</v>
      </c>
      <c r="N2408" t="s">
        <v>8282</v>
      </c>
      <c r="O2408" s="11">
        <f t="shared" si="152"/>
        <v>41</v>
      </c>
      <c r="P2408" s="12">
        <f t="shared" si="153"/>
        <v>84</v>
      </c>
      <c r="Q2408" s="14" t="s">
        <v>8333</v>
      </c>
      <c r="R2408" t="s">
        <v>8334</v>
      </c>
      <c r="S2408" s="17">
        <f t="shared" si="154"/>
        <v>41983.110995370371</v>
      </c>
      <c r="T2408" s="17">
        <f t="shared" si="155"/>
        <v>42023.110995370371</v>
      </c>
      <c r="U2408">
        <f>MONTH(Table1[[#This Row],[Launched]])</f>
        <v>12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 s="8">
        <v>1428732000</v>
      </c>
      <c r="J2409">
        <v>1426772928</v>
      </c>
      <c r="K2409" t="b">
        <v>0</v>
      </c>
      <c r="L2409" s="10">
        <v>33</v>
      </c>
      <c r="M2409" t="b">
        <v>0</v>
      </c>
      <c r="N2409" t="s">
        <v>8282</v>
      </c>
      <c r="O2409" s="11">
        <f t="shared" si="152"/>
        <v>25</v>
      </c>
      <c r="P2409" s="12">
        <f t="shared" si="153"/>
        <v>168</v>
      </c>
      <c r="Q2409" s="14" t="s">
        <v>8333</v>
      </c>
      <c r="R2409" t="s">
        <v>8334</v>
      </c>
      <c r="S2409" s="17">
        <f t="shared" si="154"/>
        <v>42082.575555555552</v>
      </c>
      <c r="T2409" s="17">
        <f t="shared" si="155"/>
        <v>42105.25</v>
      </c>
      <c r="U2409">
        <f>MONTH(Table1[[#This Row],[Launched]])</f>
        <v>3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8220</v>
      </c>
      <c r="G2410" t="s">
        <v>8223</v>
      </c>
      <c r="H2410" t="s">
        <v>8245</v>
      </c>
      <c r="I2410" s="8">
        <v>1415247757</v>
      </c>
      <c r="J2410">
        <v>1412652157</v>
      </c>
      <c r="K2410" t="b">
        <v>0</v>
      </c>
      <c r="L2410" s="10">
        <v>2</v>
      </c>
      <c r="M2410" t="b">
        <v>0</v>
      </c>
      <c r="N2410" t="s">
        <v>8282</v>
      </c>
      <c r="O2410" s="11">
        <f t="shared" si="152"/>
        <v>0</v>
      </c>
      <c r="P2410" s="12">
        <f t="shared" si="153"/>
        <v>15</v>
      </c>
      <c r="Q2410" s="14" t="s">
        <v>8333</v>
      </c>
      <c r="R2410" t="s">
        <v>8334</v>
      </c>
      <c r="S2410" s="17">
        <f t="shared" si="154"/>
        <v>41919.140706018516</v>
      </c>
      <c r="T2410" s="17">
        <f t="shared" si="155"/>
        <v>41949.182372685187</v>
      </c>
      <c r="U2410">
        <f>MONTH(Table1[[#This Row],[Launched]])</f>
        <v>10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 s="8">
        <v>1439931675</v>
      </c>
      <c r="J2411">
        <v>1437339675</v>
      </c>
      <c r="K2411" t="b">
        <v>0</v>
      </c>
      <c r="L2411" s="10">
        <v>6</v>
      </c>
      <c r="M2411" t="b">
        <v>0</v>
      </c>
      <c r="N2411" t="s">
        <v>8282</v>
      </c>
      <c r="O2411" s="11">
        <f t="shared" si="152"/>
        <v>2</v>
      </c>
      <c r="P2411" s="12">
        <f t="shared" si="153"/>
        <v>77</v>
      </c>
      <c r="Q2411" s="14" t="s">
        <v>8333</v>
      </c>
      <c r="R2411" t="s">
        <v>8334</v>
      </c>
      <c r="S2411" s="17">
        <f t="shared" si="154"/>
        <v>42204.875868055555</v>
      </c>
      <c r="T2411" s="17">
        <f t="shared" si="155"/>
        <v>42234.875868055555</v>
      </c>
      <c r="U2411">
        <f>MONTH(Table1[[#This Row],[Launched]])</f>
        <v>7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8220</v>
      </c>
      <c r="G2412" t="s">
        <v>8225</v>
      </c>
      <c r="H2412" t="s">
        <v>8247</v>
      </c>
      <c r="I2412" s="8">
        <v>1441619275</v>
      </c>
      <c r="J2412">
        <v>1439027275</v>
      </c>
      <c r="K2412" t="b">
        <v>0</v>
      </c>
      <c r="L2412" s="10">
        <v>0</v>
      </c>
      <c r="M2412" t="b">
        <v>0</v>
      </c>
      <c r="N2412" t="s">
        <v>8282</v>
      </c>
      <c r="O2412" s="11">
        <f t="shared" si="152"/>
        <v>0</v>
      </c>
      <c r="P2412" s="12" t="str">
        <f t="shared" si="153"/>
        <v>No Backers</v>
      </c>
      <c r="Q2412" s="14" t="s">
        <v>8333</v>
      </c>
      <c r="R2412" t="s">
        <v>8334</v>
      </c>
      <c r="S2412" s="17">
        <f t="shared" si="154"/>
        <v>42224.408275462964</v>
      </c>
      <c r="T2412" s="17">
        <f t="shared" si="155"/>
        <v>42254.408275462964</v>
      </c>
      <c r="U2412">
        <f>MONTH(Table1[[#This Row],[Launched]])</f>
        <v>8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 s="8">
        <v>1440524082</v>
      </c>
      <c r="J2413">
        <v>1437932082</v>
      </c>
      <c r="K2413" t="b">
        <v>0</v>
      </c>
      <c r="L2413" s="10">
        <v>3</v>
      </c>
      <c r="M2413" t="b">
        <v>0</v>
      </c>
      <c r="N2413" t="s">
        <v>8282</v>
      </c>
      <c r="O2413" s="11">
        <f t="shared" si="152"/>
        <v>1</v>
      </c>
      <c r="P2413" s="12">
        <f t="shared" si="153"/>
        <v>50</v>
      </c>
      <c r="Q2413" s="14" t="s">
        <v>8333</v>
      </c>
      <c r="R2413" t="s">
        <v>8334</v>
      </c>
      <c r="S2413" s="17">
        <f t="shared" si="154"/>
        <v>42211.732430555552</v>
      </c>
      <c r="T2413" s="17">
        <f t="shared" si="155"/>
        <v>42241.732430555552</v>
      </c>
      <c r="U2413">
        <f>MONTH(Table1[[#This Row],[Launched]])</f>
        <v>7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8220</v>
      </c>
      <c r="G2414" t="s">
        <v>8229</v>
      </c>
      <c r="H2414" t="s">
        <v>8248</v>
      </c>
      <c r="I2414" s="8">
        <v>1480185673</v>
      </c>
      <c r="J2414">
        <v>1476294073</v>
      </c>
      <c r="K2414" t="b">
        <v>0</v>
      </c>
      <c r="L2414" s="10">
        <v>0</v>
      </c>
      <c r="M2414" t="b">
        <v>0</v>
      </c>
      <c r="N2414" t="s">
        <v>8282</v>
      </c>
      <c r="O2414" s="11">
        <f t="shared" si="152"/>
        <v>0</v>
      </c>
      <c r="P2414" s="12" t="str">
        <f t="shared" si="153"/>
        <v>No Backers</v>
      </c>
      <c r="Q2414" s="14" t="s">
        <v>8333</v>
      </c>
      <c r="R2414" t="s">
        <v>8334</v>
      </c>
      <c r="S2414" s="17">
        <f t="shared" si="154"/>
        <v>42655.736956018518</v>
      </c>
      <c r="T2414" s="17">
        <f t="shared" si="155"/>
        <v>42700.778622685189</v>
      </c>
      <c r="U2414">
        <f>MONTH(Table1[[#This Row],[Launched]])</f>
        <v>10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8220</v>
      </c>
      <c r="G2415" t="s">
        <v>8223</v>
      </c>
      <c r="H2415" t="s">
        <v>8245</v>
      </c>
      <c r="I2415" s="8">
        <v>1401579000</v>
      </c>
      <c r="J2415">
        <v>1398911882</v>
      </c>
      <c r="K2415" t="b">
        <v>0</v>
      </c>
      <c r="L2415" s="10">
        <v>3</v>
      </c>
      <c r="M2415" t="b">
        <v>0</v>
      </c>
      <c r="N2415" t="s">
        <v>8282</v>
      </c>
      <c r="O2415" s="11">
        <f t="shared" si="152"/>
        <v>1</v>
      </c>
      <c r="P2415" s="12">
        <f t="shared" si="153"/>
        <v>8</v>
      </c>
      <c r="Q2415" s="14" t="s">
        <v>8333</v>
      </c>
      <c r="R2415" t="s">
        <v>8334</v>
      </c>
      <c r="S2415" s="17">
        <f t="shared" si="154"/>
        <v>41760.10974537037</v>
      </c>
      <c r="T2415" s="17">
        <f t="shared" si="155"/>
        <v>41790.979166666664</v>
      </c>
      <c r="U2415">
        <f>MONTH(Table1[[#This Row],[Launched]])</f>
        <v>5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 s="8">
        <v>1440215940</v>
      </c>
      <c r="J2416">
        <v>1436805660</v>
      </c>
      <c r="K2416" t="b">
        <v>0</v>
      </c>
      <c r="L2416" s="10">
        <v>13</v>
      </c>
      <c r="M2416" t="b">
        <v>0</v>
      </c>
      <c r="N2416" t="s">
        <v>8282</v>
      </c>
      <c r="O2416" s="11">
        <f t="shared" si="152"/>
        <v>3</v>
      </c>
      <c r="P2416" s="12">
        <f t="shared" si="153"/>
        <v>35</v>
      </c>
      <c r="Q2416" s="14" t="s">
        <v>8333</v>
      </c>
      <c r="R2416" t="s">
        <v>8334</v>
      </c>
      <c r="S2416" s="17">
        <f t="shared" si="154"/>
        <v>42198.695138888885</v>
      </c>
      <c r="T2416" s="17">
        <f t="shared" si="155"/>
        <v>42238.165972222225</v>
      </c>
      <c r="U2416">
        <f>MONTH(Table1[[#This Row],[Launched]])</f>
        <v>7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 s="8">
        <v>1468615346</v>
      </c>
      <c r="J2417">
        <v>1466023346</v>
      </c>
      <c r="K2417" t="b">
        <v>0</v>
      </c>
      <c r="L2417" s="10">
        <v>6</v>
      </c>
      <c r="M2417" t="b">
        <v>0</v>
      </c>
      <c r="N2417" t="s">
        <v>8282</v>
      </c>
      <c r="O2417" s="11">
        <f t="shared" si="152"/>
        <v>1</v>
      </c>
      <c r="P2417" s="12">
        <f t="shared" si="153"/>
        <v>56</v>
      </c>
      <c r="Q2417" s="14" t="s">
        <v>8333</v>
      </c>
      <c r="R2417" t="s">
        <v>8334</v>
      </c>
      <c r="S2417" s="17">
        <f t="shared" si="154"/>
        <v>42536.862800925926</v>
      </c>
      <c r="T2417" s="17">
        <f t="shared" si="155"/>
        <v>42566.862800925926</v>
      </c>
      <c r="U2417">
        <f>MONTH(Table1[[#This Row],[Launched]])</f>
        <v>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8220</v>
      </c>
      <c r="G2418" t="s">
        <v>8223</v>
      </c>
      <c r="H2418" t="s">
        <v>8245</v>
      </c>
      <c r="I2418" s="8">
        <v>1426345200</v>
      </c>
      <c r="J2418">
        <v>1421343743</v>
      </c>
      <c r="K2418" t="b">
        <v>0</v>
      </c>
      <c r="L2418" s="10">
        <v>1</v>
      </c>
      <c r="M2418" t="b">
        <v>0</v>
      </c>
      <c r="N2418" t="s">
        <v>8282</v>
      </c>
      <c r="O2418" s="11">
        <f t="shared" si="152"/>
        <v>0</v>
      </c>
      <c r="P2418" s="12">
        <f t="shared" si="153"/>
        <v>5</v>
      </c>
      <c r="Q2418" s="14" t="s">
        <v>8333</v>
      </c>
      <c r="R2418" t="s">
        <v>8334</v>
      </c>
      <c r="S2418" s="17">
        <f t="shared" si="154"/>
        <v>42019.737766203703</v>
      </c>
      <c r="T2418" s="17">
        <f t="shared" si="155"/>
        <v>42077.625</v>
      </c>
      <c r="U2418">
        <f>MONTH(Table1[[#This Row],[Launched]])</f>
        <v>1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8220</v>
      </c>
      <c r="G2419" t="s">
        <v>8223</v>
      </c>
      <c r="H2419" t="s">
        <v>8245</v>
      </c>
      <c r="I2419" s="8">
        <v>1407705187</v>
      </c>
      <c r="J2419">
        <v>1405113187</v>
      </c>
      <c r="K2419" t="b">
        <v>0</v>
      </c>
      <c r="L2419" s="10">
        <v>0</v>
      </c>
      <c r="M2419" t="b">
        <v>0</v>
      </c>
      <c r="N2419" t="s">
        <v>8282</v>
      </c>
      <c r="O2419" s="11">
        <f t="shared" si="152"/>
        <v>0</v>
      </c>
      <c r="P2419" s="12" t="str">
        <f t="shared" si="153"/>
        <v>No Backers</v>
      </c>
      <c r="Q2419" s="14" t="s">
        <v>8333</v>
      </c>
      <c r="R2419" t="s">
        <v>8334</v>
      </c>
      <c r="S2419" s="17">
        <f t="shared" si="154"/>
        <v>41831.884108796294</v>
      </c>
      <c r="T2419" s="17">
        <f t="shared" si="155"/>
        <v>41861.884108796294</v>
      </c>
      <c r="U2419">
        <f>MONTH(Table1[[#This Row],[Launched]])</f>
        <v>7</v>
      </c>
    </row>
    <row r="2420" spans="1:21" ht="15.6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8220</v>
      </c>
      <c r="G2420" t="s">
        <v>8223</v>
      </c>
      <c r="H2420" t="s">
        <v>8245</v>
      </c>
      <c r="I2420" s="8">
        <v>1427225644</v>
      </c>
      <c r="J2420">
        <v>1422045244</v>
      </c>
      <c r="K2420" t="b">
        <v>0</v>
      </c>
      <c r="L2420" s="10">
        <v>5</v>
      </c>
      <c r="M2420" t="b">
        <v>0</v>
      </c>
      <c r="N2420" t="s">
        <v>8282</v>
      </c>
      <c r="O2420" s="11">
        <f t="shared" si="152"/>
        <v>0</v>
      </c>
      <c r="P2420" s="12">
        <f t="shared" si="153"/>
        <v>1</v>
      </c>
      <c r="Q2420" s="14" t="s">
        <v>8333</v>
      </c>
      <c r="R2420" t="s">
        <v>8334</v>
      </c>
      <c r="S2420" s="17">
        <f t="shared" si="154"/>
        <v>42027.856990740736</v>
      </c>
      <c r="T2420" s="17">
        <f t="shared" si="155"/>
        <v>42087.815324074079</v>
      </c>
      <c r="U2420">
        <f>MONTH(Table1[[#This Row],[Launched]])</f>
        <v>1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8220</v>
      </c>
      <c r="G2421" t="s">
        <v>8223</v>
      </c>
      <c r="H2421" t="s">
        <v>8245</v>
      </c>
      <c r="I2421" s="8">
        <v>1424281389</v>
      </c>
      <c r="J2421">
        <v>1419097389</v>
      </c>
      <c r="K2421" t="b">
        <v>0</v>
      </c>
      <c r="L2421" s="10">
        <v>0</v>
      </c>
      <c r="M2421" t="b">
        <v>0</v>
      </c>
      <c r="N2421" t="s">
        <v>8282</v>
      </c>
      <c r="O2421" s="11">
        <f t="shared" si="152"/>
        <v>0</v>
      </c>
      <c r="P2421" s="12" t="str">
        <f t="shared" si="153"/>
        <v>No Backers</v>
      </c>
      <c r="Q2421" s="14" t="s">
        <v>8333</v>
      </c>
      <c r="R2421" t="s">
        <v>8334</v>
      </c>
      <c r="S2421" s="17">
        <f t="shared" si="154"/>
        <v>41993.738298611104</v>
      </c>
      <c r="T2421" s="17">
        <f t="shared" si="155"/>
        <v>42053.738298611104</v>
      </c>
      <c r="U2421">
        <f>MONTH(Table1[[#This Row],[Launched]])</f>
        <v>12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 s="8">
        <v>1415583695</v>
      </c>
      <c r="J2422">
        <v>1410396095</v>
      </c>
      <c r="K2422" t="b">
        <v>0</v>
      </c>
      <c r="L2422" s="10">
        <v>36</v>
      </c>
      <c r="M2422" t="b">
        <v>0</v>
      </c>
      <c r="N2422" t="s">
        <v>8282</v>
      </c>
      <c r="O2422" s="11">
        <f t="shared" si="152"/>
        <v>15</v>
      </c>
      <c r="P2422" s="12">
        <f t="shared" si="153"/>
        <v>69</v>
      </c>
      <c r="Q2422" s="14" t="s">
        <v>8333</v>
      </c>
      <c r="R2422" t="s">
        <v>8334</v>
      </c>
      <c r="S2422" s="17">
        <f t="shared" si="154"/>
        <v>41893.028877314813</v>
      </c>
      <c r="T2422" s="17">
        <f t="shared" si="155"/>
        <v>41953.070543981477</v>
      </c>
      <c r="U2422">
        <f>MONTH(Table1[[#This Row],[Launched]])</f>
        <v>9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8220</v>
      </c>
      <c r="G2423" t="s">
        <v>8223</v>
      </c>
      <c r="H2423" t="s">
        <v>8245</v>
      </c>
      <c r="I2423" s="8">
        <v>1424536196</v>
      </c>
      <c r="J2423">
        <v>1421944196</v>
      </c>
      <c r="K2423" t="b">
        <v>0</v>
      </c>
      <c r="L2423" s="10">
        <v>1</v>
      </c>
      <c r="M2423" t="b">
        <v>0</v>
      </c>
      <c r="N2423" t="s">
        <v>8282</v>
      </c>
      <c r="O2423" s="11">
        <f t="shared" si="152"/>
        <v>0</v>
      </c>
      <c r="P2423" s="12">
        <f t="shared" si="153"/>
        <v>1</v>
      </c>
      <c r="Q2423" s="14" t="s">
        <v>8333</v>
      </c>
      <c r="R2423" t="s">
        <v>8334</v>
      </c>
      <c r="S2423" s="17">
        <f t="shared" si="154"/>
        <v>42026.687453703707</v>
      </c>
      <c r="T2423" s="17">
        <f t="shared" si="155"/>
        <v>42056.687453703707</v>
      </c>
      <c r="U2423">
        <f>MONTH(Table1[[#This Row],[Launched]])</f>
        <v>1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8220</v>
      </c>
      <c r="G2424" t="s">
        <v>8223</v>
      </c>
      <c r="H2424" t="s">
        <v>8245</v>
      </c>
      <c r="I2424" s="8">
        <v>1426091036</v>
      </c>
      <c r="J2424">
        <v>1423502636</v>
      </c>
      <c r="K2424" t="b">
        <v>0</v>
      </c>
      <c r="L2424" s="10">
        <v>1</v>
      </c>
      <c r="M2424" t="b">
        <v>0</v>
      </c>
      <c r="N2424" t="s">
        <v>8282</v>
      </c>
      <c r="O2424" s="11">
        <f t="shared" si="152"/>
        <v>0</v>
      </c>
      <c r="P2424" s="12">
        <f t="shared" si="153"/>
        <v>1</v>
      </c>
      <c r="Q2424" s="14" t="s">
        <v>8333</v>
      </c>
      <c r="R2424" t="s">
        <v>8334</v>
      </c>
      <c r="S2424" s="17">
        <f t="shared" si="154"/>
        <v>42044.724953703699</v>
      </c>
      <c r="T2424" s="17">
        <f t="shared" si="155"/>
        <v>42074.683287037042</v>
      </c>
      <c r="U2424">
        <f>MONTH(Table1[[#This Row],[Launched]])</f>
        <v>2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8220</v>
      </c>
      <c r="G2425" t="s">
        <v>8223</v>
      </c>
      <c r="H2425" t="s">
        <v>8245</v>
      </c>
      <c r="I2425" s="8">
        <v>1420044890</v>
      </c>
      <c r="J2425">
        <v>1417452890</v>
      </c>
      <c r="K2425" t="b">
        <v>0</v>
      </c>
      <c r="L2425" s="10">
        <v>1</v>
      </c>
      <c r="M2425" t="b">
        <v>0</v>
      </c>
      <c r="N2425" t="s">
        <v>8282</v>
      </c>
      <c r="O2425" s="11">
        <f t="shared" si="152"/>
        <v>0</v>
      </c>
      <c r="P2425" s="12">
        <f t="shared" si="153"/>
        <v>8</v>
      </c>
      <c r="Q2425" s="14" t="s">
        <v>8333</v>
      </c>
      <c r="R2425" t="s">
        <v>8334</v>
      </c>
      <c r="S2425" s="17">
        <f t="shared" si="154"/>
        <v>41974.704745370371</v>
      </c>
      <c r="T2425" s="17">
        <f t="shared" si="155"/>
        <v>42004.704745370371</v>
      </c>
      <c r="U2425">
        <f>MONTH(Table1[[#This Row],[Launched]])</f>
        <v>12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 s="8">
        <v>1414445108</v>
      </c>
      <c r="J2426">
        <v>1411853108</v>
      </c>
      <c r="K2426" t="b">
        <v>0</v>
      </c>
      <c r="L2426" s="10">
        <v>9</v>
      </c>
      <c r="M2426" t="b">
        <v>0</v>
      </c>
      <c r="N2426" t="s">
        <v>8282</v>
      </c>
      <c r="O2426" s="11">
        <f t="shared" si="152"/>
        <v>1</v>
      </c>
      <c r="P2426" s="12">
        <f t="shared" si="153"/>
        <v>34</v>
      </c>
      <c r="Q2426" s="14" t="s">
        <v>8333</v>
      </c>
      <c r="R2426" t="s">
        <v>8334</v>
      </c>
      <c r="S2426" s="17">
        <f t="shared" si="154"/>
        <v>41909.892453703702</v>
      </c>
      <c r="T2426" s="17">
        <f t="shared" si="155"/>
        <v>41939.892453703702</v>
      </c>
      <c r="U2426">
        <f>MONTH(Table1[[#This Row],[Launched]])</f>
        <v>9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8220</v>
      </c>
      <c r="G2427" t="s">
        <v>8223</v>
      </c>
      <c r="H2427" t="s">
        <v>8245</v>
      </c>
      <c r="I2427" s="8">
        <v>1464386640</v>
      </c>
      <c r="J2427">
        <v>1463090149</v>
      </c>
      <c r="K2427" t="b">
        <v>0</v>
      </c>
      <c r="L2427" s="10">
        <v>1</v>
      </c>
      <c r="M2427" t="b">
        <v>0</v>
      </c>
      <c r="N2427" t="s">
        <v>8282</v>
      </c>
      <c r="O2427" s="11">
        <f t="shared" si="152"/>
        <v>0</v>
      </c>
      <c r="P2427" s="12">
        <f t="shared" si="153"/>
        <v>1</v>
      </c>
      <c r="Q2427" s="14" t="s">
        <v>8333</v>
      </c>
      <c r="R2427" t="s">
        <v>8334</v>
      </c>
      <c r="S2427" s="17">
        <f t="shared" si="154"/>
        <v>42502.913761574076</v>
      </c>
      <c r="T2427" s="17">
        <f t="shared" si="155"/>
        <v>42517.919444444444</v>
      </c>
      <c r="U2427">
        <f>MONTH(Table1[[#This Row],[Launched]])</f>
        <v>5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8220</v>
      </c>
      <c r="G2428" t="s">
        <v>8223</v>
      </c>
      <c r="H2428" t="s">
        <v>8245</v>
      </c>
      <c r="I2428" s="8">
        <v>1439006692</v>
      </c>
      <c r="J2428">
        <v>1433822692</v>
      </c>
      <c r="K2428" t="b">
        <v>0</v>
      </c>
      <c r="L2428" s="10">
        <v>0</v>
      </c>
      <c r="M2428" t="b">
        <v>0</v>
      </c>
      <c r="N2428" t="s">
        <v>8282</v>
      </c>
      <c r="O2428" s="11">
        <f t="shared" si="152"/>
        <v>0</v>
      </c>
      <c r="P2428" s="12" t="str">
        <f t="shared" si="153"/>
        <v>No Backers</v>
      </c>
      <c r="Q2428" s="14" t="s">
        <v>8333</v>
      </c>
      <c r="R2428" t="s">
        <v>8334</v>
      </c>
      <c r="S2428" s="17">
        <f t="shared" si="154"/>
        <v>42164.170046296291</v>
      </c>
      <c r="T2428" s="17">
        <f t="shared" si="155"/>
        <v>42224.170046296291</v>
      </c>
      <c r="U2428">
        <f>MONTH(Table1[[#This Row],[Launched]])</f>
        <v>6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8220</v>
      </c>
      <c r="G2429" t="s">
        <v>8223</v>
      </c>
      <c r="H2429" t="s">
        <v>8245</v>
      </c>
      <c r="I2429" s="8">
        <v>1458715133</v>
      </c>
      <c r="J2429">
        <v>1455262733</v>
      </c>
      <c r="K2429" t="b">
        <v>0</v>
      </c>
      <c r="L2429" s="10">
        <v>1</v>
      </c>
      <c r="M2429" t="b">
        <v>0</v>
      </c>
      <c r="N2429" t="s">
        <v>8282</v>
      </c>
      <c r="O2429" s="11">
        <f t="shared" si="152"/>
        <v>0</v>
      </c>
      <c r="P2429" s="12">
        <f t="shared" si="153"/>
        <v>1</v>
      </c>
      <c r="Q2429" s="14" t="s">
        <v>8333</v>
      </c>
      <c r="R2429" t="s">
        <v>8334</v>
      </c>
      <c r="S2429" s="17">
        <f t="shared" si="154"/>
        <v>42412.318668981476</v>
      </c>
      <c r="T2429" s="17">
        <f t="shared" si="155"/>
        <v>42452.277002314819</v>
      </c>
      <c r="U2429">
        <f>MONTH(Table1[[#This Row],[Launched]])</f>
        <v>2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8220</v>
      </c>
      <c r="G2430" t="s">
        <v>8223</v>
      </c>
      <c r="H2430" t="s">
        <v>8245</v>
      </c>
      <c r="I2430" s="8">
        <v>1426182551</v>
      </c>
      <c r="J2430">
        <v>1423594151</v>
      </c>
      <c r="K2430" t="b">
        <v>0</v>
      </c>
      <c r="L2430" s="10">
        <v>1</v>
      </c>
      <c r="M2430" t="b">
        <v>0</v>
      </c>
      <c r="N2430" t="s">
        <v>8282</v>
      </c>
      <c r="O2430" s="11">
        <f t="shared" si="152"/>
        <v>0</v>
      </c>
      <c r="P2430" s="12">
        <f t="shared" si="153"/>
        <v>1</v>
      </c>
      <c r="Q2430" s="14" t="s">
        <v>8333</v>
      </c>
      <c r="R2430" t="s">
        <v>8334</v>
      </c>
      <c r="S2430" s="17">
        <f t="shared" si="154"/>
        <v>42045.784155092595</v>
      </c>
      <c r="T2430" s="17">
        <f t="shared" si="155"/>
        <v>42075.742488425924</v>
      </c>
      <c r="U2430">
        <f>MONTH(Table1[[#This Row],[Launched]])</f>
        <v>2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 s="8">
        <v>1486313040</v>
      </c>
      <c r="J2431">
        <v>1483131966</v>
      </c>
      <c r="K2431" t="b">
        <v>0</v>
      </c>
      <c r="L2431" s="10">
        <v>4</v>
      </c>
      <c r="M2431" t="b">
        <v>0</v>
      </c>
      <c r="N2431" t="s">
        <v>8282</v>
      </c>
      <c r="O2431" s="11">
        <f t="shared" si="152"/>
        <v>1</v>
      </c>
      <c r="P2431" s="12">
        <f t="shared" si="153"/>
        <v>501</v>
      </c>
      <c r="Q2431" s="14" t="s">
        <v>8333</v>
      </c>
      <c r="R2431" t="s">
        <v>8334</v>
      </c>
      <c r="S2431" s="17">
        <f t="shared" si="154"/>
        <v>42734.879236111112</v>
      </c>
      <c r="T2431" s="17">
        <f t="shared" si="155"/>
        <v>42771.697222222225</v>
      </c>
      <c r="U2431">
        <f>MONTH(Table1[[#This Row],[Launched]])</f>
        <v>12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8220</v>
      </c>
      <c r="G2432" t="s">
        <v>8223</v>
      </c>
      <c r="H2432" t="s">
        <v>8245</v>
      </c>
      <c r="I2432" s="8">
        <v>1455246504</v>
      </c>
      <c r="J2432">
        <v>1452654504</v>
      </c>
      <c r="K2432" t="b">
        <v>0</v>
      </c>
      <c r="L2432" s="10">
        <v>2</v>
      </c>
      <c r="M2432" t="b">
        <v>0</v>
      </c>
      <c r="N2432" t="s">
        <v>8282</v>
      </c>
      <c r="O2432" s="11">
        <f t="shared" si="152"/>
        <v>1</v>
      </c>
      <c r="P2432" s="12">
        <f t="shared" si="153"/>
        <v>11</v>
      </c>
      <c r="Q2432" s="14" t="s">
        <v>8333</v>
      </c>
      <c r="R2432" t="s">
        <v>8334</v>
      </c>
      <c r="S2432" s="17">
        <f t="shared" si="154"/>
        <v>42382.130833333329</v>
      </c>
      <c r="T2432" s="17">
        <f t="shared" si="155"/>
        <v>42412.130833333329</v>
      </c>
      <c r="U2432">
        <f>MONTH(Table1[[#This Row],[Launched]])</f>
        <v>1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8220</v>
      </c>
      <c r="G2433" t="s">
        <v>8223</v>
      </c>
      <c r="H2433" t="s">
        <v>8245</v>
      </c>
      <c r="I2433" s="8">
        <v>1467080613</v>
      </c>
      <c r="J2433">
        <v>1461896613</v>
      </c>
      <c r="K2433" t="b">
        <v>0</v>
      </c>
      <c r="L2433" s="10">
        <v>2</v>
      </c>
      <c r="M2433" t="b">
        <v>0</v>
      </c>
      <c r="N2433" t="s">
        <v>8282</v>
      </c>
      <c r="O2433" s="11">
        <f t="shared" si="152"/>
        <v>0</v>
      </c>
      <c r="P2433" s="12">
        <f t="shared" si="153"/>
        <v>1</v>
      </c>
      <c r="Q2433" s="14" t="s">
        <v>8333</v>
      </c>
      <c r="R2433" t="s">
        <v>8334</v>
      </c>
      <c r="S2433" s="17">
        <f t="shared" si="154"/>
        <v>42489.099687499998</v>
      </c>
      <c r="T2433" s="17">
        <f t="shared" si="155"/>
        <v>42549.099687499998</v>
      </c>
      <c r="U2433">
        <f>MONTH(Table1[[#This Row],[Launched]])</f>
        <v>4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8220</v>
      </c>
      <c r="G2434" t="s">
        <v>8223</v>
      </c>
      <c r="H2434" t="s">
        <v>8245</v>
      </c>
      <c r="I2434" s="8">
        <v>1425791697</v>
      </c>
      <c r="J2434">
        <v>1423199697</v>
      </c>
      <c r="K2434" t="b">
        <v>0</v>
      </c>
      <c r="L2434" s="10">
        <v>2</v>
      </c>
      <c r="M2434" t="b">
        <v>0</v>
      </c>
      <c r="N2434" t="s">
        <v>8282</v>
      </c>
      <c r="O2434" s="11">
        <f t="shared" ref="O2434:O2497" si="156">ROUND(E2434/D2434*100,0)</f>
        <v>0</v>
      </c>
      <c r="P2434" s="12">
        <f t="shared" si="153"/>
        <v>1</v>
      </c>
      <c r="Q2434" s="14" t="s">
        <v>8333</v>
      </c>
      <c r="R2434" t="s">
        <v>8334</v>
      </c>
      <c r="S2434" s="17">
        <f t="shared" si="154"/>
        <v>42041.218715277777</v>
      </c>
      <c r="T2434" s="17">
        <f t="shared" si="155"/>
        <v>42071.218715277777</v>
      </c>
      <c r="U2434">
        <f>MONTH(Table1[[#This Row],[Launched]])</f>
        <v>2</v>
      </c>
    </row>
    <row r="2435" spans="1:21" ht="57.6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8220</v>
      </c>
      <c r="G2435" t="s">
        <v>8223</v>
      </c>
      <c r="H2435" t="s">
        <v>8245</v>
      </c>
      <c r="I2435" s="8">
        <v>1456608943</v>
      </c>
      <c r="J2435">
        <v>1454016943</v>
      </c>
      <c r="K2435" t="b">
        <v>0</v>
      </c>
      <c r="L2435" s="10">
        <v>0</v>
      </c>
      <c r="M2435" t="b">
        <v>0</v>
      </c>
      <c r="N2435" t="s">
        <v>8282</v>
      </c>
      <c r="O2435" s="11">
        <f t="shared" si="156"/>
        <v>0</v>
      </c>
      <c r="P2435" s="12" t="str">
        <f t="shared" ref="P2435:P2498" si="157">IFERROR(ROUND(E2435/L2435,),"No Backers")</f>
        <v>No Backers</v>
      </c>
      <c r="Q2435" s="14" t="s">
        <v>8333</v>
      </c>
      <c r="R2435" t="s">
        <v>8334</v>
      </c>
      <c r="S2435" s="17">
        <f t="shared" ref="S2435:S2498" si="158">(((J2435/60)/60)/24)+DATE(1970,1,1)</f>
        <v>42397.89980324074</v>
      </c>
      <c r="T2435" s="17">
        <f t="shared" ref="T2435:T2498" si="159">(((I2435/60)/60)/24)+DATE(1970,1,1)</f>
        <v>42427.89980324074</v>
      </c>
      <c r="U2435">
        <f>MONTH(Table1[[#This Row],[Launched]])</f>
        <v>1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8220</v>
      </c>
      <c r="G2436" t="s">
        <v>8223</v>
      </c>
      <c r="H2436" t="s">
        <v>8245</v>
      </c>
      <c r="I2436" s="8">
        <v>1438662474</v>
      </c>
      <c r="J2436">
        <v>1435206474</v>
      </c>
      <c r="K2436" t="b">
        <v>0</v>
      </c>
      <c r="L2436" s="10">
        <v>2</v>
      </c>
      <c r="M2436" t="b">
        <v>0</v>
      </c>
      <c r="N2436" t="s">
        <v>8282</v>
      </c>
      <c r="O2436" s="11">
        <f t="shared" si="156"/>
        <v>0</v>
      </c>
      <c r="P2436" s="12">
        <f t="shared" si="157"/>
        <v>13</v>
      </c>
      <c r="Q2436" s="14" t="s">
        <v>8333</v>
      </c>
      <c r="R2436" t="s">
        <v>8334</v>
      </c>
      <c r="S2436" s="17">
        <f t="shared" si="158"/>
        <v>42180.18604166666</v>
      </c>
      <c r="T2436" s="17">
        <f t="shared" si="159"/>
        <v>42220.18604166666</v>
      </c>
      <c r="U2436">
        <f>MONTH(Table1[[#This Row],[Launched]])</f>
        <v>6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 s="8">
        <v>1444027186</v>
      </c>
      <c r="J2437">
        <v>1441435186</v>
      </c>
      <c r="K2437" t="b">
        <v>0</v>
      </c>
      <c r="L2437" s="10">
        <v>4</v>
      </c>
      <c r="M2437" t="b">
        <v>0</v>
      </c>
      <c r="N2437" t="s">
        <v>8282</v>
      </c>
      <c r="O2437" s="11">
        <f t="shared" si="156"/>
        <v>0</v>
      </c>
      <c r="P2437" s="12">
        <f t="shared" si="157"/>
        <v>306</v>
      </c>
      <c r="Q2437" s="14" t="s">
        <v>8333</v>
      </c>
      <c r="R2437" t="s">
        <v>8334</v>
      </c>
      <c r="S2437" s="17">
        <f t="shared" si="158"/>
        <v>42252.277615740735</v>
      </c>
      <c r="T2437" s="17">
        <f t="shared" si="159"/>
        <v>42282.277615740735</v>
      </c>
      <c r="U2437">
        <f>MONTH(Table1[[#This Row],[Launched]])</f>
        <v>9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 s="8">
        <v>1454078770</v>
      </c>
      <c r="J2438">
        <v>1448894770</v>
      </c>
      <c r="K2438" t="b">
        <v>0</v>
      </c>
      <c r="L2438" s="10">
        <v>2</v>
      </c>
      <c r="M2438" t="b">
        <v>0</v>
      </c>
      <c r="N2438" t="s">
        <v>8282</v>
      </c>
      <c r="O2438" s="11">
        <f t="shared" si="156"/>
        <v>0</v>
      </c>
      <c r="P2438" s="12">
        <f t="shared" si="157"/>
        <v>23</v>
      </c>
      <c r="Q2438" s="14" t="s">
        <v>8333</v>
      </c>
      <c r="R2438" t="s">
        <v>8334</v>
      </c>
      <c r="S2438" s="17">
        <f t="shared" si="158"/>
        <v>42338.615393518514</v>
      </c>
      <c r="T2438" s="17">
        <f t="shared" si="159"/>
        <v>42398.615393518514</v>
      </c>
      <c r="U2438">
        <f>MONTH(Table1[[#This Row],[Launched]])</f>
        <v>11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8220</v>
      </c>
      <c r="G2439" t="s">
        <v>8223</v>
      </c>
      <c r="H2439" t="s">
        <v>8245</v>
      </c>
      <c r="I2439" s="8">
        <v>1426615200</v>
      </c>
      <c r="J2439">
        <v>1422400188</v>
      </c>
      <c r="K2439" t="b">
        <v>0</v>
      </c>
      <c r="L2439" s="10">
        <v>0</v>
      </c>
      <c r="M2439" t="b">
        <v>0</v>
      </c>
      <c r="N2439" t="s">
        <v>8282</v>
      </c>
      <c r="O2439" s="11">
        <f t="shared" si="156"/>
        <v>0</v>
      </c>
      <c r="P2439" s="12" t="str">
        <f t="shared" si="157"/>
        <v>No Backers</v>
      </c>
      <c r="Q2439" s="14" t="s">
        <v>8333</v>
      </c>
      <c r="R2439" t="s">
        <v>8334</v>
      </c>
      <c r="S2439" s="17">
        <f t="shared" si="158"/>
        <v>42031.965138888889</v>
      </c>
      <c r="T2439" s="17">
        <f t="shared" si="159"/>
        <v>42080.75</v>
      </c>
      <c r="U2439">
        <f>MONTH(Table1[[#This Row],[Launched]])</f>
        <v>1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8220</v>
      </c>
      <c r="G2440" t="s">
        <v>8223</v>
      </c>
      <c r="H2440" t="s">
        <v>8245</v>
      </c>
      <c r="I2440" s="8">
        <v>1449529062</v>
      </c>
      <c r="J2440">
        <v>1444341462</v>
      </c>
      <c r="K2440" t="b">
        <v>0</v>
      </c>
      <c r="L2440" s="10">
        <v>1</v>
      </c>
      <c r="M2440" t="b">
        <v>0</v>
      </c>
      <c r="N2440" t="s">
        <v>8282</v>
      </c>
      <c r="O2440" s="11">
        <f t="shared" si="156"/>
        <v>0</v>
      </c>
      <c r="P2440" s="12">
        <f t="shared" si="157"/>
        <v>50</v>
      </c>
      <c r="Q2440" s="14" t="s">
        <v>8333</v>
      </c>
      <c r="R2440" t="s">
        <v>8334</v>
      </c>
      <c r="S2440" s="17">
        <f t="shared" si="158"/>
        <v>42285.91506944444</v>
      </c>
      <c r="T2440" s="17">
        <f t="shared" si="159"/>
        <v>42345.956736111111</v>
      </c>
      <c r="U2440">
        <f>MONTH(Table1[[#This Row],[Launched]])</f>
        <v>10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8220</v>
      </c>
      <c r="G2441" t="s">
        <v>8223</v>
      </c>
      <c r="H2441" t="s">
        <v>8245</v>
      </c>
      <c r="I2441" s="8">
        <v>1445197129</v>
      </c>
      <c r="J2441">
        <v>1442605129</v>
      </c>
      <c r="K2441" t="b">
        <v>0</v>
      </c>
      <c r="L2441" s="10">
        <v>0</v>
      </c>
      <c r="M2441" t="b">
        <v>0</v>
      </c>
      <c r="N2441" t="s">
        <v>8282</v>
      </c>
      <c r="O2441" s="11">
        <f t="shared" si="156"/>
        <v>0</v>
      </c>
      <c r="P2441" s="12" t="str">
        <f t="shared" si="157"/>
        <v>No Backers</v>
      </c>
      <c r="Q2441" s="14" t="s">
        <v>8333</v>
      </c>
      <c r="R2441" t="s">
        <v>8334</v>
      </c>
      <c r="S2441" s="17">
        <f t="shared" si="158"/>
        <v>42265.818622685183</v>
      </c>
      <c r="T2441" s="17">
        <f t="shared" si="159"/>
        <v>42295.818622685183</v>
      </c>
      <c r="U2441">
        <f>MONTH(Table1[[#This Row],[Launched]])</f>
        <v>9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8220</v>
      </c>
      <c r="G2442" t="s">
        <v>8241</v>
      </c>
      <c r="H2442" t="s">
        <v>8248</v>
      </c>
      <c r="I2442" s="8">
        <v>1455399313</v>
      </c>
      <c r="J2442">
        <v>1452807313</v>
      </c>
      <c r="K2442" t="b">
        <v>0</v>
      </c>
      <c r="L2442" s="10">
        <v>2</v>
      </c>
      <c r="M2442" t="b">
        <v>0</v>
      </c>
      <c r="N2442" t="s">
        <v>8282</v>
      </c>
      <c r="O2442" s="11">
        <f t="shared" si="156"/>
        <v>0</v>
      </c>
      <c r="P2442" s="12">
        <f t="shared" si="157"/>
        <v>5</v>
      </c>
      <c r="Q2442" s="14" t="s">
        <v>8333</v>
      </c>
      <c r="R2442" t="s">
        <v>8334</v>
      </c>
      <c r="S2442" s="17">
        <f t="shared" si="158"/>
        <v>42383.899456018517</v>
      </c>
      <c r="T2442" s="17">
        <f t="shared" si="159"/>
        <v>42413.899456018517</v>
      </c>
      <c r="U2442">
        <f>MONTH(Table1[[#This Row],[Launched]])</f>
        <v>1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 s="8">
        <v>1437627540</v>
      </c>
      <c r="J2443">
        <v>1435806054</v>
      </c>
      <c r="K2443" t="b">
        <v>0</v>
      </c>
      <c r="L2443" s="10">
        <v>109</v>
      </c>
      <c r="M2443" t="b">
        <v>1</v>
      </c>
      <c r="N2443" t="s">
        <v>8296</v>
      </c>
      <c r="O2443" s="11">
        <f t="shared" si="156"/>
        <v>108</v>
      </c>
      <c r="P2443" s="12">
        <f t="shared" si="157"/>
        <v>74</v>
      </c>
      <c r="Q2443" s="14" t="s">
        <v>8333</v>
      </c>
      <c r="R2443" t="s">
        <v>8349</v>
      </c>
      <c r="S2443" s="17">
        <f t="shared" si="158"/>
        <v>42187.125625000001</v>
      </c>
      <c r="T2443" s="17">
        <f t="shared" si="159"/>
        <v>42208.207638888889</v>
      </c>
      <c r="U2443">
        <f>MONTH(Table1[[#This Row],[Launched]])</f>
        <v>7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 s="8">
        <v>1426777228</v>
      </c>
      <c r="J2444">
        <v>1424188828</v>
      </c>
      <c r="K2444" t="b">
        <v>0</v>
      </c>
      <c r="L2444" s="10">
        <v>372</v>
      </c>
      <c r="M2444" t="b">
        <v>1</v>
      </c>
      <c r="N2444" t="s">
        <v>8296</v>
      </c>
      <c r="O2444" s="11">
        <f t="shared" si="156"/>
        <v>126</v>
      </c>
      <c r="P2444" s="12">
        <f t="shared" si="157"/>
        <v>81</v>
      </c>
      <c r="Q2444" s="14" t="s">
        <v>8333</v>
      </c>
      <c r="R2444" t="s">
        <v>8349</v>
      </c>
      <c r="S2444" s="17">
        <f t="shared" si="158"/>
        <v>42052.666990740734</v>
      </c>
      <c r="T2444" s="17">
        <f t="shared" si="159"/>
        <v>42082.625324074077</v>
      </c>
      <c r="U2444">
        <f>MONTH(Table1[[#This Row],[Launched]])</f>
        <v>2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 s="8">
        <v>1408114822</v>
      </c>
      <c r="J2445">
        <v>1405522822</v>
      </c>
      <c r="K2445" t="b">
        <v>0</v>
      </c>
      <c r="L2445" s="10">
        <v>311</v>
      </c>
      <c r="M2445" t="b">
        <v>1</v>
      </c>
      <c r="N2445" t="s">
        <v>8296</v>
      </c>
      <c r="O2445" s="11">
        <f t="shared" si="156"/>
        <v>203</v>
      </c>
      <c r="P2445" s="12">
        <f t="shared" si="157"/>
        <v>130</v>
      </c>
      <c r="Q2445" s="14" t="s">
        <v>8333</v>
      </c>
      <c r="R2445" t="s">
        <v>8349</v>
      </c>
      <c r="S2445" s="17">
        <f t="shared" si="158"/>
        <v>41836.625254629631</v>
      </c>
      <c r="T2445" s="17">
        <f t="shared" si="159"/>
        <v>41866.625254629631</v>
      </c>
      <c r="U2445">
        <f>MONTH(Table1[[#This Row],[Launched]])</f>
        <v>7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 s="8">
        <v>1464199591</v>
      </c>
      <c r="J2446">
        <v>1461607591</v>
      </c>
      <c r="K2446" t="b">
        <v>0</v>
      </c>
      <c r="L2446" s="10">
        <v>61</v>
      </c>
      <c r="M2446" t="b">
        <v>1</v>
      </c>
      <c r="N2446" t="s">
        <v>8296</v>
      </c>
      <c r="O2446" s="11">
        <f t="shared" si="156"/>
        <v>109</v>
      </c>
      <c r="P2446" s="12">
        <f t="shared" si="157"/>
        <v>53</v>
      </c>
      <c r="Q2446" s="14" t="s">
        <v>8333</v>
      </c>
      <c r="R2446" t="s">
        <v>8349</v>
      </c>
      <c r="S2446" s="17">
        <f t="shared" si="158"/>
        <v>42485.754525462966</v>
      </c>
      <c r="T2446" s="17">
        <f t="shared" si="159"/>
        <v>42515.754525462966</v>
      </c>
      <c r="U2446">
        <f>MONTH(Table1[[#This Row],[Launched]])</f>
        <v>4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 s="8">
        <v>1443242021</v>
      </c>
      <c r="J2447">
        <v>1440650021</v>
      </c>
      <c r="K2447" t="b">
        <v>0</v>
      </c>
      <c r="L2447" s="10">
        <v>115</v>
      </c>
      <c r="M2447" t="b">
        <v>1</v>
      </c>
      <c r="N2447" t="s">
        <v>8296</v>
      </c>
      <c r="O2447" s="11">
        <f t="shared" si="156"/>
        <v>173</v>
      </c>
      <c r="P2447" s="12">
        <f t="shared" si="157"/>
        <v>75</v>
      </c>
      <c r="Q2447" s="14" t="s">
        <v>8333</v>
      </c>
      <c r="R2447" t="s">
        <v>8349</v>
      </c>
      <c r="S2447" s="17">
        <f t="shared" si="158"/>
        <v>42243.190057870372</v>
      </c>
      <c r="T2447" s="17">
        <f t="shared" si="159"/>
        <v>42273.190057870372</v>
      </c>
      <c r="U2447">
        <f>MONTH(Table1[[#This Row],[Launched]])</f>
        <v>8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 s="8">
        <v>1480174071</v>
      </c>
      <c r="J2448">
        <v>1477578471</v>
      </c>
      <c r="K2448" t="b">
        <v>0</v>
      </c>
      <c r="L2448" s="10">
        <v>111</v>
      </c>
      <c r="M2448" t="b">
        <v>1</v>
      </c>
      <c r="N2448" t="s">
        <v>8296</v>
      </c>
      <c r="O2448" s="11">
        <f t="shared" si="156"/>
        <v>168</v>
      </c>
      <c r="P2448" s="12">
        <f t="shared" si="157"/>
        <v>76</v>
      </c>
      <c r="Q2448" s="14" t="s">
        <v>8333</v>
      </c>
      <c r="R2448" t="s">
        <v>8349</v>
      </c>
      <c r="S2448" s="17">
        <f t="shared" si="158"/>
        <v>42670.602673611109</v>
      </c>
      <c r="T2448" s="17">
        <f t="shared" si="159"/>
        <v>42700.64434027778</v>
      </c>
      <c r="U2448">
        <f>MONTH(Table1[[#This Row],[Launched]])</f>
        <v>10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 s="8">
        <v>1478923200</v>
      </c>
      <c r="J2449">
        <v>1476184593</v>
      </c>
      <c r="K2449" t="b">
        <v>0</v>
      </c>
      <c r="L2449" s="10">
        <v>337</v>
      </c>
      <c r="M2449" t="b">
        <v>1</v>
      </c>
      <c r="N2449" t="s">
        <v>8296</v>
      </c>
      <c r="O2449" s="11">
        <f t="shared" si="156"/>
        <v>427</v>
      </c>
      <c r="P2449" s="12">
        <f t="shared" si="157"/>
        <v>32</v>
      </c>
      <c r="Q2449" s="14" t="s">
        <v>8333</v>
      </c>
      <c r="R2449" t="s">
        <v>8349</v>
      </c>
      <c r="S2449" s="17">
        <f t="shared" si="158"/>
        <v>42654.469826388886</v>
      </c>
      <c r="T2449" s="17">
        <f t="shared" si="159"/>
        <v>42686.166666666672</v>
      </c>
      <c r="U2449">
        <f>MONTH(Table1[[#This Row],[Launched]])</f>
        <v>10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8218</v>
      </c>
      <c r="G2450" t="s">
        <v>8223</v>
      </c>
      <c r="H2450" t="s">
        <v>8245</v>
      </c>
      <c r="I2450" s="8">
        <v>1472621760</v>
      </c>
      <c r="J2450">
        <v>1472110513</v>
      </c>
      <c r="K2450" t="b">
        <v>0</v>
      </c>
      <c r="L2450" s="10">
        <v>9</v>
      </c>
      <c r="M2450" t="b">
        <v>1</v>
      </c>
      <c r="N2450" t="s">
        <v>8296</v>
      </c>
      <c r="O2450" s="11">
        <f t="shared" si="156"/>
        <v>108</v>
      </c>
      <c r="P2450" s="12">
        <f t="shared" si="157"/>
        <v>48</v>
      </c>
      <c r="Q2450" s="14" t="s">
        <v>8333</v>
      </c>
      <c r="R2450" t="s">
        <v>8349</v>
      </c>
      <c r="S2450" s="17">
        <f t="shared" si="158"/>
        <v>42607.316122685181</v>
      </c>
      <c r="T2450" s="17">
        <f t="shared" si="159"/>
        <v>42613.233333333337</v>
      </c>
      <c r="U2450">
        <f>MONTH(Table1[[#This Row],[Launched]])</f>
        <v>8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 s="8">
        <v>1417321515</v>
      </c>
      <c r="J2451">
        <v>1414725915</v>
      </c>
      <c r="K2451" t="b">
        <v>0</v>
      </c>
      <c r="L2451" s="10">
        <v>120</v>
      </c>
      <c r="M2451" t="b">
        <v>1</v>
      </c>
      <c r="N2451" t="s">
        <v>8296</v>
      </c>
      <c r="O2451" s="11">
        <f t="shared" si="156"/>
        <v>108</v>
      </c>
      <c r="P2451" s="12">
        <f t="shared" si="157"/>
        <v>90</v>
      </c>
      <c r="Q2451" s="14" t="s">
        <v>8333</v>
      </c>
      <c r="R2451" t="s">
        <v>8349</v>
      </c>
      <c r="S2451" s="17">
        <f t="shared" si="158"/>
        <v>41943.142534722225</v>
      </c>
      <c r="T2451" s="17">
        <f t="shared" si="159"/>
        <v>41973.184201388889</v>
      </c>
      <c r="U2451">
        <f>MONTH(Table1[[#This Row],[Launched]])</f>
        <v>10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 s="8">
        <v>1414465860</v>
      </c>
      <c r="J2452">
        <v>1411177456</v>
      </c>
      <c r="K2452" t="b">
        <v>0</v>
      </c>
      <c r="L2452" s="10">
        <v>102</v>
      </c>
      <c r="M2452" t="b">
        <v>1</v>
      </c>
      <c r="N2452" t="s">
        <v>8296</v>
      </c>
      <c r="O2452" s="11">
        <f t="shared" si="156"/>
        <v>102</v>
      </c>
      <c r="P2452" s="12">
        <f t="shared" si="157"/>
        <v>149</v>
      </c>
      <c r="Q2452" s="14" t="s">
        <v>8333</v>
      </c>
      <c r="R2452" t="s">
        <v>8349</v>
      </c>
      <c r="S2452" s="17">
        <f t="shared" si="158"/>
        <v>41902.07240740741</v>
      </c>
      <c r="T2452" s="17">
        <f t="shared" si="159"/>
        <v>41940.132638888892</v>
      </c>
      <c r="U2452">
        <f>MONTH(Table1[[#This Row],[Launched]])</f>
        <v>9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 s="8">
        <v>1488750490</v>
      </c>
      <c r="J2453">
        <v>1487022490</v>
      </c>
      <c r="K2453" t="b">
        <v>0</v>
      </c>
      <c r="L2453" s="10">
        <v>186</v>
      </c>
      <c r="M2453" t="b">
        <v>1</v>
      </c>
      <c r="N2453" t="s">
        <v>8296</v>
      </c>
      <c r="O2453" s="11">
        <f t="shared" si="156"/>
        <v>115</v>
      </c>
      <c r="P2453" s="12">
        <f t="shared" si="157"/>
        <v>62</v>
      </c>
      <c r="Q2453" s="14" t="s">
        <v>8333</v>
      </c>
      <c r="R2453" t="s">
        <v>8349</v>
      </c>
      <c r="S2453" s="17">
        <f t="shared" si="158"/>
        <v>42779.908449074079</v>
      </c>
      <c r="T2453" s="17">
        <f t="shared" si="159"/>
        <v>42799.908449074079</v>
      </c>
      <c r="U2453">
        <f>MONTH(Table1[[#This Row],[Launched]])</f>
        <v>2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8218</v>
      </c>
      <c r="G2454" t="s">
        <v>8223</v>
      </c>
      <c r="H2454" t="s">
        <v>8245</v>
      </c>
      <c r="I2454" s="8">
        <v>1451430000</v>
      </c>
      <c r="J2454">
        <v>1448914500</v>
      </c>
      <c r="K2454" t="b">
        <v>0</v>
      </c>
      <c r="L2454" s="10">
        <v>15</v>
      </c>
      <c r="M2454" t="b">
        <v>1</v>
      </c>
      <c r="N2454" t="s">
        <v>8296</v>
      </c>
      <c r="O2454" s="11">
        <f t="shared" si="156"/>
        <v>134</v>
      </c>
      <c r="P2454" s="12">
        <f t="shared" si="157"/>
        <v>53</v>
      </c>
      <c r="Q2454" s="14" t="s">
        <v>8333</v>
      </c>
      <c r="R2454" t="s">
        <v>8349</v>
      </c>
      <c r="S2454" s="17">
        <f t="shared" si="158"/>
        <v>42338.84375</v>
      </c>
      <c r="T2454" s="17">
        <f t="shared" si="159"/>
        <v>42367.958333333328</v>
      </c>
      <c r="U2454">
        <f>MONTH(Table1[[#This Row],[Launched]])</f>
        <v>11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 s="8">
        <v>1486053409</v>
      </c>
      <c r="J2455">
        <v>1483461409</v>
      </c>
      <c r="K2455" t="b">
        <v>0</v>
      </c>
      <c r="L2455" s="10">
        <v>67</v>
      </c>
      <c r="M2455" t="b">
        <v>1</v>
      </c>
      <c r="N2455" t="s">
        <v>8296</v>
      </c>
      <c r="O2455" s="11">
        <f t="shared" si="156"/>
        <v>155</v>
      </c>
      <c r="P2455" s="12">
        <f t="shared" si="157"/>
        <v>69</v>
      </c>
      <c r="Q2455" s="14" t="s">
        <v>8333</v>
      </c>
      <c r="R2455" t="s">
        <v>8349</v>
      </c>
      <c r="S2455" s="17">
        <f t="shared" si="158"/>
        <v>42738.692233796297</v>
      </c>
      <c r="T2455" s="17">
        <f t="shared" si="159"/>
        <v>42768.692233796297</v>
      </c>
      <c r="U2455">
        <f>MONTH(Table1[[#This Row],[Launched]])</f>
        <v>1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 s="8">
        <v>1489207808</v>
      </c>
      <c r="J2456">
        <v>1486183808</v>
      </c>
      <c r="K2456" t="b">
        <v>0</v>
      </c>
      <c r="L2456" s="10">
        <v>130</v>
      </c>
      <c r="M2456" t="b">
        <v>1</v>
      </c>
      <c r="N2456" t="s">
        <v>8296</v>
      </c>
      <c r="O2456" s="11">
        <f t="shared" si="156"/>
        <v>101</v>
      </c>
      <c r="P2456" s="12">
        <f t="shared" si="157"/>
        <v>272</v>
      </c>
      <c r="Q2456" s="14" t="s">
        <v>8333</v>
      </c>
      <c r="R2456" t="s">
        <v>8349</v>
      </c>
      <c r="S2456" s="17">
        <f t="shared" si="158"/>
        <v>42770.201481481476</v>
      </c>
      <c r="T2456" s="17">
        <f t="shared" si="159"/>
        <v>42805.201481481476</v>
      </c>
      <c r="U2456">
        <f>MONTH(Table1[[#This Row],[Launched]])</f>
        <v>2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8218</v>
      </c>
      <c r="G2457" t="s">
        <v>8223</v>
      </c>
      <c r="H2457" t="s">
        <v>8245</v>
      </c>
      <c r="I2457" s="8">
        <v>1461177950</v>
      </c>
      <c r="J2457">
        <v>1458758750</v>
      </c>
      <c r="K2457" t="b">
        <v>0</v>
      </c>
      <c r="L2457" s="10">
        <v>16</v>
      </c>
      <c r="M2457" t="b">
        <v>1</v>
      </c>
      <c r="N2457" t="s">
        <v>8296</v>
      </c>
      <c r="O2457" s="11">
        <f t="shared" si="156"/>
        <v>182</v>
      </c>
      <c r="P2457" s="12">
        <f t="shared" si="157"/>
        <v>34</v>
      </c>
      <c r="Q2457" s="14" t="s">
        <v>8333</v>
      </c>
      <c r="R2457" t="s">
        <v>8349</v>
      </c>
      <c r="S2457" s="17">
        <f t="shared" si="158"/>
        <v>42452.781828703708</v>
      </c>
      <c r="T2457" s="17">
        <f t="shared" si="159"/>
        <v>42480.781828703708</v>
      </c>
      <c r="U2457">
        <f>MONTH(Table1[[#This Row],[Launched]])</f>
        <v>3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 s="8">
        <v>1488063839</v>
      </c>
      <c r="J2458">
        <v>1485471839</v>
      </c>
      <c r="K2458" t="b">
        <v>0</v>
      </c>
      <c r="L2458" s="10">
        <v>67</v>
      </c>
      <c r="M2458" t="b">
        <v>1</v>
      </c>
      <c r="N2458" t="s">
        <v>8296</v>
      </c>
      <c r="O2458" s="11">
        <f t="shared" si="156"/>
        <v>181</v>
      </c>
      <c r="P2458" s="12">
        <f t="shared" si="157"/>
        <v>40</v>
      </c>
      <c r="Q2458" s="14" t="s">
        <v>8333</v>
      </c>
      <c r="R2458" t="s">
        <v>8349</v>
      </c>
      <c r="S2458" s="17">
        <f t="shared" si="158"/>
        <v>42761.961099537039</v>
      </c>
      <c r="T2458" s="17">
        <f t="shared" si="159"/>
        <v>42791.961099537039</v>
      </c>
      <c r="U2458">
        <f>MONTH(Table1[[#This Row],[Launched]])</f>
        <v>1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 s="8">
        <v>1458826056</v>
      </c>
      <c r="J2459">
        <v>1456237656</v>
      </c>
      <c r="K2459" t="b">
        <v>0</v>
      </c>
      <c r="L2459" s="10">
        <v>124</v>
      </c>
      <c r="M2459" t="b">
        <v>1</v>
      </c>
      <c r="N2459" t="s">
        <v>8296</v>
      </c>
      <c r="O2459" s="11">
        <f t="shared" si="156"/>
        <v>102</v>
      </c>
      <c r="P2459" s="12">
        <f t="shared" si="157"/>
        <v>190</v>
      </c>
      <c r="Q2459" s="14" t="s">
        <v>8333</v>
      </c>
      <c r="R2459" t="s">
        <v>8349</v>
      </c>
      <c r="S2459" s="17">
        <f t="shared" si="158"/>
        <v>42423.602500000001</v>
      </c>
      <c r="T2459" s="17">
        <f t="shared" si="159"/>
        <v>42453.560833333337</v>
      </c>
      <c r="U2459">
        <f>MONTH(Table1[[#This Row],[Launched]])</f>
        <v>2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 s="8">
        <v>1465498800</v>
      </c>
      <c r="J2460">
        <v>1462481718</v>
      </c>
      <c r="K2460" t="b">
        <v>0</v>
      </c>
      <c r="L2460" s="10">
        <v>80</v>
      </c>
      <c r="M2460" t="b">
        <v>1</v>
      </c>
      <c r="N2460" t="s">
        <v>8296</v>
      </c>
      <c r="O2460" s="11">
        <f t="shared" si="156"/>
        <v>110</v>
      </c>
      <c r="P2460" s="12">
        <f t="shared" si="157"/>
        <v>69</v>
      </c>
      <c r="Q2460" s="14" t="s">
        <v>8333</v>
      </c>
      <c r="R2460" t="s">
        <v>8349</v>
      </c>
      <c r="S2460" s="17">
        <f t="shared" si="158"/>
        <v>42495.871736111112</v>
      </c>
      <c r="T2460" s="17">
        <f t="shared" si="159"/>
        <v>42530.791666666672</v>
      </c>
      <c r="U2460">
        <f>MONTH(Table1[[#This Row],[Launched]])</f>
        <v>5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 s="8">
        <v>1458742685</v>
      </c>
      <c r="J2461">
        <v>1454858285</v>
      </c>
      <c r="K2461" t="b">
        <v>0</v>
      </c>
      <c r="L2461" s="10">
        <v>282</v>
      </c>
      <c r="M2461" t="b">
        <v>1</v>
      </c>
      <c r="N2461" t="s">
        <v>8296</v>
      </c>
      <c r="O2461" s="11">
        <f t="shared" si="156"/>
        <v>102</v>
      </c>
      <c r="P2461" s="12">
        <f t="shared" si="157"/>
        <v>109</v>
      </c>
      <c r="Q2461" s="14" t="s">
        <v>8333</v>
      </c>
      <c r="R2461" t="s">
        <v>8349</v>
      </c>
      <c r="S2461" s="17">
        <f t="shared" si="158"/>
        <v>42407.637557870374</v>
      </c>
      <c r="T2461" s="17">
        <f t="shared" si="159"/>
        <v>42452.595891203702</v>
      </c>
      <c r="U2461">
        <f>MONTH(Table1[[#This Row],[Launched]])</f>
        <v>2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 s="8">
        <v>1483417020</v>
      </c>
      <c r="J2462">
        <v>1480480167</v>
      </c>
      <c r="K2462" t="b">
        <v>0</v>
      </c>
      <c r="L2462" s="10">
        <v>68</v>
      </c>
      <c r="M2462" t="b">
        <v>1</v>
      </c>
      <c r="N2462" t="s">
        <v>8296</v>
      </c>
      <c r="O2462" s="11">
        <f t="shared" si="156"/>
        <v>101</v>
      </c>
      <c r="P2462" s="12">
        <f t="shared" si="157"/>
        <v>126</v>
      </c>
      <c r="Q2462" s="14" t="s">
        <v>8333</v>
      </c>
      <c r="R2462" t="s">
        <v>8349</v>
      </c>
      <c r="S2462" s="17">
        <f t="shared" si="158"/>
        <v>42704.187118055561</v>
      </c>
      <c r="T2462" s="17">
        <f t="shared" si="159"/>
        <v>42738.178472222222</v>
      </c>
      <c r="U2462">
        <f>MONTH(Table1[[#This Row],[Launched]])</f>
        <v>11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 s="8">
        <v>1317438000</v>
      </c>
      <c r="J2463">
        <v>1314577097</v>
      </c>
      <c r="K2463" t="b">
        <v>0</v>
      </c>
      <c r="L2463" s="10">
        <v>86</v>
      </c>
      <c r="M2463" t="b">
        <v>1</v>
      </c>
      <c r="N2463" t="s">
        <v>8277</v>
      </c>
      <c r="O2463" s="11">
        <f t="shared" si="156"/>
        <v>104</v>
      </c>
      <c r="P2463" s="12">
        <f t="shared" si="157"/>
        <v>91</v>
      </c>
      <c r="Q2463" s="14" t="s">
        <v>8322</v>
      </c>
      <c r="R2463" t="s">
        <v>8326</v>
      </c>
      <c r="S2463" s="17">
        <f t="shared" si="158"/>
        <v>40784.012696759259</v>
      </c>
      <c r="T2463" s="17">
        <f t="shared" si="159"/>
        <v>40817.125</v>
      </c>
      <c r="U2463">
        <f>MONTH(Table1[[#This Row],[Launched]])</f>
        <v>8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 s="8">
        <v>1342672096</v>
      </c>
      <c r="J2464">
        <v>1340944096</v>
      </c>
      <c r="K2464" t="b">
        <v>0</v>
      </c>
      <c r="L2464" s="10">
        <v>115</v>
      </c>
      <c r="M2464" t="b">
        <v>1</v>
      </c>
      <c r="N2464" t="s">
        <v>8277</v>
      </c>
      <c r="O2464" s="11">
        <f t="shared" si="156"/>
        <v>111</v>
      </c>
      <c r="P2464" s="12">
        <f t="shared" si="157"/>
        <v>29</v>
      </c>
      <c r="Q2464" s="14" t="s">
        <v>8322</v>
      </c>
      <c r="R2464" t="s">
        <v>8326</v>
      </c>
      <c r="S2464" s="17">
        <f t="shared" si="158"/>
        <v>41089.186296296299</v>
      </c>
      <c r="T2464" s="17">
        <f t="shared" si="159"/>
        <v>41109.186296296299</v>
      </c>
      <c r="U2464">
        <f>MONTH(Table1[[#This Row],[Launched]])</f>
        <v>6</v>
      </c>
    </row>
    <row r="2465" spans="1:21" ht="15.6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 s="8">
        <v>1366138800</v>
      </c>
      <c r="J2465">
        <v>1362710425</v>
      </c>
      <c r="K2465" t="b">
        <v>0</v>
      </c>
      <c r="L2465" s="10">
        <v>75</v>
      </c>
      <c r="M2465" t="b">
        <v>1</v>
      </c>
      <c r="N2465" t="s">
        <v>8277</v>
      </c>
      <c r="O2465" s="11">
        <f t="shared" si="156"/>
        <v>116</v>
      </c>
      <c r="P2465" s="12">
        <f t="shared" si="157"/>
        <v>31</v>
      </c>
      <c r="Q2465" s="14" t="s">
        <v>8322</v>
      </c>
      <c r="R2465" t="s">
        <v>8326</v>
      </c>
      <c r="S2465" s="17">
        <f t="shared" si="158"/>
        <v>41341.111400462964</v>
      </c>
      <c r="T2465" s="17">
        <f t="shared" si="159"/>
        <v>41380.791666666664</v>
      </c>
      <c r="U2465">
        <f>MONTH(Table1[[#This Row],[Launched]])</f>
        <v>3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 s="8">
        <v>1443641340</v>
      </c>
      <c r="J2466">
        <v>1441143397</v>
      </c>
      <c r="K2466" t="b">
        <v>0</v>
      </c>
      <c r="L2466" s="10">
        <v>43</v>
      </c>
      <c r="M2466" t="b">
        <v>1</v>
      </c>
      <c r="N2466" t="s">
        <v>8277</v>
      </c>
      <c r="O2466" s="11">
        <f t="shared" si="156"/>
        <v>111</v>
      </c>
      <c r="P2466" s="12">
        <f t="shared" si="157"/>
        <v>52</v>
      </c>
      <c r="Q2466" s="14" t="s">
        <v>8322</v>
      </c>
      <c r="R2466" t="s">
        <v>8326</v>
      </c>
      <c r="S2466" s="17">
        <f t="shared" si="158"/>
        <v>42248.90042824074</v>
      </c>
      <c r="T2466" s="17">
        <f t="shared" si="159"/>
        <v>42277.811805555553</v>
      </c>
      <c r="U2466">
        <f>MONTH(Table1[[#This Row],[Launched]])</f>
        <v>9</v>
      </c>
    </row>
    <row r="2467" spans="1:21" ht="43.2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8218</v>
      </c>
      <c r="G2467" t="s">
        <v>8223</v>
      </c>
      <c r="H2467" t="s">
        <v>8245</v>
      </c>
      <c r="I2467" s="8">
        <v>1348420548</v>
      </c>
      <c r="J2467">
        <v>1345828548</v>
      </c>
      <c r="K2467" t="b">
        <v>0</v>
      </c>
      <c r="L2467" s="10">
        <v>48</v>
      </c>
      <c r="M2467" t="b">
        <v>1</v>
      </c>
      <c r="N2467" t="s">
        <v>8277</v>
      </c>
      <c r="O2467" s="11">
        <f t="shared" si="156"/>
        <v>180</v>
      </c>
      <c r="P2467" s="12">
        <f t="shared" si="157"/>
        <v>26</v>
      </c>
      <c r="Q2467" s="14" t="s">
        <v>8322</v>
      </c>
      <c r="R2467" t="s">
        <v>8326</v>
      </c>
      <c r="S2467" s="17">
        <f t="shared" si="158"/>
        <v>41145.719305555554</v>
      </c>
      <c r="T2467" s="17">
        <f t="shared" si="159"/>
        <v>41175.719305555554</v>
      </c>
      <c r="U2467">
        <f>MONTH(Table1[[#This Row],[Launched]])</f>
        <v>8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 s="8">
        <v>1368066453</v>
      </c>
      <c r="J2468">
        <v>1365474453</v>
      </c>
      <c r="K2468" t="b">
        <v>0</v>
      </c>
      <c r="L2468" s="10">
        <v>52</v>
      </c>
      <c r="M2468" t="b">
        <v>1</v>
      </c>
      <c r="N2468" t="s">
        <v>8277</v>
      </c>
      <c r="O2468" s="11">
        <f t="shared" si="156"/>
        <v>100</v>
      </c>
      <c r="P2468" s="12">
        <f t="shared" si="157"/>
        <v>48</v>
      </c>
      <c r="Q2468" s="14" t="s">
        <v>8322</v>
      </c>
      <c r="R2468" t="s">
        <v>8326</v>
      </c>
      <c r="S2468" s="17">
        <f t="shared" si="158"/>
        <v>41373.102465277778</v>
      </c>
      <c r="T2468" s="17">
        <f t="shared" si="159"/>
        <v>41403.102465277778</v>
      </c>
      <c r="U2468">
        <f>MONTH(Table1[[#This Row],[Launched]])</f>
        <v>4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 s="8">
        <v>1336669200</v>
      </c>
      <c r="J2469">
        <v>1335473931</v>
      </c>
      <c r="K2469" t="b">
        <v>0</v>
      </c>
      <c r="L2469" s="10">
        <v>43</v>
      </c>
      <c r="M2469" t="b">
        <v>1</v>
      </c>
      <c r="N2469" t="s">
        <v>8277</v>
      </c>
      <c r="O2469" s="11">
        <f t="shared" si="156"/>
        <v>119</v>
      </c>
      <c r="P2469" s="12">
        <f t="shared" si="157"/>
        <v>28</v>
      </c>
      <c r="Q2469" s="14" t="s">
        <v>8322</v>
      </c>
      <c r="R2469" t="s">
        <v>8326</v>
      </c>
      <c r="S2469" s="17">
        <f t="shared" si="158"/>
        <v>41025.874201388891</v>
      </c>
      <c r="T2469" s="17">
        <f t="shared" si="159"/>
        <v>41039.708333333336</v>
      </c>
      <c r="U2469">
        <f>MONTH(Table1[[#This Row],[Launched]])</f>
        <v>4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 s="8">
        <v>1351400400</v>
      </c>
      <c r="J2470">
        <v>1348285321</v>
      </c>
      <c r="K2470" t="b">
        <v>0</v>
      </c>
      <c r="L2470" s="10">
        <v>58</v>
      </c>
      <c r="M2470" t="b">
        <v>1</v>
      </c>
      <c r="N2470" t="s">
        <v>8277</v>
      </c>
      <c r="O2470" s="11">
        <f t="shared" si="156"/>
        <v>107</v>
      </c>
      <c r="P2470" s="12">
        <f t="shared" si="157"/>
        <v>37</v>
      </c>
      <c r="Q2470" s="14" t="s">
        <v>8322</v>
      </c>
      <c r="R2470" t="s">
        <v>8326</v>
      </c>
      <c r="S2470" s="17">
        <f t="shared" si="158"/>
        <v>41174.154178240737</v>
      </c>
      <c r="T2470" s="17">
        <f t="shared" si="159"/>
        <v>41210.208333333336</v>
      </c>
      <c r="U2470">
        <f>MONTH(Table1[[#This Row],[Launched]])</f>
        <v>9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 s="8">
        <v>1297160329</v>
      </c>
      <c r="J2471">
        <v>1295000329</v>
      </c>
      <c r="K2471" t="b">
        <v>0</v>
      </c>
      <c r="L2471" s="10">
        <v>47</v>
      </c>
      <c r="M2471" t="b">
        <v>1</v>
      </c>
      <c r="N2471" t="s">
        <v>8277</v>
      </c>
      <c r="O2471" s="11">
        <f t="shared" si="156"/>
        <v>114</v>
      </c>
      <c r="P2471" s="12">
        <f t="shared" si="157"/>
        <v>29</v>
      </c>
      <c r="Q2471" s="14" t="s">
        <v>8322</v>
      </c>
      <c r="R2471" t="s">
        <v>8326</v>
      </c>
      <c r="S2471" s="17">
        <f t="shared" si="158"/>
        <v>40557.429733796293</v>
      </c>
      <c r="T2471" s="17">
        <f t="shared" si="159"/>
        <v>40582.429733796293</v>
      </c>
      <c r="U2471">
        <f>MONTH(Table1[[#This Row],[Launched]])</f>
        <v>1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 s="8">
        <v>1337824055</v>
      </c>
      <c r="J2472">
        <v>1335232055</v>
      </c>
      <c r="K2472" t="b">
        <v>0</v>
      </c>
      <c r="L2472" s="10">
        <v>36</v>
      </c>
      <c r="M2472" t="b">
        <v>1</v>
      </c>
      <c r="N2472" t="s">
        <v>8277</v>
      </c>
      <c r="O2472" s="11">
        <f t="shared" si="156"/>
        <v>103</v>
      </c>
      <c r="P2472" s="12">
        <f t="shared" si="157"/>
        <v>29</v>
      </c>
      <c r="Q2472" s="14" t="s">
        <v>8322</v>
      </c>
      <c r="R2472" t="s">
        <v>8326</v>
      </c>
      <c r="S2472" s="17">
        <f t="shared" si="158"/>
        <v>41023.07471064815</v>
      </c>
      <c r="T2472" s="17">
        <f t="shared" si="159"/>
        <v>41053.07471064815</v>
      </c>
      <c r="U2472">
        <f>MONTH(Table1[[#This Row],[Launched]])</f>
        <v>4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8218</v>
      </c>
      <c r="G2473" t="s">
        <v>8223</v>
      </c>
      <c r="H2473" t="s">
        <v>8245</v>
      </c>
      <c r="I2473" s="8">
        <v>1327535392</v>
      </c>
      <c r="J2473">
        <v>1324079392</v>
      </c>
      <c r="K2473" t="b">
        <v>0</v>
      </c>
      <c r="L2473" s="10">
        <v>17</v>
      </c>
      <c r="M2473" t="b">
        <v>1</v>
      </c>
      <c r="N2473" t="s">
        <v>8277</v>
      </c>
      <c r="O2473" s="11">
        <f t="shared" si="156"/>
        <v>128</v>
      </c>
      <c r="P2473" s="12">
        <f t="shared" si="157"/>
        <v>38</v>
      </c>
      <c r="Q2473" s="14" t="s">
        <v>8322</v>
      </c>
      <c r="R2473" t="s">
        <v>8326</v>
      </c>
      <c r="S2473" s="17">
        <f t="shared" si="158"/>
        <v>40893.992962962962</v>
      </c>
      <c r="T2473" s="17">
        <f t="shared" si="159"/>
        <v>40933.992962962962</v>
      </c>
      <c r="U2473">
        <f>MONTH(Table1[[#This Row],[Launched]])</f>
        <v>12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 s="8">
        <v>1283562180</v>
      </c>
      <c r="J2474">
        <v>1277433980</v>
      </c>
      <c r="K2474" t="b">
        <v>0</v>
      </c>
      <c r="L2474" s="10">
        <v>104</v>
      </c>
      <c r="M2474" t="b">
        <v>1</v>
      </c>
      <c r="N2474" t="s">
        <v>8277</v>
      </c>
      <c r="O2474" s="11">
        <f t="shared" si="156"/>
        <v>136</v>
      </c>
      <c r="P2474" s="12">
        <f t="shared" si="157"/>
        <v>98</v>
      </c>
      <c r="Q2474" s="14" t="s">
        <v>8322</v>
      </c>
      <c r="R2474" t="s">
        <v>8326</v>
      </c>
      <c r="S2474" s="17">
        <f t="shared" si="158"/>
        <v>40354.11550925926</v>
      </c>
      <c r="T2474" s="17">
        <f t="shared" si="159"/>
        <v>40425.043749999997</v>
      </c>
      <c r="U2474">
        <f>MONTH(Table1[[#This Row],[Launched]])</f>
        <v>6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 s="8">
        <v>1352573869</v>
      </c>
      <c r="J2475">
        <v>1349978269</v>
      </c>
      <c r="K2475" t="b">
        <v>0</v>
      </c>
      <c r="L2475" s="10">
        <v>47</v>
      </c>
      <c r="M2475" t="b">
        <v>1</v>
      </c>
      <c r="N2475" t="s">
        <v>8277</v>
      </c>
      <c r="O2475" s="11">
        <f t="shared" si="156"/>
        <v>100</v>
      </c>
      <c r="P2475" s="12">
        <f t="shared" si="157"/>
        <v>43</v>
      </c>
      <c r="Q2475" s="14" t="s">
        <v>8322</v>
      </c>
      <c r="R2475" t="s">
        <v>8326</v>
      </c>
      <c r="S2475" s="17">
        <f t="shared" si="158"/>
        <v>41193.748483796298</v>
      </c>
      <c r="T2475" s="17">
        <f t="shared" si="159"/>
        <v>41223.790150462963</v>
      </c>
      <c r="U2475">
        <f>MONTH(Table1[[#This Row],[Launched]])</f>
        <v>10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 s="8">
        <v>1286756176</v>
      </c>
      <c r="J2476">
        <v>1282868176</v>
      </c>
      <c r="K2476" t="b">
        <v>0</v>
      </c>
      <c r="L2476" s="10">
        <v>38</v>
      </c>
      <c r="M2476" t="b">
        <v>1</v>
      </c>
      <c r="N2476" t="s">
        <v>8277</v>
      </c>
      <c r="O2476" s="11">
        <f t="shared" si="156"/>
        <v>100</v>
      </c>
      <c r="P2476" s="12">
        <f t="shared" si="157"/>
        <v>132</v>
      </c>
      <c r="Q2476" s="14" t="s">
        <v>8322</v>
      </c>
      <c r="R2476" t="s">
        <v>8326</v>
      </c>
      <c r="S2476" s="17">
        <f t="shared" si="158"/>
        <v>40417.011296296296</v>
      </c>
      <c r="T2476" s="17">
        <f t="shared" si="159"/>
        <v>40462.011296296296</v>
      </c>
      <c r="U2476">
        <f>MONTH(Table1[[#This Row],[Launched]])</f>
        <v>8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 s="8">
        <v>1278799200</v>
      </c>
      <c r="J2477">
        <v>1273647255</v>
      </c>
      <c r="K2477" t="b">
        <v>0</v>
      </c>
      <c r="L2477" s="10">
        <v>81</v>
      </c>
      <c r="M2477" t="b">
        <v>1</v>
      </c>
      <c r="N2477" t="s">
        <v>8277</v>
      </c>
      <c r="O2477" s="11">
        <f t="shared" si="156"/>
        <v>105</v>
      </c>
      <c r="P2477" s="12">
        <f t="shared" si="157"/>
        <v>32</v>
      </c>
      <c r="Q2477" s="14" t="s">
        <v>8322</v>
      </c>
      <c r="R2477" t="s">
        <v>8326</v>
      </c>
      <c r="S2477" s="17">
        <f t="shared" si="158"/>
        <v>40310.287673611114</v>
      </c>
      <c r="T2477" s="17">
        <f t="shared" si="159"/>
        <v>40369.916666666664</v>
      </c>
      <c r="U2477">
        <f>MONTH(Table1[[#This Row],[Launched]])</f>
        <v>5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 s="8">
        <v>1415004770</v>
      </c>
      <c r="J2478">
        <v>1412149970</v>
      </c>
      <c r="K2478" t="b">
        <v>0</v>
      </c>
      <c r="L2478" s="10">
        <v>55</v>
      </c>
      <c r="M2478" t="b">
        <v>1</v>
      </c>
      <c r="N2478" t="s">
        <v>8277</v>
      </c>
      <c r="O2478" s="11">
        <f t="shared" si="156"/>
        <v>105</v>
      </c>
      <c r="P2478" s="12">
        <f t="shared" si="157"/>
        <v>61</v>
      </c>
      <c r="Q2478" s="14" t="s">
        <v>8322</v>
      </c>
      <c r="R2478" t="s">
        <v>8326</v>
      </c>
      <c r="S2478" s="17">
        <f t="shared" si="158"/>
        <v>41913.328356481477</v>
      </c>
      <c r="T2478" s="17">
        <f t="shared" si="159"/>
        <v>41946.370023148149</v>
      </c>
      <c r="U2478">
        <f>MONTH(Table1[[#This Row],[Launched]])</f>
        <v>10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8218</v>
      </c>
      <c r="G2479" t="s">
        <v>8223</v>
      </c>
      <c r="H2479" t="s">
        <v>8245</v>
      </c>
      <c r="I2479" s="8">
        <v>1344789345</v>
      </c>
      <c r="J2479">
        <v>1340901345</v>
      </c>
      <c r="K2479" t="b">
        <v>0</v>
      </c>
      <c r="L2479" s="10">
        <v>41</v>
      </c>
      <c r="M2479" t="b">
        <v>1</v>
      </c>
      <c r="N2479" t="s">
        <v>8277</v>
      </c>
      <c r="O2479" s="11">
        <f t="shared" si="156"/>
        <v>171</v>
      </c>
      <c r="P2479" s="12">
        <f t="shared" si="157"/>
        <v>31</v>
      </c>
      <c r="Q2479" s="14" t="s">
        <v>8322</v>
      </c>
      <c r="R2479" t="s">
        <v>8326</v>
      </c>
      <c r="S2479" s="17">
        <f t="shared" si="158"/>
        <v>41088.691493055558</v>
      </c>
      <c r="T2479" s="17">
        <f t="shared" si="159"/>
        <v>41133.691493055558</v>
      </c>
      <c r="U2479">
        <f>MONTH(Table1[[#This Row],[Launched]])</f>
        <v>6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 s="8">
        <v>1358117313</v>
      </c>
      <c r="J2480">
        <v>1355525313</v>
      </c>
      <c r="K2480" t="b">
        <v>0</v>
      </c>
      <c r="L2480" s="10">
        <v>79</v>
      </c>
      <c r="M2480" t="b">
        <v>1</v>
      </c>
      <c r="N2480" t="s">
        <v>8277</v>
      </c>
      <c r="O2480" s="11">
        <f t="shared" si="156"/>
        <v>128</v>
      </c>
      <c r="P2480" s="12">
        <f t="shared" si="157"/>
        <v>129</v>
      </c>
      <c r="Q2480" s="14" t="s">
        <v>8322</v>
      </c>
      <c r="R2480" t="s">
        <v>8326</v>
      </c>
      <c r="S2480" s="17">
        <f t="shared" si="158"/>
        <v>41257.950381944444</v>
      </c>
      <c r="T2480" s="17">
        <f t="shared" si="159"/>
        <v>41287.950381944444</v>
      </c>
      <c r="U2480">
        <f>MONTH(Table1[[#This Row],[Launched]])</f>
        <v>12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 s="8">
        <v>1343440800</v>
      </c>
      <c r="J2481">
        <v>1342545994</v>
      </c>
      <c r="K2481" t="b">
        <v>0</v>
      </c>
      <c r="L2481" s="10">
        <v>16</v>
      </c>
      <c r="M2481" t="b">
        <v>1</v>
      </c>
      <c r="N2481" t="s">
        <v>8277</v>
      </c>
      <c r="O2481" s="11">
        <f t="shared" si="156"/>
        <v>133</v>
      </c>
      <c r="P2481" s="12">
        <f t="shared" si="157"/>
        <v>25</v>
      </c>
      <c r="Q2481" s="14" t="s">
        <v>8322</v>
      </c>
      <c r="R2481" t="s">
        <v>8326</v>
      </c>
      <c r="S2481" s="17">
        <f t="shared" si="158"/>
        <v>41107.726782407408</v>
      </c>
      <c r="T2481" s="17">
        <f t="shared" si="159"/>
        <v>41118.083333333336</v>
      </c>
      <c r="U2481">
        <f>MONTH(Table1[[#This Row],[Launched]])</f>
        <v>7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 s="8">
        <v>1444516084</v>
      </c>
      <c r="J2482">
        <v>1439332084</v>
      </c>
      <c r="K2482" t="b">
        <v>0</v>
      </c>
      <c r="L2482" s="10">
        <v>8</v>
      </c>
      <c r="M2482" t="b">
        <v>1</v>
      </c>
      <c r="N2482" t="s">
        <v>8277</v>
      </c>
      <c r="O2482" s="11">
        <f t="shared" si="156"/>
        <v>100</v>
      </c>
      <c r="P2482" s="12">
        <f t="shared" si="157"/>
        <v>250</v>
      </c>
      <c r="Q2482" s="14" t="s">
        <v>8322</v>
      </c>
      <c r="R2482" t="s">
        <v>8326</v>
      </c>
      <c r="S2482" s="17">
        <f t="shared" si="158"/>
        <v>42227.936157407406</v>
      </c>
      <c r="T2482" s="17">
        <f t="shared" si="159"/>
        <v>42287.936157407406</v>
      </c>
      <c r="U2482">
        <f>MONTH(Table1[[#This Row],[Launched]])</f>
        <v>8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 s="8">
        <v>1335799808</v>
      </c>
      <c r="J2483">
        <v>1333207808</v>
      </c>
      <c r="K2483" t="b">
        <v>0</v>
      </c>
      <c r="L2483" s="10">
        <v>95</v>
      </c>
      <c r="M2483" t="b">
        <v>1</v>
      </c>
      <c r="N2483" t="s">
        <v>8277</v>
      </c>
      <c r="O2483" s="11">
        <f t="shared" si="156"/>
        <v>113</v>
      </c>
      <c r="P2483" s="12">
        <f t="shared" si="157"/>
        <v>48</v>
      </c>
      <c r="Q2483" s="14" t="s">
        <v>8322</v>
      </c>
      <c r="R2483" t="s">
        <v>8326</v>
      </c>
      <c r="S2483" s="17">
        <f t="shared" si="158"/>
        <v>40999.645925925928</v>
      </c>
      <c r="T2483" s="17">
        <f t="shared" si="159"/>
        <v>41029.645925925928</v>
      </c>
      <c r="U2483">
        <f>MONTH(Table1[[#This Row],[Launched]])</f>
        <v>3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 s="8">
        <v>1312224383</v>
      </c>
      <c r="J2484">
        <v>1308336383</v>
      </c>
      <c r="K2484" t="b">
        <v>0</v>
      </c>
      <c r="L2484" s="10">
        <v>25</v>
      </c>
      <c r="M2484" t="b">
        <v>1</v>
      </c>
      <c r="N2484" t="s">
        <v>8277</v>
      </c>
      <c r="O2484" s="11">
        <f t="shared" si="156"/>
        <v>100</v>
      </c>
      <c r="P2484" s="12">
        <f t="shared" si="157"/>
        <v>40</v>
      </c>
      <c r="Q2484" s="14" t="s">
        <v>8322</v>
      </c>
      <c r="R2484" t="s">
        <v>8326</v>
      </c>
      <c r="S2484" s="17">
        <f t="shared" si="158"/>
        <v>40711.782210648147</v>
      </c>
      <c r="T2484" s="17">
        <f t="shared" si="159"/>
        <v>40756.782210648147</v>
      </c>
      <c r="U2484">
        <f>MONTH(Table1[[#This Row],[Launched]])</f>
        <v>6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 s="8">
        <v>1335891603</v>
      </c>
      <c r="J2485">
        <v>1330711203</v>
      </c>
      <c r="K2485" t="b">
        <v>0</v>
      </c>
      <c r="L2485" s="10">
        <v>19</v>
      </c>
      <c r="M2485" t="b">
        <v>1</v>
      </c>
      <c r="N2485" t="s">
        <v>8277</v>
      </c>
      <c r="O2485" s="11">
        <f t="shared" si="156"/>
        <v>114</v>
      </c>
      <c r="P2485" s="12">
        <f t="shared" si="157"/>
        <v>66</v>
      </c>
      <c r="Q2485" s="14" t="s">
        <v>8322</v>
      </c>
      <c r="R2485" t="s">
        <v>8326</v>
      </c>
      <c r="S2485" s="17">
        <f t="shared" si="158"/>
        <v>40970.750034722223</v>
      </c>
      <c r="T2485" s="17">
        <f t="shared" si="159"/>
        <v>41030.708368055559</v>
      </c>
      <c r="U2485">
        <f>MONTH(Table1[[#This Row],[Launched]])</f>
        <v>3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 s="8">
        <v>1316124003</v>
      </c>
      <c r="J2486">
        <v>1313532003</v>
      </c>
      <c r="K2486" t="b">
        <v>0</v>
      </c>
      <c r="L2486" s="10">
        <v>90</v>
      </c>
      <c r="M2486" t="b">
        <v>1</v>
      </c>
      <c r="N2486" t="s">
        <v>8277</v>
      </c>
      <c r="O2486" s="11">
        <f t="shared" si="156"/>
        <v>119</v>
      </c>
      <c r="P2486" s="12">
        <f t="shared" si="157"/>
        <v>46</v>
      </c>
      <c r="Q2486" s="14" t="s">
        <v>8322</v>
      </c>
      <c r="R2486" t="s">
        <v>8326</v>
      </c>
      <c r="S2486" s="17">
        <f t="shared" si="158"/>
        <v>40771.916701388887</v>
      </c>
      <c r="T2486" s="17">
        <f t="shared" si="159"/>
        <v>40801.916701388887</v>
      </c>
      <c r="U2486">
        <f>MONTH(Table1[[#This Row],[Launched]])</f>
        <v>8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 s="8">
        <v>1318463879</v>
      </c>
      <c r="J2487">
        <v>1315439879</v>
      </c>
      <c r="K2487" t="b">
        <v>0</v>
      </c>
      <c r="L2487" s="10">
        <v>41</v>
      </c>
      <c r="M2487" t="b">
        <v>1</v>
      </c>
      <c r="N2487" t="s">
        <v>8277</v>
      </c>
      <c r="O2487" s="11">
        <f t="shared" si="156"/>
        <v>103</v>
      </c>
      <c r="P2487" s="12">
        <f t="shared" si="157"/>
        <v>50</v>
      </c>
      <c r="Q2487" s="14" t="s">
        <v>8322</v>
      </c>
      <c r="R2487" t="s">
        <v>8326</v>
      </c>
      <c r="S2487" s="17">
        <f t="shared" si="158"/>
        <v>40793.998599537037</v>
      </c>
      <c r="T2487" s="17">
        <f t="shared" si="159"/>
        <v>40828.998599537037</v>
      </c>
      <c r="U2487">
        <f>MONTH(Table1[[#This Row],[Launched]])</f>
        <v>9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8218</v>
      </c>
      <c r="G2488" t="s">
        <v>8223</v>
      </c>
      <c r="H2488" t="s">
        <v>8245</v>
      </c>
      <c r="I2488" s="8">
        <v>1335113976</v>
      </c>
      <c r="J2488">
        <v>1332521976</v>
      </c>
      <c r="K2488" t="b">
        <v>0</v>
      </c>
      <c r="L2488" s="10">
        <v>30</v>
      </c>
      <c r="M2488" t="b">
        <v>1</v>
      </c>
      <c r="N2488" t="s">
        <v>8277</v>
      </c>
      <c r="O2488" s="11">
        <f t="shared" si="156"/>
        <v>266</v>
      </c>
      <c r="P2488" s="12">
        <f t="shared" si="157"/>
        <v>27</v>
      </c>
      <c r="Q2488" s="14" t="s">
        <v>8322</v>
      </c>
      <c r="R2488" t="s">
        <v>8326</v>
      </c>
      <c r="S2488" s="17">
        <f t="shared" si="158"/>
        <v>40991.708055555559</v>
      </c>
      <c r="T2488" s="17">
        <f t="shared" si="159"/>
        <v>41021.708055555559</v>
      </c>
      <c r="U2488">
        <f>MONTH(Table1[[#This Row],[Launched]])</f>
        <v>3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 s="8">
        <v>1338083997</v>
      </c>
      <c r="J2489">
        <v>1335491997</v>
      </c>
      <c r="K2489" t="b">
        <v>0</v>
      </c>
      <c r="L2489" s="10">
        <v>38</v>
      </c>
      <c r="M2489" t="b">
        <v>1</v>
      </c>
      <c r="N2489" t="s">
        <v>8277</v>
      </c>
      <c r="O2489" s="11">
        <f t="shared" si="156"/>
        <v>100</v>
      </c>
      <c r="P2489" s="12">
        <f t="shared" si="157"/>
        <v>39</v>
      </c>
      <c r="Q2489" s="14" t="s">
        <v>8322</v>
      </c>
      <c r="R2489" t="s">
        <v>8326</v>
      </c>
      <c r="S2489" s="17">
        <f t="shared" si="158"/>
        <v>41026.083298611113</v>
      </c>
      <c r="T2489" s="17">
        <f t="shared" si="159"/>
        <v>41056.083298611113</v>
      </c>
      <c r="U2489">
        <f>MONTH(Table1[[#This Row],[Launched]])</f>
        <v>4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 s="8">
        <v>1321459908</v>
      </c>
      <c r="J2490">
        <v>1318864308</v>
      </c>
      <c r="K2490" t="b">
        <v>0</v>
      </c>
      <c r="L2490" s="10">
        <v>65</v>
      </c>
      <c r="M2490" t="b">
        <v>1</v>
      </c>
      <c r="N2490" t="s">
        <v>8277</v>
      </c>
      <c r="O2490" s="11">
        <f t="shared" si="156"/>
        <v>107</v>
      </c>
      <c r="P2490" s="12">
        <f t="shared" si="157"/>
        <v>49</v>
      </c>
      <c r="Q2490" s="14" t="s">
        <v>8322</v>
      </c>
      <c r="R2490" t="s">
        <v>8326</v>
      </c>
      <c r="S2490" s="17">
        <f t="shared" si="158"/>
        <v>40833.633194444446</v>
      </c>
      <c r="T2490" s="17">
        <f t="shared" si="159"/>
        <v>40863.674861111111</v>
      </c>
      <c r="U2490">
        <f>MONTH(Table1[[#This Row],[Launched]])</f>
        <v>10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 s="8">
        <v>1368117239</v>
      </c>
      <c r="J2491">
        <v>1365525239</v>
      </c>
      <c r="K2491" t="b">
        <v>0</v>
      </c>
      <c r="L2491" s="10">
        <v>75</v>
      </c>
      <c r="M2491" t="b">
        <v>1</v>
      </c>
      <c r="N2491" t="s">
        <v>8277</v>
      </c>
      <c r="O2491" s="11">
        <f t="shared" si="156"/>
        <v>134</v>
      </c>
      <c r="P2491" s="12">
        <f t="shared" si="157"/>
        <v>62</v>
      </c>
      <c r="Q2491" s="14" t="s">
        <v>8322</v>
      </c>
      <c r="R2491" t="s">
        <v>8326</v>
      </c>
      <c r="S2491" s="17">
        <f t="shared" si="158"/>
        <v>41373.690266203703</v>
      </c>
      <c r="T2491" s="17">
        <f t="shared" si="159"/>
        <v>41403.690266203703</v>
      </c>
      <c r="U2491">
        <f>MONTH(Table1[[#This Row],[Launched]])</f>
        <v>4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8218</v>
      </c>
      <c r="G2492" t="s">
        <v>8223</v>
      </c>
      <c r="H2492" t="s">
        <v>8245</v>
      </c>
      <c r="I2492" s="8">
        <v>1340429276</v>
      </c>
      <c r="J2492">
        <v>1335245276</v>
      </c>
      <c r="K2492" t="b">
        <v>0</v>
      </c>
      <c r="L2492" s="10">
        <v>16</v>
      </c>
      <c r="M2492" t="b">
        <v>1</v>
      </c>
      <c r="N2492" t="s">
        <v>8277</v>
      </c>
      <c r="O2492" s="11">
        <f t="shared" si="156"/>
        <v>121</v>
      </c>
      <c r="P2492" s="12">
        <f t="shared" si="157"/>
        <v>38</v>
      </c>
      <c r="Q2492" s="14" t="s">
        <v>8322</v>
      </c>
      <c r="R2492" t="s">
        <v>8326</v>
      </c>
      <c r="S2492" s="17">
        <f t="shared" si="158"/>
        <v>41023.227731481478</v>
      </c>
      <c r="T2492" s="17">
        <f t="shared" si="159"/>
        <v>41083.227731481478</v>
      </c>
      <c r="U2492">
        <f>MONTH(Table1[[#This Row],[Launched]])</f>
        <v>4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8218</v>
      </c>
      <c r="G2493" t="s">
        <v>8223</v>
      </c>
      <c r="H2493" t="s">
        <v>8245</v>
      </c>
      <c r="I2493" s="8">
        <v>1295142660</v>
      </c>
      <c r="J2493">
        <v>1293739714</v>
      </c>
      <c r="K2493" t="b">
        <v>0</v>
      </c>
      <c r="L2493" s="10">
        <v>10</v>
      </c>
      <c r="M2493" t="b">
        <v>1</v>
      </c>
      <c r="N2493" t="s">
        <v>8277</v>
      </c>
      <c r="O2493" s="11">
        <f t="shared" si="156"/>
        <v>103</v>
      </c>
      <c r="P2493" s="12">
        <f t="shared" si="157"/>
        <v>52</v>
      </c>
      <c r="Q2493" s="14" t="s">
        <v>8322</v>
      </c>
      <c r="R2493" t="s">
        <v>8326</v>
      </c>
      <c r="S2493" s="17">
        <f t="shared" si="158"/>
        <v>40542.839282407411</v>
      </c>
      <c r="T2493" s="17">
        <f t="shared" si="159"/>
        <v>40559.07708333333</v>
      </c>
      <c r="U2493">
        <f>MONTH(Table1[[#This Row],[Launched]])</f>
        <v>12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8218</v>
      </c>
      <c r="G2494" t="s">
        <v>8223</v>
      </c>
      <c r="H2494" t="s">
        <v>8245</v>
      </c>
      <c r="I2494" s="8">
        <v>1339840740</v>
      </c>
      <c r="J2494">
        <v>1335397188</v>
      </c>
      <c r="K2494" t="b">
        <v>0</v>
      </c>
      <c r="L2494" s="10">
        <v>27</v>
      </c>
      <c r="M2494" t="b">
        <v>1</v>
      </c>
      <c r="N2494" t="s">
        <v>8277</v>
      </c>
      <c r="O2494" s="11">
        <f t="shared" si="156"/>
        <v>125</v>
      </c>
      <c r="P2494" s="12">
        <f t="shared" si="157"/>
        <v>28</v>
      </c>
      <c r="Q2494" s="14" t="s">
        <v>8322</v>
      </c>
      <c r="R2494" t="s">
        <v>8326</v>
      </c>
      <c r="S2494" s="17">
        <f t="shared" si="158"/>
        <v>41024.985972222225</v>
      </c>
      <c r="T2494" s="17">
        <f t="shared" si="159"/>
        <v>41076.415972222225</v>
      </c>
      <c r="U2494">
        <f>MONTH(Table1[[#This Row],[Launched]])</f>
        <v>4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 s="8">
        <v>1367208140</v>
      </c>
      <c r="J2495">
        <v>1363320140</v>
      </c>
      <c r="K2495" t="b">
        <v>0</v>
      </c>
      <c r="L2495" s="10">
        <v>259</v>
      </c>
      <c r="M2495" t="b">
        <v>1</v>
      </c>
      <c r="N2495" t="s">
        <v>8277</v>
      </c>
      <c r="O2495" s="11">
        <f t="shared" si="156"/>
        <v>129</v>
      </c>
      <c r="P2495" s="12">
        <f t="shared" si="157"/>
        <v>99</v>
      </c>
      <c r="Q2495" s="14" t="s">
        <v>8322</v>
      </c>
      <c r="R2495" t="s">
        <v>8326</v>
      </c>
      <c r="S2495" s="17">
        <f t="shared" si="158"/>
        <v>41348.168287037035</v>
      </c>
      <c r="T2495" s="17">
        <f t="shared" si="159"/>
        <v>41393.168287037035</v>
      </c>
      <c r="U2495">
        <f>MONTH(Table1[[#This Row],[Launched]])</f>
        <v>3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 s="8">
        <v>1337786944</v>
      </c>
      <c r="J2496">
        <v>1335194944</v>
      </c>
      <c r="K2496" t="b">
        <v>0</v>
      </c>
      <c r="L2496" s="10">
        <v>39</v>
      </c>
      <c r="M2496" t="b">
        <v>1</v>
      </c>
      <c r="N2496" t="s">
        <v>8277</v>
      </c>
      <c r="O2496" s="11">
        <f t="shared" si="156"/>
        <v>101</v>
      </c>
      <c r="P2496" s="12">
        <f t="shared" si="157"/>
        <v>39</v>
      </c>
      <c r="Q2496" s="14" t="s">
        <v>8322</v>
      </c>
      <c r="R2496" t="s">
        <v>8326</v>
      </c>
      <c r="S2496" s="17">
        <f t="shared" si="158"/>
        <v>41022.645185185182</v>
      </c>
      <c r="T2496" s="17">
        <f t="shared" si="159"/>
        <v>41052.645185185182</v>
      </c>
      <c r="U2496">
        <f>MONTH(Table1[[#This Row],[Launched]])</f>
        <v>4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 s="8">
        <v>1339022575</v>
      </c>
      <c r="J2497">
        <v>1336430575</v>
      </c>
      <c r="K2497" t="b">
        <v>0</v>
      </c>
      <c r="L2497" s="10">
        <v>42</v>
      </c>
      <c r="M2497" t="b">
        <v>1</v>
      </c>
      <c r="N2497" t="s">
        <v>8277</v>
      </c>
      <c r="O2497" s="11">
        <f t="shared" si="156"/>
        <v>128</v>
      </c>
      <c r="P2497" s="12">
        <f t="shared" si="157"/>
        <v>46</v>
      </c>
      <c r="Q2497" s="14" t="s">
        <v>8322</v>
      </c>
      <c r="R2497" t="s">
        <v>8326</v>
      </c>
      <c r="S2497" s="17">
        <f t="shared" si="158"/>
        <v>41036.946469907409</v>
      </c>
      <c r="T2497" s="17">
        <f t="shared" si="159"/>
        <v>41066.946469907409</v>
      </c>
      <c r="U2497">
        <f>MONTH(Table1[[#This Row],[Launched]])</f>
        <v>5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 s="8">
        <v>1364597692</v>
      </c>
      <c r="J2498">
        <v>1361577292</v>
      </c>
      <c r="K2498" t="b">
        <v>0</v>
      </c>
      <c r="L2498" s="10">
        <v>10</v>
      </c>
      <c r="M2498" t="b">
        <v>1</v>
      </c>
      <c r="N2498" t="s">
        <v>8277</v>
      </c>
      <c r="O2498" s="11">
        <f t="shared" ref="O2498:O2561" si="160">ROUND(E2498/D2498*100,0)</f>
        <v>100</v>
      </c>
      <c r="P2498" s="12">
        <f t="shared" si="157"/>
        <v>600</v>
      </c>
      <c r="Q2498" s="14" t="s">
        <v>8322</v>
      </c>
      <c r="R2498" t="s">
        <v>8326</v>
      </c>
      <c r="S2498" s="17">
        <f t="shared" si="158"/>
        <v>41327.996435185189</v>
      </c>
      <c r="T2498" s="17">
        <f t="shared" si="159"/>
        <v>41362.954768518517</v>
      </c>
      <c r="U2498">
        <f>MONTH(Table1[[#This Row],[Launched]])</f>
        <v>2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 s="8">
        <v>1312578338</v>
      </c>
      <c r="J2499">
        <v>1309986338</v>
      </c>
      <c r="K2499" t="b">
        <v>0</v>
      </c>
      <c r="L2499" s="10">
        <v>56</v>
      </c>
      <c r="M2499" t="b">
        <v>1</v>
      </c>
      <c r="N2499" t="s">
        <v>8277</v>
      </c>
      <c r="O2499" s="11">
        <f t="shared" si="160"/>
        <v>113</v>
      </c>
      <c r="P2499" s="12">
        <f t="shared" ref="P2499:P2562" si="161">IFERROR(ROUND(E2499/L2499,),"No Backers")</f>
        <v>81</v>
      </c>
      <c r="Q2499" s="14" t="s">
        <v>8322</v>
      </c>
      <c r="R2499" t="s">
        <v>8326</v>
      </c>
      <c r="S2499" s="17">
        <f t="shared" ref="S2499:S2562" si="162">(((J2499/60)/60)/24)+DATE(1970,1,1)</f>
        <v>40730.878912037035</v>
      </c>
      <c r="T2499" s="17">
        <f t="shared" ref="T2499:T2562" si="163">(((I2499/60)/60)/24)+DATE(1970,1,1)</f>
        <v>40760.878912037035</v>
      </c>
      <c r="U2499">
        <f>MONTH(Table1[[#This Row],[Launched]])</f>
        <v>7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 s="8">
        <v>1422400387</v>
      </c>
      <c r="J2500">
        <v>1421190787</v>
      </c>
      <c r="K2500" t="b">
        <v>0</v>
      </c>
      <c r="L2500" s="10">
        <v>20</v>
      </c>
      <c r="M2500" t="b">
        <v>1</v>
      </c>
      <c r="N2500" t="s">
        <v>8277</v>
      </c>
      <c r="O2500" s="11">
        <f t="shared" si="160"/>
        <v>106</v>
      </c>
      <c r="P2500" s="12">
        <f t="shared" si="161"/>
        <v>53</v>
      </c>
      <c r="Q2500" s="14" t="s">
        <v>8322</v>
      </c>
      <c r="R2500" t="s">
        <v>8326</v>
      </c>
      <c r="S2500" s="17">
        <f t="shared" si="162"/>
        <v>42017.967442129629</v>
      </c>
      <c r="T2500" s="17">
        <f t="shared" si="163"/>
        <v>42031.967442129629</v>
      </c>
      <c r="U2500">
        <f>MONTH(Table1[[#This Row],[Launched]])</f>
        <v>1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 s="8">
        <v>1356976800</v>
      </c>
      <c r="J2501">
        <v>1352820837</v>
      </c>
      <c r="K2501" t="b">
        <v>0</v>
      </c>
      <c r="L2501" s="10">
        <v>170</v>
      </c>
      <c r="M2501" t="b">
        <v>1</v>
      </c>
      <c r="N2501" t="s">
        <v>8277</v>
      </c>
      <c r="O2501" s="11">
        <f t="shared" si="160"/>
        <v>203</v>
      </c>
      <c r="P2501" s="12">
        <f t="shared" si="161"/>
        <v>48</v>
      </c>
      <c r="Q2501" s="14" t="s">
        <v>8322</v>
      </c>
      <c r="R2501" t="s">
        <v>8326</v>
      </c>
      <c r="S2501" s="17">
        <f t="shared" si="162"/>
        <v>41226.648576388885</v>
      </c>
      <c r="T2501" s="17">
        <f t="shared" si="163"/>
        <v>41274.75</v>
      </c>
      <c r="U2501">
        <f>MONTH(Table1[[#This Row],[Launched]])</f>
        <v>11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8218</v>
      </c>
      <c r="G2502" t="s">
        <v>8223</v>
      </c>
      <c r="H2502" t="s">
        <v>8245</v>
      </c>
      <c r="I2502" s="8">
        <v>1340476375</v>
      </c>
      <c r="J2502">
        <v>1337884375</v>
      </c>
      <c r="K2502" t="b">
        <v>0</v>
      </c>
      <c r="L2502" s="10">
        <v>29</v>
      </c>
      <c r="M2502" t="b">
        <v>1</v>
      </c>
      <c r="N2502" t="s">
        <v>8277</v>
      </c>
      <c r="O2502" s="11">
        <f t="shared" si="160"/>
        <v>113</v>
      </c>
      <c r="P2502" s="12">
        <f t="shared" si="161"/>
        <v>23</v>
      </c>
      <c r="Q2502" s="14" t="s">
        <v>8322</v>
      </c>
      <c r="R2502" t="s">
        <v>8326</v>
      </c>
      <c r="S2502" s="17">
        <f t="shared" si="162"/>
        <v>41053.772858796299</v>
      </c>
      <c r="T2502" s="17">
        <f t="shared" si="163"/>
        <v>41083.772858796299</v>
      </c>
      <c r="U2502">
        <f>MONTH(Table1[[#This Row],[Launched]])</f>
        <v>5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 s="8">
        <v>1443379104</v>
      </c>
      <c r="J2503">
        <v>1440787104</v>
      </c>
      <c r="K2503" t="b">
        <v>0</v>
      </c>
      <c r="L2503" s="10">
        <v>7</v>
      </c>
      <c r="M2503" t="b">
        <v>0</v>
      </c>
      <c r="N2503" t="s">
        <v>8297</v>
      </c>
      <c r="O2503" s="11">
        <f t="shared" si="160"/>
        <v>3</v>
      </c>
      <c r="P2503" s="12">
        <f t="shared" si="161"/>
        <v>40</v>
      </c>
      <c r="Q2503" s="14" t="s">
        <v>8333</v>
      </c>
      <c r="R2503" t="s">
        <v>8350</v>
      </c>
      <c r="S2503" s="17">
        <f t="shared" si="162"/>
        <v>42244.776666666665</v>
      </c>
      <c r="T2503" s="17">
        <f t="shared" si="163"/>
        <v>42274.776666666665</v>
      </c>
      <c r="U2503">
        <f>MONTH(Table1[[#This Row],[Launched]])</f>
        <v>8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 s="8">
        <v>1411328918</v>
      </c>
      <c r="J2504">
        <v>1407440918</v>
      </c>
      <c r="K2504" t="b">
        <v>0</v>
      </c>
      <c r="L2504" s="10">
        <v>5</v>
      </c>
      <c r="M2504" t="b">
        <v>0</v>
      </c>
      <c r="N2504" t="s">
        <v>8297</v>
      </c>
      <c r="O2504" s="11">
        <f t="shared" si="160"/>
        <v>0</v>
      </c>
      <c r="P2504" s="12">
        <f t="shared" si="161"/>
        <v>17</v>
      </c>
      <c r="Q2504" s="14" t="s">
        <v>8333</v>
      </c>
      <c r="R2504" t="s">
        <v>8350</v>
      </c>
      <c r="S2504" s="17">
        <f t="shared" si="162"/>
        <v>41858.825439814813</v>
      </c>
      <c r="T2504" s="17">
        <f t="shared" si="163"/>
        <v>41903.825439814813</v>
      </c>
      <c r="U2504">
        <f>MONTH(Table1[[#This Row],[Launched]])</f>
        <v>8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8220</v>
      </c>
      <c r="G2505" t="s">
        <v>8223</v>
      </c>
      <c r="H2505" t="s">
        <v>8245</v>
      </c>
      <c r="I2505" s="8">
        <v>1465333560</v>
      </c>
      <c r="J2505">
        <v>1462743308</v>
      </c>
      <c r="K2505" t="b">
        <v>0</v>
      </c>
      <c r="L2505" s="10">
        <v>0</v>
      </c>
      <c r="M2505" t="b">
        <v>0</v>
      </c>
      <c r="N2505" t="s">
        <v>8297</v>
      </c>
      <c r="O2505" s="11">
        <f t="shared" si="160"/>
        <v>0</v>
      </c>
      <c r="P2505" s="12" t="str">
        <f t="shared" si="161"/>
        <v>No Backers</v>
      </c>
      <c r="Q2505" s="14" t="s">
        <v>8333</v>
      </c>
      <c r="R2505" t="s">
        <v>8350</v>
      </c>
      <c r="S2505" s="17">
        <f t="shared" si="162"/>
        <v>42498.899398148147</v>
      </c>
      <c r="T2505" s="17">
        <f t="shared" si="163"/>
        <v>42528.879166666666</v>
      </c>
      <c r="U2505">
        <f>MONTH(Table1[[#This Row],[Launched]])</f>
        <v>5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8220</v>
      </c>
      <c r="G2506" t="s">
        <v>8223</v>
      </c>
      <c r="H2506" t="s">
        <v>8245</v>
      </c>
      <c r="I2506" s="8">
        <v>1416014534</v>
      </c>
      <c r="J2506">
        <v>1413418934</v>
      </c>
      <c r="K2506" t="b">
        <v>0</v>
      </c>
      <c r="L2506" s="10">
        <v>0</v>
      </c>
      <c r="M2506" t="b">
        <v>0</v>
      </c>
      <c r="N2506" t="s">
        <v>8297</v>
      </c>
      <c r="O2506" s="11">
        <f t="shared" si="160"/>
        <v>0</v>
      </c>
      <c r="P2506" s="12" t="str">
        <f t="shared" si="161"/>
        <v>No Backers</v>
      </c>
      <c r="Q2506" s="14" t="s">
        <v>8333</v>
      </c>
      <c r="R2506" t="s">
        <v>8350</v>
      </c>
      <c r="S2506" s="17">
        <f t="shared" si="162"/>
        <v>41928.015439814815</v>
      </c>
      <c r="T2506" s="17">
        <f t="shared" si="163"/>
        <v>41958.057106481487</v>
      </c>
      <c r="U2506">
        <f>MONTH(Table1[[#This Row],[Launched]])</f>
        <v>10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8220</v>
      </c>
      <c r="G2507" t="s">
        <v>8223</v>
      </c>
      <c r="H2507" t="s">
        <v>8245</v>
      </c>
      <c r="I2507" s="8">
        <v>1426292416</v>
      </c>
      <c r="J2507">
        <v>1423704016</v>
      </c>
      <c r="K2507" t="b">
        <v>0</v>
      </c>
      <c r="L2507" s="10">
        <v>0</v>
      </c>
      <c r="M2507" t="b">
        <v>0</v>
      </c>
      <c r="N2507" t="s">
        <v>8297</v>
      </c>
      <c r="O2507" s="11">
        <f t="shared" si="160"/>
        <v>0</v>
      </c>
      <c r="P2507" s="12" t="str">
        <f t="shared" si="161"/>
        <v>No Backers</v>
      </c>
      <c r="Q2507" s="14" t="s">
        <v>8333</v>
      </c>
      <c r="R2507" t="s">
        <v>8350</v>
      </c>
      <c r="S2507" s="17">
        <f t="shared" si="162"/>
        <v>42047.05574074074</v>
      </c>
      <c r="T2507" s="17">
        <f t="shared" si="163"/>
        <v>42077.014074074075</v>
      </c>
      <c r="U2507">
        <f>MONTH(Table1[[#This Row],[Launched]])</f>
        <v>2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8220</v>
      </c>
      <c r="G2508" t="s">
        <v>8224</v>
      </c>
      <c r="H2508" t="s">
        <v>8246</v>
      </c>
      <c r="I2508" s="8">
        <v>1443906000</v>
      </c>
      <c r="J2508">
        <v>1441955269</v>
      </c>
      <c r="K2508" t="b">
        <v>0</v>
      </c>
      <c r="L2508" s="10">
        <v>2</v>
      </c>
      <c r="M2508" t="b">
        <v>0</v>
      </c>
      <c r="N2508" t="s">
        <v>8297</v>
      </c>
      <c r="O2508" s="11">
        <f t="shared" si="160"/>
        <v>1</v>
      </c>
      <c r="P2508" s="12">
        <f t="shared" si="161"/>
        <v>15</v>
      </c>
      <c r="Q2508" s="14" t="s">
        <v>8333</v>
      </c>
      <c r="R2508" t="s">
        <v>8350</v>
      </c>
      <c r="S2508" s="17">
        <f t="shared" si="162"/>
        <v>42258.297094907408</v>
      </c>
      <c r="T2508" s="17">
        <f t="shared" si="163"/>
        <v>42280.875</v>
      </c>
      <c r="U2508">
        <f>MONTH(Table1[[#This Row],[Launched]])</f>
        <v>9</v>
      </c>
    </row>
    <row r="2509" spans="1:21" ht="15.6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8220</v>
      </c>
      <c r="G2509" t="s">
        <v>8223</v>
      </c>
      <c r="H2509" t="s">
        <v>8245</v>
      </c>
      <c r="I2509" s="8">
        <v>1431308704</v>
      </c>
      <c r="J2509">
        <v>1428716704</v>
      </c>
      <c r="K2509" t="b">
        <v>0</v>
      </c>
      <c r="L2509" s="10">
        <v>0</v>
      </c>
      <c r="M2509" t="b">
        <v>0</v>
      </c>
      <c r="N2509" t="s">
        <v>8297</v>
      </c>
      <c r="O2509" s="11">
        <f t="shared" si="160"/>
        <v>0</v>
      </c>
      <c r="P2509" s="12" t="str">
        <f t="shared" si="161"/>
        <v>No Backers</v>
      </c>
      <c r="Q2509" s="14" t="s">
        <v>8333</v>
      </c>
      <c r="R2509" t="s">
        <v>8350</v>
      </c>
      <c r="S2509" s="17">
        <f t="shared" si="162"/>
        <v>42105.072962962964</v>
      </c>
      <c r="T2509" s="17">
        <f t="shared" si="163"/>
        <v>42135.072962962964</v>
      </c>
      <c r="U2509">
        <f>MONTH(Table1[[#This Row],[Launched]])</f>
        <v>4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8220</v>
      </c>
      <c r="G2510" t="s">
        <v>8223</v>
      </c>
      <c r="H2510" t="s">
        <v>8245</v>
      </c>
      <c r="I2510" s="8">
        <v>1408056634</v>
      </c>
      <c r="J2510">
        <v>1405464634</v>
      </c>
      <c r="K2510" t="b">
        <v>0</v>
      </c>
      <c r="L2510" s="10">
        <v>0</v>
      </c>
      <c r="M2510" t="b">
        <v>0</v>
      </c>
      <c r="N2510" t="s">
        <v>8297</v>
      </c>
      <c r="O2510" s="11">
        <f t="shared" si="160"/>
        <v>0</v>
      </c>
      <c r="P2510" s="12" t="str">
        <f t="shared" si="161"/>
        <v>No Backers</v>
      </c>
      <c r="Q2510" s="14" t="s">
        <v>8333</v>
      </c>
      <c r="R2510" t="s">
        <v>8350</v>
      </c>
      <c r="S2510" s="17">
        <f t="shared" si="162"/>
        <v>41835.951782407406</v>
      </c>
      <c r="T2510" s="17">
        <f t="shared" si="163"/>
        <v>41865.951782407406</v>
      </c>
      <c r="U2510">
        <f>MONTH(Table1[[#This Row],[Launched]])</f>
        <v>7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 s="8">
        <v>1429554349</v>
      </c>
      <c r="J2511">
        <v>1424719549</v>
      </c>
      <c r="K2511" t="b">
        <v>0</v>
      </c>
      <c r="L2511" s="10">
        <v>28</v>
      </c>
      <c r="M2511" t="b">
        <v>0</v>
      </c>
      <c r="N2511" t="s">
        <v>8297</v>
      </c>
      <c r="O2511" s="11">
        <f t="shared" si="160"/>
        <v>1</v>
      </c>
      <c r="P2511" s="12">
        <f t="shared" si="161"/>
        <v>36</v>
      </c>
      <c r="Q2511" s="14" t="s">
        <v>8333</v>
      </c>
      <c r="R2511" t="s">
        <v>8350</v>
      </c>
      <c r="S2511" s="17">
        <f t="shared" si="162"/>
        <v>42058.809594907405</v>
      </c>
      <c r="T2511" s="17">
        <f t="shared" si="163"/>
        <v>42114.767928240741</v>
      </c>
      <c r="U2511">
        <f>MONTH(Table1[[#This Row],[Launched]])</f>
        <v>2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8220</v>
      </c>
      <c r="G2512" t="s">
        <v>8223</v>
      </c>
      <c r="H2512" t="s">
        <v>8245</v>
      </c>
      <c r="I2512" s="8">
        <v>1431647772</v>
      </c>
      <c r="J2512">
        <v>1426463772</v>
      </c>
      <c r="K2512" t="b">
        <v>0</v>
      </c>
      <c r="L2512" s="10">
        <v>2</v>
      </c>
      <c r="M2512" t="b">
        <v>0</v>
      </c>
      <c r="N2512" t="s">
        <v>8297</v>
      </c>
      <c r="O2512" s="11">
        <f t="shared" si="160"/>
        <v>0</v>
      </c>
      <c r="P2512" s="12">
        <f t="shared" si="161"/>
        <v>38</v>
      </c>
      <c r="Q2512" s="14" t="s">
        <v>8333</v>
      </c>
      <c r="R2512" t="s">
        <v>8350</v>
      </c>
      <c r="S2512" s="17">
        <f t="shared" si="162"/>
        <v>42078.997361111105</v>
      </c>
      <c r="T2512" s="17">
        <f t="shared" si="163"/>
        <v>42138.997361111105</v>
      </c>
      <c r="U2512">
        <f>MONTH(Table1[[#This Row],[Launched]])</f>
        <v>3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8220</v>
      </c>
      <c r="G2513" t="s">
        <v>8224</v>
      </c>
      <c r="H2513" t="s">
        <v>8246</v>
      </c>
      <c r="I2513" s="8">
        <v>1454323413</v>
      </c>
      <c r="J2513">
        <v>1451731413</v>
      </c>
      <c r="K2513" t="b">
        <v>0</v>
      </c>
      <c r="L2513" s="10">
        <v>0</v>
      </c>
      <c r="M2513" t="b">
        <v>0</v>
      </c>
      <c r="N2513" t="s">
        <v>8297</v>
      </c>
      <c r="O2513" s="11">
        <f t="shared" si="160"/>
        <v>0</v>
      </c>
      <c r="P2513" s="12" t="str">
        <f t="shared" si="161"/>
        <v>No Backers</v>
      </c>
      <c r="Q2513" s="14" t="s">
        <v>8333</v>
      </c>
      <c r="R2513" t="s">
        <v>8350</v>
      </c>
      <c r="S2513" s="17">
        <f t="shared" si="162"/>
        <v>42371.446909722217</v>
      </c>
      <c r="T2513" s="17">
        <f t="shared" si="163"/>
        <v>42401.446909722217</v>
      </c>
      <c r="U2513">
        <f>MONTH(Table1[[#This Row],[Launched]])</f>
        <v>1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8220</v>
      </c>
      <c r="G2514" t="s">
        <v>8223</v>
      </c>
      <c r="H2514" t="s">
        <v>8245</v>
      </c>
      <c r="I2514" s="8">
        <v>1418504561</v>
      </c>
      <c r="J2514">
        <v>1417208561</v>
      </c>
      <c r="K2514" t="b">
        <v>0</v>
      </c>
      <c r="L2514" s="10">
        <v>0</v>
      </c>
      <c r="M2514" t="b">
        <v>0</v>
      </c>
      <c r="N2514" t="s">
        <v>8297</v>
      </c>
      <c r="O2514" s="11">
        <f t="shared" si="160"/>
        <v>0</v>
      </c>
      <c r="P2514" s="12" t="str">
        <f t="shared" si="161"/>
        <v>No Backers</v>
      </c>
      <c r="Q2514" s="14" t="s">
        <v>8333</v>
      </c>
      <c r="R2514" t="s">
        <v>8350</v>
      </c>
      <c r="S2514" s="17">
        <f t="shared" si="162"/>
        <v>41971.876863425925</v>
      </c>
      <c r="T2514" s="17">
        <f t="shared" si="163"/>
        <v>41986.876863425925</v>
      </c>
      <c r="U2514">
        <f>MONTH(Table1[[#This Row],[Launched]])</f>
        <v>11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8220</v>
      </c>
      <c r="G2515" t="s">
        <v>8235</v>
      </c>
      <c r="H2515" t="s">
        <v>8248</v>
      </c>
      <c r="I2515" s="8">
        <v>1488067789</v>
      </c>
      <c r="J2515">
        <v>1482883789</v>
      </c>
      <c r="K2515" t="b">
        <v>0</v>
      </c>
      <c r="L2515" s="10">
        <v>0</v>
      </c>
      <c r="M2515" t="b">
        <v>0</v>
      </c>
      <c r="N2515" t="s">
        <v>8297</v>
      </c>
      <c r="O2515" s="11">
        <f t="shared" si="160"/>
        <v>0</v>
      </c>
      <c r="P2515" s="12" t="str">
        <f t="shared" si="161"/>
        <v>No Backers</v>
      </c>
      <c r="Q2515" s="14" t="s">
        <v>8333</v>
      </c>
      <c r="R2515" t="s">
        <v>8350</v>
      </c>
      <c r="S2515" s="17">
        <f t="shared" si="162"/>
        <v>42732.00681712963</v>
      </c>
      <c r="T2515" s="17">
        <f t="shared" si="163"/>
        <v>42792.00681712963</v>
      </c>
      <c r="U2515">
        <f>MONTH(Table1[[#This Row],[Launched]])</f>
        <v>12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 s="8">
        <v>1408526477</v>
      </c>
      <c r="J2516">
        <v>1407057677</v>
      </c>
      <c r="K2516" t="b">
        <v>0</v>
      </c>
      <c r="L2516" s="10">
        <v>4</v>
      </c>
      <c r="M2516" t="b">
        <v>0</v>
      </c>
      <c r="N2516" t="s">
        <v>8297</v>
      </c>
      <c r="O2516" s="11">
        <f t="shared" si="160"/>
        <v>2</v>
      </c>
      <c r="P2516" s="12">
        <f t="shared" si="161"/>
        <v>53</v>
      </c>
      <c r="Q2516" s="14" t="s">
        <v>8333</v>
      </c>
      <c r="R2516" t="s">
        <v>8350</v>
      </c>
      <c r="S2516" s="17">
        <f t="shared" si="162"/>
        <v>41854.389780092592</v>
      </c>
      <c r="T2516" s="17">
        <f t="shared" si="163"/>
        <v>41871.389780092592</v>
      </c>
      <c r="U2516">
        <f>MONTH(Table1[[#This Row],[Launched]])</f>
        <v>8</v>
      </c>
    </row>
    <row r="2517" spans="1:21" ht="57.6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8220</v>
      </c>
      <c r="G2517" t="s">
        <v>8223</v>
      </c>
      <c r="H2517" t="s">
        <v>8245</v>
      </c>
      <c r="I2517" s="8">
        <v>1424635753</v>
      </c>
      <c r="J2517">
        <v>1422043753</v>
      </c>
      <c r="K2517" t="b">
        <v>0</v>
      </c>
      <c r="L2517" s="10">
        <v>12</v>
      </c>
      <c r="M2517" t="b">
        <v>0</v>
      </c>
      <c r="N2517" t="s">
        <v>8297</v>
      </c>
      <c r="O2517" s="11">
        <f t="shared" si="160"/>
        <v>19</v>
      </c>
      <c r="P2517" s="12">
        <f t="shared" si="161"/>
        <v>78</v>
      </c>
      <c r="Q2517" s="14" t="s">
        <v>8333</v>
      </c>
      <c r="R2517" t="s">
        <v>8350</v>
      </c>
      <c r="S2517" s="17">
        <f t="shared" si="162"/>
        <v>42027.839733796296</v>
      </c>
      <c r="T2517" s="17">
        <f t="shared" si="163"/>
        <v>42057.839733796296</v>
      </c>
      <c r="U2517">
        <f>MONTH(Table1[[#This Row],[Launched]])</f>
        <v>1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8220</v>
      </c>
      <c r="G2518" t="s">
        <v>8223</v>
      </c>
      <c r="H2518" t="s">
        <v>8245</v>
      </c>
      <c r="I2518" s="8">
        <v>1417279252</v>
      </c>
      <c r="J2518">
        <v>1414683652</v>
      </c>
      <c r="K2518" t="b">
        <v>0</v>
      </c>
      <c r="L2518" s="10">
        <v>0</v>
      </c>
      <c r="M2518" t="b">
        <v>0</v>
      </c>
      <c r="N2518" t="s">
        <v>8297</v>
      </c>
      <c r="O2518" s="11">
        <f t="shared" si="160"/>
        <v>0</v>
      </c>
      <c r="P2518" s="12" t="str">
        <f t="shared" si="161"/>
        <v>No Backers</v>
      </c>
      <c r="Q2518" s="14" t="s">
        <v>8333</v>
      </c>
      <c r="R2518" t="s">
        <v>8350</v>
      </c>
      <c r="S2518" s="17">
        <f t="shared" si="162"/>
        <v>41942.653379629628</v>
      </c>
      <c r="T2518" s="17">
        <f t="shared" si="163"/>
        <v>41972.6950462963</v>
      </c>
      <c r="U2518">
        <f>MONTH(Table1[[#This Row],[Launched]])</f>
        <v>10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 s="8">
        <v>1426788930</v>
      </c>
      <c r="J2519">
        <v>1424200530</v>
      </c>
      <c r="K2519" t="b">
        <v>0</v>
      </c>
      <c r="L2519" s="10">
        <v>33</v>
      </c>
      <c r="M2519" t="b">
        <v>0</v>
      </c>
      <c r="N2519" t="s">
        <v>8297</v>
      </c>
      <c r="O2519" s="11">
        <f t="shared" si="160"/>
        <v>10</v>
      </c>
      <c r="P2519" s="12">
        <f t="shared" si="161"/>
        <v>54</v>
      </c>
      <c r="Q2519" s="14" t="s">
        <v>8333</v>
      </c>
      <c r="R2519" t="s">
        <v>8350</v>
      </c>
      <c r="S2519" s="17">
        <f t="shared" si="162"/>
        <v>42052.802430555559</v>
      </c>
      <c r="T2519" s="17">
        <f t="shared" si="163"/>
        <v>42082.760763888888</v>
      </c>
      <c r="U2519">
        <f>MONTH(Table1[[#This Row],[Launched]])</f>
        <v>2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8220</v>
      </c>
      <c r="G2520" t="s">
        <v>8223</v>
      </c>
      <c r="H2520" t="s">
        <v>8245</v>
      </c>
      <c r="I2520" s="8">
        <v>1415899228</v>
      </c>
      <c r="J2520">
        <v>1413303628</v>
      </c>
      <c r="K2520" t="b">
        <v>0</v>
      </c>
      <c r="L2520" s="10">
        <v>0</v>
      </c>
      <c r="M2520" t="b">
        <v>0</v>
      </c>
      <c r="N2520" t="s">
        <v>8297</v>
      </c>
      <c r="O2520" s="11">
        <f t="shared" si="160"/>
        <v>0</v>
      </c>
      <c r="P2520" s="12" t="str">
        <f t="shared" si="161"/>
        <v>No Backers</v>
      </c>
      <c r="Q2520" s="14" t="s">
        <v>8333</v>
      </c>
      <c r="R2520" t="s">
        <v>8350</v>
      </c>
      <c r="S2520" s="17">
        <f t="shared" si="162"/>
        <v>41926.680879629632</v>
      </c>
      <c r="T2520" s="17">
        <f t="shared" si="163"/>
        <v>41956.722546296296</v>
      </c>
      <c r="U2520">
        <f>MONTH(Table1[[#This Row],[Launched]])</f>
        <v>10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 s="8">
        <v>1405741404</v>
      </c>
      <c r="J2521">
        <v>1403149404</v>
      </c>
      <c r="K2521" t="b">
        <v>0</v>
      </c>
      <c r="L2521" s="10">
        <v>4</v>
      </c>
      <c r="M2521" t="b">
        <v>0</v>
      </c>
      <c r="N2521" t="s">
        <v>8297</v>
      </c>
      <c r="O2521" s="11">
        <f t="shared" si="160"/>
        <v>0</v>
      </c>
      <c r="P2521" s="12">
        <f t="shared" si="161"/>
        <v>16</v>
      </c>
      <c r="Q2521" s="14" t="s">
        <v>8333</v>
      </c>
      <c r="R2521" t="s">
        <v>8350</v>
      </c>
      <c r="S2521" s="17">
        <f t="shared" si="162"/>
        <v>41809.155138888891</v>
      </c>
      <c r="T2521" s="17">
        <f t="shared" si="163"/>
        <v>41839.155138888891</v>
      </c>
      <c r="U2521">
        <f>MONTH(Table1[[#This Row],[Launched]])</f>
        <v>6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8220</v>
      </c>
      <c r="G2522" t="s">
        <v>8223</v>
      </c>
      <c r="H2522" t="s">
        <v>8245</v>
      </c>
      <c r="I2522" s="8">
        <v>1476559260</v>
      </c>
      <c r="J2522">
        <v>1472567085</v>
      </c>
      <c r="K2522" t="b">
        <v>0</v>
      </c>
      <c r="L2522" s="10">
        <v>0</v>
      </c>
      <c r="M2522" t="b">
        <v>0</v>
      </c>
      <c r="N2522" t="s">
        <v>8297</v>
      </c>
      <c r="O2522" s="11">
        <f t="shared" si="160"/>
        <v>0</v>
      </c>
      <c r="P2522" s="12" t="str">
        <f t="shared" si="161"/>
        <v>No Backers</v>
      </c>
      <c r="Q2522" s="14" t="s">
        <v>8333</v>
      </c>
      <c r="R2522" t="s">
        <v>8350</v>
      </c>
      <c r="S2522" s="17">
        <f t="shared" si="162"/>
        <v>42612.600520833337</v>
      </c>
      <c r="T2522" s="17">
        <f t="shared" si="163"/>
        <v>42658.806249999994</v>
      </c>
      <c r="U2522">
        <f>MONTH(Table1[[#This Row],[Launched]])</f>
        <v>8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 s="8">
        <v>1444778021</v>
      </c>
      <c r="J2523">
        <v>1442963621</v>
      </c>
      <c r="K2523" t="b">
        <v>0</v>
      </c>
      <c r="L2523" s="10">
        <v>132</v>
      </c>
      <c r="M2523" t="b">
        <v>1</v>
      </c>
      <c r="N2523" t="s">
        <v>8298</v>
      </c>
      <c r="O2523" s="11">
        <f t="shared" si="160"/>
        <v>109</v>
      </c>
      <c r="P2523" s="12">
        <f t="shared" si="161"/>
        <v>104</v>
      </c>
      <c r="Q2523" s="14" t="s">
        <v>8322</v>
      </c>
      <c r="R2523" t="s">
        <v>8351</v>
      </c>
      <c r="S2523" s="17">
        <f t="shared" si="162"/>
        <v>42269.967835648145</v>
      </c>
      <c r="T2523" s="17">
        <f t="shared" si="163"/>
        <v>42290.967835648145</v>
      </c>
      <c r="U2523">
        <f>MONTH(Table1[[#This Row],[Launched]])</f>
        <v>9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 s="8">
        <v>1461336720</v>
      </c>
      <c r="J2524">
        <v>1459431960</v>
      </c>
      <c r="K2524" t="b">
        <v>0</v>
      </c>
      <c r="L2524" s="10">
        <v>27</v>
      </c>
      <c r="M2524" t="b">
        <v>1</v>
      </c>
      <c r="N2524" t="s">
        <v>8298</v>
      </c>
      <c r="O2524" s="11">
        <f t="shared" si="160"/>
        <v>100</v>
      </c>
      <c r="P2524" s="12">
        <f t="shared" si="161"/>
        <v>185</v>
      </c>
      <c r="Q2524" s="14" t="s">
        <v>8322</v>
      </c>
      <c r="R2524" t="s">
        <v>8351</v>
      </c>
      <c r="S2524" s="17">
        <f t="shared" si="162"/>
        <v>42460.573611111111</v>
      </c>
      <c r="T2524" s="17">
        <f t="shared" si="163"/>
        <v>42482.619444444441</v>
      </c>
      <c r="U2524">
        <f>MONTH(Table1[[#This Row],[Launched]])</f>
        <v>3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8218</v>
      </c>
      <c r="G2525" t="s">
        <v>8223</v>
      </c>
      <c r="H2525" t="s">
        <v>8245</v>
      </c>
      <c r="I2525" s="8">
        <v>1416270292</v>
      </c>
      <c r="J2525">
        <v>1413674692</v>
      </c>
      <c r="K2525" t="b">
        <v>0</v>
      </c>
      <c r="L2525" s="10">
        <v>26</v>
      </c>
      <c r="M2525" t="b">
        <v>1</v>
      </c>
      <c r="N2525" t="s">
        <v>8298</v>
      </c>
      <c r="O2525" s="11">
        <f t="shared" si="160"/>
        <v>156</v>
      </c>
      <c r="P2525" s="12">
        <f t="shared" si="161"/>
        <v>54</v>
      </c>
      <c r="Q2525" s="14" t="s">
        <v>8322</v>
      </c>
      <c r="R2525" t="s">
        <v>8351</v>
      </c>
      <c r="S2525" s="17">
        <f t="shared" si="162"/>
        <v>41930.975601851853</v>
      </c>
      <c r="T2525" s="17">
        <f t="shared" si="163"/>
        <v>41961.017268518524</v>
      </c>
      <c r="U2525">
        <f>MONTH(Table1[[#This Row],[Launched]])</f>
        <v>10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 s="8">
        <v>1419136200</v>
      </c>
      <c r="J2526">
        <v>1416338557</v>
      </c>
      <c r="K2526" t="b">
        <v>0</v>
      </c>
      <c r="L2526" s="10">
        <v>43</v>
      </c>
      <c r="M2526" t="b">
        <v>1</v>
      </c>
      <c r="N2526" t="s">
        <v>8298</v>
      </c>
      <c r="O2526" s="11">
        <f t="shared" si="160"/>
        <v>102</v>
      </c>
      <c r="P2526" s="12">
        <f t="shared" si="161"/>
        <v>177</v>
      </c>
      <c r="Q2526" s="14" t="s">
        <v>8322</v>
      </c>
      <c r="R2526" t="s">
        <v>8351</v>
      </c>
      <c r="S2526" s="17">
        <f t="shared" si="162"/>
        <v>41961.807372685187</v>
      </c>
      <c r="T2526" s="17">
        <f t="shared" si="163"/>
        <v>41994.1875</v>
      </c>
      <c r="U2526">
        <f>MONTH(Table1[[#This Row],[Launched]])</f>
        <v>11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 s="8">
        <v>1340914571</v>
      </c>
      <c r="J2527">
        <v>1338322571</v>
      </c>
      <c r="K2527" t="b">
        <v>0</v>
      </c>
      <c r="L2527" s="10">
        <v>80</v>
      </c>
      <c r="M2527" t="b">
        <v>1</v>
      </c>
      <c r="N2527" t="s">
        <v>8298</v>
      </c>
      <c r="O2527" s="11">
        <f t="shared" si="160"/>
        <v>100</v>
      </c>
      <c r="P2527" s="12">
        <f t="shared" si="161"/>
        <v>100</v>
      </c>
      <c r="Q2527" s="14" t="s">
        <v>8322</v>
      </c>
      <c r="R2527" t="s">
        <v>8351</v>
      </c>
      <c r="S2527" s="17">
        <f t="shared" si="162"/>
        <v>41058.844571759262</v>
      </c>
      <c r="T2527" s="17">
        <f t="shared" si="163"/>
        <v>41088.844571759262</v>
      </c>
      <c r="U2527">
        <f>MONTH(Table1[[#This Row],[Launched]])</f>
        <v>5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 s="8">
        <v>1418014740</v>
      </c>
      <c r="J2528">
        <v>1415585474</v>
      </c>
      <c r="K2528" t="b">
        <v>0</v>
      </c>
      <c r="L2528" s="10">
        <v>33</v>
      </c>
      <c r="M2528" t="b">
        <v>1</v>
      </c>
      <c r="N2528" t="s">
        <v>8298</v>
      </c>
      <c r="O2528" s="11">
        <f t="shared" si="160"/>
        <v>113</v>
      </c>
      <c r="P2528" s="12">
        <f t="shared" si="161"/>
        <v>137</v>
      </c>
      <c r="Q2528" s="14" t="s">
        <v>8322</v>
      </c>
      <c r="R2528" t="s">
        <v>8351</v>
      </c>
      <c r="S2528" s="17">
        <f t="shared" si="162"/>
        <v>41953.091134259259</v>
      </c>
      <c r="T2528" s="17">
        <f t="shared" si="163"/>
        <v>41981.207638888889</v>
      </c>
      <c r="U2528">
        <f>MONTH(Table1[[#This Row],[Launched]])</f>
        <v>11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 s="8">
        <v>1382068740</v>
      </c>
      <c r="J2529">
        <v>1380477691</v>
      </c>
      <c r="K2529" t="b">
        <v>0</v>
      </c>
      <c r="L2529" s="10">
        <v>71</v>
      </c>
      <c r="M2529" t="b">
        <v>1</v>
      </c>
      <c r="N2529" t="s">
        <v>8298</v>
      </c>
      <c r="O2529" s="11">
        <f t="shared" si="160"/>
        <v>102</v>
      </c>
      <c r="P2529" s="12">
        <f t="shared" si="161"/>
        <v>58</v>
      </c>
      <c r="Q2529" s="14" t="s">
        <v>8322</v>
      </c>
      <c r="R2529" t="s">
        <v>8351</v>
      </c>
      <c r="S2529" s="17">
        <f t="shared" si="162"/>
        <v>41546.75105324074</v>
      </c>
      <c r="T2529" s="17">
        <f t="shared" si="163"/>
        <v>41565.165972222225</v>
      </c>
      <c r="U2529">
        <f>MONTH(Table1[[#This Row],[Launched]])</f>
        <v>9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 s="8">
        <v>1440068400</v>
      </c>
      <c r="J2530">
        <v>1438459303</v>
      </c>
      <c r="K2530" t="b">
        <v>0</v>
      </c>
      <c r="L2530" s="10">
        <v>81</v>
      </c>
      <c r="M2530" t="b">
        <v>1</v>
      </c>
      <c r="N2530" t="s">
        <v>8298</v>
      </c>
      <c r="O2530" s="11">
        <f t="shared" si="160"/>
        <v>107</v>
      </c>
      <c r="P2530" s="12">
        <f t="shared" si="161"/>
        <v>53</v>
      </c>
      <c r="Q2530" s="14" t="s">
        <v>8322</v>
      </c>
      <c r="R2530" t="s">
        <v>8351</v>
      </c>
      <c r="S2530" s="17">
        <f t="shared" si="162"/>
        <v>42217.834525462968</v>
      </c>
      <c r="T2530" s="17">
        <f t="shared" si="163"/>
        <v>42236.458333333328</v>
      </c>
      <c r="U2530">
        <f>MONTH(Table1[[#This Row],[Launched]])</f>
        <v>8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 s="8">
        <v>1332636975</v>
      </c>
      <c r="J2531">
        <v>1328752575</v>
      </c>
      <c r="K2531" t="b">
        <v>0</v>
      </c>
      <c r="L2531" s="10">
        <v>76</v>
      </c>
      <c r="M2531" t="b">
        <v>1</v>
      </c>
      <c r="N2531" t="s">
        <v>8298</v>
      </c>
      <c r="O2531" s="11">
        <f t="shared" si="160"/>
        <v>104</v>
      </c>
      <c r="P2531" s="12">
        <f t="shared" si="161"/>
        <v>82</v>
      </c>
      <c r="Q2531" s="14" t="s">
        <v>8322</v>
      </c>
      <c r="R2531" t="s">
        <v>8351</v>
      </c>
      <c r="S2531" s="17">
        <f t="shared" si="162"/>
        <v>40948.080729166664</v>
      </c>
      <c r="T2531" s="17">
        <f t="shared" si="163"/>
        <v>40993.0390625</v>
      </c>
      <c r="U2531">
        <f>MONTH(Table1[[#This Row],[Launched]])</f>
        <v>2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 s="8">
        <v>1429505400</v>
      </c>
      <c r="J2532">
        <v>1426711505</v>
      </c>
      <c r="K2532" t="b">
        <v>0</v>
      </c>
      <c r="L2532" s="10">
        <v>48</v>
      </c>
      <c r="M2532" t="b">
        <v>1</v>
      </c>
      <c r="N2532" t="s">
        <v>8298</v>
      </c>
      <c r="O2532" s="11">
        <f t="shared" si="160"/>
        <v>100</v>
      </c>
      <c r="P2532" s="12">
        <f t="shared" si="161"/>
        <v>135</v>
      </c>
      <c r="Q2532" s="14" t="s">
        <v>8322</v>
      </c>
      <c r="R2532" t="s">
        <v>8351</v>
      </c>
      <c r="S2532" s="17">
        <f t="shared" si="162"/>
        <v>42081.864641203705</v>
      </c>
      <c r="T2532" s="17">
        <f t="shared" si="163"/>
        <v>42114.201388888891</v>
      </c>
      <c r="U2532">
        <f>MONTH(Table1[[#This Row],[Launched]])</f>
        <v>3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 s="8">
        <v>1439611140</v>
      </c>
      <c r="J2533">
        <v>1437668354</v>
      </c>
      <c r="K2533" t="b">
        <v>0</v>
      </c>
      <c r="L2533" s="10">
        <v>61</v>
      </c>
      <c r="M2533" t="b">
        <v>1</v>
      </c>
      <c r="N2533" t="s">
        <v>8298</v>
      </c>
      <c r="O2533" s="11">
        <f t="shared" si="160"/>
        <v>100</v>
      </c>
      <c r="P2533" s="12">
        <f t="shared" si="161"/>
        <v>74</v>
      </c>
      <c r="Q2533" s="14" t="s">
        <v>8322</v>
      </c>
      <c r="R2533" t="s">
        <v>8351</v>
      </c>
      <c r="S2533" s="17">
        <f t="shared" si="162"/>
        <v>42208.680023148147</v>
      </c>
      <c r="T2533" s="17">
        <f t="shared" si="163"/>
        <v>42231.165972222225</v>
      </c>
      <c r="U2533">
        <f>MONTH(Table1[[#This Row],[Launched]])</f>
        <v>7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 s="8">
        <v>1345148566</v>
      </c>
      <c r="J2534">
        <v>1342556566</v>
      </c>
      <c r="K2534" t="b">
        <v>0</v>
      </c>
      <c r="L2534" s="10">
        <v>60</v>
      </c>
      <c r="M2534" t="b">
        <v>1</v>
      </c>
      <c r="N2534" t="s">
        <v>8298</v>
      </c>
      <c r="O2534" s="11">
        <f t="shared" si="160"/>
        <v>126</v>
      </c>
      <c r="P2534" s="12">
        <f t="shared" si="161"/>
        <v>84</v>
      </c>
      <c r="Q2534" s="14" t="s">
        <v>8322</v>
      </c>
      <c r="R2534" t="s">
        <v>8351</v>
      </c>
      <c r="S2534" s="17">
        <f t="shared" si="162"/>
        <v>41107.849143518521</v>
      </c>
      <c r="T2534" s="17">
        <f t="shared" si="163"/>
        <v>41137.849143518521</v>
      </c>
      <c r="U2534">
        <f>MONTH(Table1[[#This Row],[Launched]])</f>
        <v>7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 s="8">
        <v>1362160868</v>
      </c>
      <c r="J2535">
        <v>1359568911</v>
      </c>
      <c r="K2535" t="b">
        <v>0</v>
      </c>
      <c r="L2535" s="10">
        <v>136</v>
      </c>
      <c r="M2535" t="b">
        <v>1</v>
      </c>
      <c r="N2535" t="s">
        <v>8298</v>
      </c>
      <c r="O2535" s="11">
        <f t="shared" si="160"/>
        <v>111</v>
      </c>
      <c r="P2535" s="12">
        <f t="shared" si="161"/>
        <v>61</v>
      </c>
      <c r="Q2535" s="14" t="s">
        <v>8322</v>
      </c>
      <c r="R2535" t="s">
        <v>8351</v>
      </c>
      <c r="S2535" s="17">
        <f t="shared" si="162"/>
        <v>41304.751284722224</v>
      </c>
      <c r="T2535" s="17">
        <f t="shared" si="163"/>
        <v>41334.750787037039</v>
      </c>
      <c r="U2535">
        <f>MONTH(Table1[[#This Row],[Launched]])</f>
        <v>1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 s="8">
        <v>1262325600</v>
      </c>
      <c r="J2536">
        <v>1257871712</v>
      </c>
      <c r="K2536" t="b">
        <v>0</v>
      </c>
      <c r="L2536" s="10">
        <v>14</v>
      </c>
      <c r="M2536" t="b">
        <v>1</v>
      </c>
      <c r="N2536" t="s">
        <v>8298</v>
      </c>
      <c r="O2536" s="11">
        <f t="shared" si="160"/>
        <v>105</v>
      </c>
      <c r="P2536" s="12">
        <f t="shared" si="161"/>
        <v>150</v>
      </c>
      <c r="Q2536" s="14" t="s">
        <v>8322</v>
      </c>
      <c r="R2536" t="s">
        <v>8351</v>
      </c>
      <c r="S2536" s="17">
        <f t="shared" si="162"/>
        <v>40127.700370370374</v>
      </c>
      <c r="T2536" s="17">
        <f t="shared" si="163"/>
        <v>40179.25</v>
      </c>
      <c r="U2536">
        <f>MONTH(Table1[[#This Row],[Launched]])</f>
        <v>11</v>
      </c>
    </row>
    <row r="2537" spans="1:21" ht="15.6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 s="8">
        <v>1417463945</v>
      </c>
      <c r="J2537">
        <v>1414781945</v>
      </c>
      <c r="K2537" t="b">
        <v>0</v>
      </c>
      <c r="L2537" s="10">
        <v>78</v>
      </c>
      <c r="M2537" t="b">
        <v>1</v>
      </c>
      <c r="N2537" t="s">
        <v>8298</v>
      </c>
      <c r="O2537" s="11">
        <f t="shared" si="160"/>
        <v>104</v>
      </c>
      <c r="P2537" s="12">
        <f t="shared" si="161"/>
        <v>266</v>
      </c>
      <c r="Q2537" s="14" t="s">
        <v>8322</v>
      </c>
      <c r="R2537" t="s">
        <v>8351</v>
      </c>
      <c r="S2537" s="17">
        <f t="shared" si="162"/>
        <v>41943.791030092594</v>
      </c>
      <c r="T2537" s="17">
        <f t="shared" si="163"/>
        <v>41974.832696759258</v>
      </c>
      <c r="U2537">
        <f>MONTH(Table1[[#This Row],[Launched]])</f>
        <v>10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8218</v>
      </c>
      <c r="G2538" t="s">
        <v>8223</v>
      </c>
      <c r="H2538" t="s">
        <v>8245</v>
      </c>
      <c r="I2538" s="8">
        <v>1375151566</v>
      </c>
      <c r="J2538">
        <v>1373337166</v>
      </c>
      <c r="K2538" t="b">
        <v>0</v>
      </c>
      <c r="L2538" s="10">
        <v>4</v>
      </c>
      <c r="M2538" t="b">
        <v>1</v>
      </c>
      <c r="N2538" t="s">
        <v>8298</v>
      </c>
      <c r="O2538" s="11">
        <f t="shared" si="160"/>
        <v>116</v>
      </c>
      <c r="P2538" s="12">
        <f t="shared" si="161"/>
        <v>7</v>
      </c>
      <c r="Q2538" s="14" t="s">
        <v>8322</v>
      </c>
      <c r="R2538" t="s">
        <v>8351</v>
      </c>
      <c r="S2538" s="17">
        <f t="shared" si="162"/>
        <v>41464.106087962966</v>
      </c>
      <c r="T2538" s="17">
        <f t="shared" si="163"/>
        <v>41485.106087962966</v>
      </c>
      <c r="U2538">
        <f>MONTH(Table1[[#This Row],[Launched]])</f>
        <v>7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 s="8">
        <v>1312212855</v>
      </c>
      <c r="J2539">
        <v>1307028855</v>
      </c>
      <c r="K2539" t="b">
        <v>0</v>
      </c>
      <c r="L2539" s="10">
        <v>11</v>
      </c>
      <c r="M2539" t="b">
        <v>1</v>
      </c>
      <c r="N2539" t="s">
        <v>8298</v>
      </c>
      <c r="O2539" s="11">
        <f t="shared" si="160"/>
        <v>110</v>
      </c>
      <c r="P2539" s="12">
        <f t="shared" si="161"/>
        <v>100</v>
      </c>
      <c r="Q2539" s="14" t="s">
        <v>8322</v>
      </c>
      <c r="R2539" t="s">
        <v>8351</v>
      </c>
      <c r="S2539" s="17">
        <f t="shared" si="162"/>
        <v>40696.648784722223</v>
      </c>
      <c r="T2539" s="17">
        <f t="shared" si="163"/>
        <v>40756.648784722223</v>
      </c>
      <c r="U2539">
        <f>MONTH(Table1[[#This Row],[Launched]])</f>
        <v>6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 s="8">
        <v>1361681940</v>
      </c>
      <c r="J2540">
        <v>1359029661</v>
      </c>
      <c r="K2540" t="b">
        <v>0</v>
      </c>
      <c r="L2540" s="10">
        <v>185</v>
      </c>
      <c r="M2540" t="b">
        <v>1</v>
      </c>
      <c r="N2540" t="s">
        <v>8298</v>
      </c>
      <c r="O2540" s="11">
        <f t="shared" si="160"/>
        <v>113</v>
      </c>
      <c r="P2540" s="12">
        <f t="shared" si="161"/>
        <v>110</v>
      </c>
      <c r="Q2540" s="14" t="s">
        <v>8322</v>
      </c>
      <c r="R2540" t="s">
        <v>8351</v>
      </c>
      <c r="S2540" s="17">
        <f t="shared" si="162"/>
        <v>41298.509965277779</v>
      </c>
      <c r="T2540" s="17">
        <f t="shared" si="163"/>
        <v>41329.207638888889</v>
      </c>
      <c r="U2540">
        <f>MONTH(Table1[[#This Row],[Launched]])</f>
        <v>1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 s="8">
        <v>1422913152</v>
      </c>
      <c r="J2541">
        <v>1417729152</v>
      </c>
      <c r="K2541" t="b">
        <v>0</v>
      </c>
      <c r="L2541" s="10">
        <v>59</v>
      </c>
      <c r="M2541" t="b">
        <v>1</v>
      </c>
      <c r="N2541" t="s">
        <v>8298</v>
      </c>
      <c r="O2541" s="11">
        <f t="shared" si="160"/>
        <v>100</v>
      </c>
      <c r="P2541" s="12">
        <f t="shared" si="161"/>
        <v>170</v>
      </c>
      <c r="Q2541" s="14" t="s">
        <v>8322</v>
      </c>
      <c r="R2541" t="s">
        <v>8351</v>
      </c>
      <c r="S2541" s="17">
        <f t="shared" si="162"/>
        <v>41977.902222222227</v>
      </c>
      <c r="T2541" s="17">
        <f t="shared" si="163"/>
        <v>42037.902222222227</v>
      </c>
      <c r="U2541">
        <f>MONTH(Table1[[#This Row],[Launched]])</f>
        <v>12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 s="8">
        <v>1319904721</v>
      </c>
      <c r="J2542">
        <v>1314720721</v>
      </c>
      <c r="K2542" t="b">
        <v>0</v>
      </c>
      <c r="L2542" s="10">
        <v>27</v>
      </c>
      <c r="M2542" t="b">
        <v>1</v>
      </c>
      <c r="N2542" t="s">
        <v>8298</v>
      </c>
      <c r="O2542" s="11">
        <f t="shared" si="160"/>
        <v>103</v>
      </c>
      <c r="P2542" s="12">
        <f t="shared" si="161"/>
        <v>96</v>
      </c>
      <c r="Q2542" s="14" t="s">
        <v>8322</v>
      </c>
      <c r="R2542" t="s">
        <v>8351</v>
      </c>
      <c r="S2542" s="17">
        <f t="shared" si="162"/>
        <v>40785.675011574072</v>
      </c>
      <c r="T2542" s="17">
        <f t="shared" si="163"/>
        <v>40845.675011574072</v>
      </c>
      <c r="U2542">
        <f>MONTH(Table1[[#This Row],[Launched]])</f>
        <v>8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 s="8">
        <v>1380192418</v>
      </c>
      <c r="J2543">
        <v>1375008418</v>
      </c>
      <c r="K2543" t="b">
        <v>0</v>
      </c>
      <c r="L2543" s="10">
        <v>63</v>
      </c>
      <c r="M2543" t="b">
        <v>1</v>
      </c>
      <c r="N2543" t="s">
        <v>8298</v>
      </c>
      <c r="O2543" s="11">
        <f t="shared" si="160"/>
        <v>107</v>
      </c>
      <c r="P2543" s="12">
        <f t="shared" si="161"/>
        <v>59</v>
      </c>
      <c r="Q2543" s="14" t="s">
        <v>8322</v>
      </c>
      <c r="R2543" t="s">
        <v>8351</v>
      </c>
      <c r="S2543" s="17">
        <f t="shared" si="162"/>
        <v>41483.449282407404</v>
      </c>
      <c r="T2543" s="17">
        <f t="shared" si="163"/>
        <v>41543.449282407404</v>
      </c>
      <c r="U2543">
        <f>MONTH(Table1[[#This Row],[Launched]])</f>
        <v>7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8218</v>
      </c>
      <c r="G2544" t="s">
        <v>8223</v>
      </c>
      <c r="H2544" t="s">
        <v>8245</v>
      </c>
      <c r="I2544" s="8">
        <v>1380599940</v>
      </c>
      <c r="J2544">
        <v>1377252857</v>
      </c>
      <c r="K2544" t="b">
        <v>0</v>
      </c>
      <c r="L2544" s="10">
        <v>13</v>
      </c>
      <c r="M2544" t="b">
        <v>1</v>
      </c>
      <c r="N2544" t="s">
        <v>8298</v>
      </c>
      <c r="O2544" s="11">
        <f t="shared" si="160"/>
        <v>104</v>
      </c>
      <c r="P2544" s="12">
        <f t="shared" si="161"/>
        <v>56</v>
      </c>
      <c r="Q2544" s="14" t="s">
        <v>8322</v>
      </c>
      <c r="R2544" t="s">
        <v>8351</v>
      </c>
      <c r="S2544" s="17">
        <f t="shared" si="162"/>
        <v>41509.426585648151</v>
      </c>
      <c r="T2544" s="17">
        <f t="shared" si="163"/>
        <v>41548.165972222225</v>
      </c>
      <c r="U2544">
        <f>MONTH(Table1[[#This Row],[Launched]])</f>
        <v>8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8218</v>
      </c>
      <c r="G2545" t="s">
        <v>8223</v>
      </c>
      <c r="H2545" t="s">
        <v>8245</v>
      </c>
      <c r="I2545" s="8">
        <v>1293937200</v>
      </c>
      <c r="J2545">
        <v>1291257298</v>
      </c>
      <c r="K2545" t="b">
        <v>0</v>
      </c>
      <c r="L2545" s="10">
        <v>13</v>
      </c>
      <c r="M2545" t="b">
        <v>1</v>
      </c>
      <c r="N2545" t="s">
        <v>8298</v>
      </c>
      <c r="O2545" s="11">
        <f t="shared" si="160"/>
        <v>156</v>
      </c>
      <c r="P2545" s="12">
        <f t="shared" si="161"/>
        <v>30</v>
      </c>
      <c r="Q2545" s="14" t="s">
        <v>8322</v>
      </c>
      <c r="R2545" t="s">
        <v>8351</v>
      </c>
      <c r="S2545" s="17">
        <f t="shared" si="162"/>
        <v>40514.107615740737</v>
      </c>
      <c r="T2545" s="17">
        <f t="shared" si="163"/>
        <v>40545.125</v>
      </c>
      <c r="U2545">
        <f>MONTH(Table1[[#This Row],[Launched]])</f>
        <v>12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 s="8">
        <v>1341750569</v>
      </c>
      <c r="J2546">
        <v>1339158569</v>
      </c>
      <c r="K2546" t="b">
        <v>0</v>
      </c>
      <c r="L2546" s="10">
        <v>57</v>
      </c>
      <c r="M2546" t="b">
        <v>1</v>
      </c>
      <c r="N2546" t="s">
        <v>8298</v>
      </c>
      <c r="O2546" s="11">
        <f t="shared" si="160"/>
        <v>101</v>
      </c>
      <c r="P2546" s="12">
        <f t="shared" si="161"/>
        <v>88</v>
      </c>
      <c r="Q2546" s="14" t="s">
        <v>8322</v>
      </c>
      <c r="R2546" t="s">
        <v>8351</v>
      </c>
      <c r="S2546" s="17">
        <f t="shared" si="162"/>
        <v>41068.520474537036</v>
      </c>
      <c r="T2546" s="17">
        <f t="shared" si="163"/>
        <v>41098.520474537036</v>
      </c>
      <c r="U2546">
        <f>MONTH(Table1[[#This Row],[Launched]])</f>
        <v>6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 s="8">
        <v>1424997000</v>
      </c>
      <c r="J2547">
        <v>1421983138</v>
      </c>
      <c r="K2547" t="b">
        <v>0</v>
      </c>
      <c r="L2547" s="10">
        <v>61</v>
      </c>
      <c r="M2547" t="b">
        <v>1</v>
      </c>
      <c r="N2547" t="s">
        <v>8298</v>
      </c>
      <c r="O2547" s="11">
        <f t="shared" si="160"/>
        <v>195</v>
      </c>
      <c r="P2547" s="12">
        <f t="shared" si="161"/>
        <v>64</v>
      </c>
      <c r="Q2547" s="14" t="s">
        <v>8322</v>
      </c>
      <c r="R2547" t="s">
        <v>8351</v>
      </c>
      <c r="S2547" s="17">
        <f t="shared" si="162"/>
        <v>42027.13817129629</v>
      </c>
      <c r="T2547" s="17">
        <f t="shared" si="163"/>
        <v>42062.020833333328</v>
      </c>
      <c r="U2547">
        <f>MONTH(Table1[[#This Row],[Launched]])</f>
        <v>1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 s="8">
        <v>1380949200</v>
      </c>
      <c r="J2548">
        <v>1378586179</v>
      </c>
      <c r="K2548" t="b">
        <v>0</v>
      </c>
      <c r="L2548" s="10">
        <v>65</v>
      </c>
      <c r="M2548" t="b">
        <v>1</v>
      </c>
      <c r="N2548" t="s">
        <v>8298</v>
      </c>
      <c r="O2548" s="11">
        <f t="shared" si="160"/>
        <v>112</v>
      </c>
      <c r="P2548" s="12">
        <f t="shared" si="161"/>
        <v>60</v>
      </c>
      <c r="Q2548" s="14" t="s">
        <v>8322</v>
      </c>
      <c r="R2548" t="s">
        <v>8351</v>
      </c>
      <c r="S2548" s="17">
        <f t="shared" si="162"/>
        <v>41524.858553240738</v>
      </c>
      <c r="T2548" s="17">
        <f t="shared" si="163"/>
        <v>41552.208333333336</v>
      </c>
      <c r="U2548">
        <f>MONTH(Table1[[#This Row],[Launched]])</f>
        <v>9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 s="8">
        <v>1333560803</v>
      </c>
      <c r="J2549">
        <v>1330972403</v>
      </c>
      <c r="K2549" t="b">
        <v>0</v>
      </c>
      <c r="L2549" s="10">
        <v>134</v>
      </c>
      <c r="M2549" t="b">
        <v>1</v>
      </c>
      <c r="N2549" t="s">
        <v>8298</v>
      </c>
      <c r="O2549" s="11">
        <f t="shared" si="160"/>
        <v>120</v>
      </c>
      <c r="P2549" s="12">
        <f t="shared" si="161"/>
        <v>49</v>
      </c>
      <c r="Q2549" s="14" t="s">
        <v>8322</v>
      </c>
      <c r="R2549" t="s">
        <v>8351</v>
      </c>
      <c r="S2549" s="17">
        <f t="shared" si="162"/>
        <v>40973.773182870369</v>
      </c>
      <c r="T2549" s="17">
        <f t="shared" si="163"/>
        <v>41003.731516203705</v>
      </c>
      <c r="U2549">
        <f>MONTH(Table1[[#This Row],[Launched]])</f>
        <v>3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 s="8">
        <v>1475209620</v>
      </c>
      <c r="J2550">
        <v>1473087637</v>
      </c>
      <c r="K2550" t="b">
        <v>0</v>
      </c>
      <c r="L2550" s="10">
        <v>37</v>
      </c>
      <c r="M2550" t="b">
        <v>1</v>
      </c>
      <c r="N2550" t="s">
        <v>8298</v>
      </c>
      <c r="O2550" s="11">
        <f t="shared" si="160"/>
        <v>102</v>
      </c>
      <c r="P2550" s="12">
        <f t="shared" si="161"/>
        <v>165</v>
      </c>
      <c r="Q2550" s="14" t="s">
        <v>8322</v>
      </c>
      <c r="R2550" t="s">
        <v>8351</v>
      </c>
      <c r="S2550" s="17">
        <f t="shared" si="162"/>
        <v>42618.625428240746</v>
      </c>
      <c r="T2550" s="17">
        <f t="shared" si="163"/>
        <v>42643.185416666667</v>
      </c>
      <c r="U2550">
        <f>MONTH(Table1[[#This Row],[Launched]])</f>
        <v>9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 s="8">
        <v>1370019600</v>
      </c>
      <c r="J2551">
        <v>1366999870</v>
      </c>
      <c r="K2551" t="b">
        <v>0</v>
      </c>
      <c r="L2551" s="10">
        <v>37</v>
      </c>
      <c r="M2551" t="b">
        <v>1</v>
      </c>
      <c r="N2551" t="s">
        <v>8298</v>
      </c>
      <c r="O2551" s="11">
        <f t="shared" si="160"/>
        <v>103</v>
      </c>
      <c r="P2551" s="12">
        <f t="shared" si="161"/>
        <v>44</v>
      </c>
      <c r="Q2551" s="14" t="s">
        <v>8322</v>
      </c>
      <c r="R2551" t="s">
        <v>8351</v>
      </c>
      <c r="S2551" s="17">
        <f t="shared" si="162"/>
        <v>41390.757754629631</v>
      </c>
      <c r="T2551" s="17">
        <f t="shared" si="163"/>
        <v>41425.708333333336</v>
      </c>
      <c r="U2551">
        <f>MONTH(Table1[[#This Row],[Launched]])</f>
        <v>4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 s="8">
        <v>1444276740</v>
      </c>
      <c r="J2552">
        <v>1439392406</v>
      </c>
      <c r="K2552" t="b">
        <v>0</v>
      </c>
      <c r="L2552" s="10">
        <v>150</v>
      </c>
      <c r="M2552" t="b">
        <v>1</v>
      </c>
      <c r="N2552" t="s">
        <v>8298</v>
      </c>
      <c r="O2552" s="11">
        <f t="shared" si="160"/>
        <v>101</v>
      </c>
      <c r="P2552" s="12">
        <f t="shared" si="161"/>
        <v>44</v>
      </c>
      <c r="Q2552" s="14" t="s">
        <v>8322</v>
      </c>
      <c r="R2552" t="s">
        <v>8351</v>
      </c>
      <c r="S2552" s="17">
        <f t="shared" si="162"/>
        <v>42228.634328703702</v>
      </c>
      <c r="T2552" s="17">
        <f t="shared" si="163"/>
        <v>42285.165972222225</v>
      </c>
      <c r="U2552">
        <f>MONTH(Table1[[#This Row],[Launched]])</f>
        <v>8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 s="8">
        <v>1332362880</v>
      </c>
      <c r="J2553">
        <v>1329890585</v>
      </c>
      <c r="K2553" t="b">
        <v>0</v>
      </c>
      <c r="L2553" s="10">
        <v>56</v>
      </c>
      <c r="M2553" t="b">
        <v>1</v>
      </c>
      <c r="N2553" t="s">
        <v>8298</v>
      </c>
      <c r="O2553" s="11">
        <f t="shared" si="160"/>
        <v>103</v>
      </c>
      <c r="P2553" s="12">
        <f t="shared" si="161"/>
        <v>67</v>
      </c>
      <c r="Q2553" s="14" t="s">
        <v>8322</v>
      </c>
      <c r="R2553" t="s">
        <v>8351</v>
      </c>
      <c r="S2553" s="17">
        <f t="shared" si="162"/>
        <v>40961.252141203702</v>
      </c>
      <c r="T2553" s="17">
        <f t="shared" si="163"/>
        <v>40989.866666666669</v>
      </c>
      <c r="U2553">
        <f>MONTH(Table1[[#This Row],[Launched]])</f>
        <v>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 s="8">
        <v>1488741981</v>
      </c>
      <c r="J2554">
        <v>1486149981</v>
      </c>
      <c r="K2554" t="b">
        <v>0</v>
      </c>
      <c r="L2554" s="10">
        <v>18</v>
      </c>
      <c r="M2554" t="b">
        <v>1</v>
      </c>
      <c r="N2554" t="s">
        <v>8298</v>
      </c>
      <c r="O2554" s="11">
        <f t="shared" si="160"/>
        <v>107</v>
      </c>
      <c r="P2554" s="12">
        <f t="shared" si="161"/>
        <v>178</v>
      </c>
      <c r="Q2554" s="14" t="s">
        <v>8322</v>
      </c>
      <c r="R2554" t="s">
        <v>8351</v>
      </c>
      <c r="S2554" s="17">
        <f t="shared" si="162"/>
        <v>42769.809965277775</v>
      </c>
      <c r="T2554" s="17">
        <f t="shared" si="163"/>
        <v>42799.809965277775</v>
      </c>
      <c r="U2554">
        <f>MONTH(Table1[[#This Row],[Launched]])</f>
        <v>2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 s="8">
        <v>1348202807</v>
      </c>
      <c r="J2555">
        <v>1343018807</v>
      </c>
      <c r="K2555" t="b">
        <v>0</v>
      </c>
      <c r="L2555" s="10">
        <v>60</v>
      </c>
      <c r="M2555" t="b">
        <v>1</v>
      </c>
      <c r="N2555" t="s">
        <v>8298</v>
      </c>
      <c r="O2555" s="11">
        <f t="shared" si="160"/>
        <v>156</v>
      </c>
      <c r="P2555" s="12">
        <f t="shared" si="161"/>
        <v>39</v>
      </c>
      <c r="Q2555" s="14" t="s">
        <v>8322</v>
      </c>
      <c r="R2555" t="s">
        <v>8351</v>
      </c>
      <c r="S2555" s="17">
        <f t="shared" si="162"/>
        <v>41113.199155092596</v>
      </c>
      <c r="T2555" s="17">
        <f t="shared" si="163"/>
        <v>41173.199155092596</v>
      </c>
      <c r="U2555">
        <f>MONTH(Table1[[#This Row],[Launched]])</f>
        <v>7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 s="8">
        <v>1433131140</v>
      </c>
      <c r="J2556">
        <v>1430445163</v>
      </c>
      <c r="K2556" t="b">
        <v>0</v>
      </c>
      <c r="L2556" s="10">
        <v>67</v>
      </c>
      <c r="M2556" t="b">
        <v>1</v>
      </c>
      <c r="N2556" t="s">
        <v>8298</v>
      </c>
      <c r="O2556" s="11">
        <f t="shared" si="160"/>
        <v>123</v>
      </c>
      <c r="P2556" s="12">
        <f t="shared" si="161"/>
        <v>55</v>
      </c>
      <c r="Q2556" s="14" t="s">
        <v>8322</v>
      </c>
      <c r="R2556" t="s">
        <v>8351</v>
      </c>
      <c r="S2556" s="17">
        <f t="shared" si="162"/>
        <v>42125.078275462962</v>
      </c>
      <c r="T2556" s="17">
        <f t="shared" si="163"/>
        <v>42156.165972222225</v>
      </c>
      <c r="U2556">
        <f>MONTH(Table1[[#This Row],[Launched]])</f>
        <v>5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 s="8">
        <v>1338219793</v>
      </c>
      <c r="J2557">
        <v>1335541393</v>
      </c>
      <c r="K2557" t="b">
        <v>0</v>
      </c>
      <c r="L2557" s="10">
        <v>35</v>
      </c>
      <c r="M2557" t="b">
        <v>1</v>
      </c>
      <c r="N2557" t="s">
        <v>8298</v>
      </c>
      <c r="O2557" s="11">
        <f t="shared" si="160"/>
        <v>107</v>
      </c>
      <c r="P2557" s="12">
        <f t="shared" si="161"/>
        <v>61</v>
      </c>
      <c r="Q2557" s="14" t="s">
        <v>8322</v>
      </c>
      <c r="R2557" t="s">
        <v>8351</v>
      </c>
      <c r="S2557" s="17">
        <f t="shared" si="162"/>
        <v>41026.655011574076</v>
      </c>
      <c r="T2557" s="17">
        <f t="shared" si="163"/>
        <v>41057.655011574076</v>
      </c>
      <c r="U2557">
        <f>MONTH(Table1[[#This Row],[Launched]])</f>
        <v>4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8218</v>
      </c>
      <c r="G2558" t="s">
        <v>8223</v>
      </c>
      <c r="H2558" t="s">
        <v>8245</v>
      </c>
      <c r="I2558" s="8">
        <v>1356392857</v>
      </c>
      <c r="J2558">
        <v>1352504857</v>
      </c>
      <c r="K2558" t="b">
        <v>0</v>
      </c>
      <c r="L2558" s="10">
        <v>34</v>
      </c>
      <c r="M2558" t="b">
        <v>1</v>
      </c>
      <c r="N2558" t="s">
        <v>8298</v>
      </c>
      <c r="O2558" s="11">
        <f t="shared" si="160"/>
        <v>106</v>
      </c>
      <c r="P2558" s="12">
        <f t="shared" si="161"/>
        <v>23</v>
      </c>
      <c r="Q2558" s="14" t="s">
        <v>8322</v>
      </c>
      <c r="R2558" t="s">
        <v>8351</v>
      </c>
      <c r="S2558" s="17">
        <f t="shared" si="162"/>
        <v>41222.991400462961</v>
      </c>
      <c r="T2558" s="17">
        <f t="shared" si="163"/>
        <v>41267.991400462961</v>
      </c>
      <c r="U2558">
        <f>MONTH(Table1[[#This Row],[Launched]])</f>
        <v>11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8218</v>
      </c>
      <c r="G2559" t="s">
        <v>8224</v>
      </c>
      <c r="H2559" t="s">
        <v>8246</v>
      </c>
      <c r="I2559" s="8">
        <v>1400176386</v>
      </c>
      <c r="J2559">
        <v>1397584386</v>
      </c>
      <c r="K2559" t="b">
        <v>0</v>
      </c>
      <c r="L2559" s="10">
        <v>36</v>
      </c>
      <c r="M2559" t="b">
        <v>1</v>
      </c>
      <c r="N2559" t="s">
        <v>8298</v>
      </c>
      <c r="O2559" s="11">
        <f t="shared" si="160"/>
        <v>118</v>
      </c>
      <c r="P2559" s="12">
        <f t="shared" si="161"/>
        <v>30</v>
      </c>
      <c r="Q2559" s="14" t="s">
        <v>8322</v>
      </c>
      <c r="R2559" t="s">
        <v>8351</v>
      </c>
      <c r="S2559" s="17">
        <f t="shared" si="162"/>
        <v>41744.745208333334</v>
      </c>
      <c r="T2559" s="17">
        <f t="shared" si="163"/>
        <v>41774.745208333334</v>
      </c>
      <c r="U2559">
        <f>MONTH(Table1[[#This Row],[Launched]])</f>
        <v>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 s="8">
        <v>1430488740</v>
      </c>
      <c r="J2560">
        <v>1427747906</v>
      </c>
      <c r="K2560" t="b">
        <v>0</v>
      </c>
      <c r="L2560" s="10">
        <v>18</v>
      </c>
      <c r="M2560" t="b">
        <v>1</v>
      </c>
      <c r="N2560" t="s">
        <v>8298</v>
      </c>
      <c r="O2560" s="11">
        <f t="shared" si="160"/>
        <v>109</v>
      </c>
      <c r="P2560" s="12">
        <f t="shared" si="161"/>
        <v>76</v>
      </c>
      <c r="Q2560" s="14" t="s">
        <v>8322</v>
      </c>
      <c r="R2560" t="s">
        <v>8351</v>
      </c>
      <c r="S2560" s="17">
        <f t="shared" si="162"/>
        <v>42093.860023148154</v>
      </c>
      <c r="T2560" s="17">
        <f t="shared" si="163"/>
        <v>42125.582638888889</v>
      </c>
      <c r="U2560">
        <f>MONTH(Table1[[#This Row],[Launched]])</f>
        <v>3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8218</v>
      </c>
      <c r="G2561" t="s">
        <v>8223</v>
      </c>
      <c r="H2561" t="s">
        <v>8245</v>
      </c>
      <c r="I2561" s="8">
        <v>1321385820</v>
      </c>
      <c r="J2561">
        <v>1318539484</v>
      </c>
      <c r="K2561" t="b">
        <v>0</v>
      </c>
      <c r="L2561" s="10">
        <v>25</v>
      </c>
      <c r="M2561" t="b">
        <v>1</v>
      </c>
      <c r="N2561" t="s">
        <v>8298</v>
      </c>
      <c r="O2561" s="11">
        <f t="shared" si="160"/>
        <v>111</v>
      </c>
      <c r="P2561" s="12">
        <f t="shared" si="161"/>
        <v>36</v>
      </c>
      <c r="Q2561" s="14" t="s">
        <v>8322</v>
      </c>
      <c r="R2561" t="s">
        <v>8351</v>
      </c>
      <c r="S2561" s="17">
        <f t="shared" si="162"/>
        <v>40829.873657407406</v>
      </c>
      <c r="T2561" s="17">
        <f t="shared" si="163"/>
        <v>40862.817361111112</v>
      </c>
      <c r="U2561">
        <f>MONTH(Table1[[#This Row],[Launched]])</f>
        <v>10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 s="8">
        <v>1425682174</v>
      </c>
      <c r="J2562">
        <v>1423090174</v>
      </c>
      <c r="K2562" t="b">
        <v>0</v>
      </c>
      <c r="L2562" s="10">
        <v>21</v>
      </c>
      <c r="M2562" t="b">
        <v>1</v>
      </c>
      <c r="N2562" t="s">
        <v>8298</v>
      </c>
      <c r="O2562" s="11">
        <f t="shared" ref="O2562:O2625" si="164">ROUND(E2562/D2562*100,0)</f>
        <v>100</v>
      </c>
      <c r="P2562" s="12">
        <f t="shared" si="161"/>
        <v>143</v>
      </c>
      <c r="Q2562" s="14" t="s">
        <v>8322</v>
      </c>
      <c r="R2562" t="s">
        <v>8351</v>
      </c>
      <c r="S2562" s="17">
        <f t="shared" si="162"/>
        <v>42039.951087962967</v>
      </c>
      <c r="T2562" s="17">
        <f t="shared" si="163"/>
        <v>42069.951087962967</v>
      </c>
      <c r="U2562">
        <f>MONTH(Table1[[#This Row],[Launched]])</f>
        <v>2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8219</v>
      </c>
      <c r="G2563" t="s">
        <v>8228</v>
      </c>
      <c r="H2563" t="s">
        <v>8250</v>
      </c>
      <c r="I2563" s="8">
        <v>1444740089</v>
      </c>
      <c r="J2563">
        <v>1442148089</v>
      </c>
      <c r="K2563" t="b">
        <v>0</v>
      </c>
      <c r="L2563" s="10">
        <v>0</v>
      </c>
      <c r="M2563" t="b">
        <v>0</v>
      </c>
      <c r="N2563" t="s">
        <v>8282</v>
      </c>
      <c r="O2563" s="11">
        <f t="shared" si="164"/>
        <v>0</v>
      </c>
      <c r="P2563" s="12" t="str">
        <f t="shared" ref="P2563:P2626" si="165">IFERROR(ROUND(E2563/L2563,),"No Backers")</f>
        <v>No Backers</v>
      </c>
      <c r="Q2563" s="14" t="s">
        <v>8333</v>
      </c>
      <c r="R2563" t="s">
        <v>8334</v>
      </c>
      <c r="S2563" s="17">
        <f t="shared" ref="S2563:S2626" si="166">(((J2563/60)/60)/24)+DATE(1970,1,1)</f>
        <v>42260.528807870374</v>
      </c>
      <c r="T2563" s="17">
        <f t="shared" ref="T2563:T2626" si="167">(((I2563/60)/60)/24)+DATE(1970,1,1)</f>
        <v>42290.528807870374</v>
      </c>
      <c r="U2563">
        <f>MONTH(Table1[[#This Row],[Launched]])</f>
        <v>9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8219</v>
      </c>
      <c r="G2564" t="s">
        <v>8235</v>
      </c>
      <c r="H2564" t="s">
        <v>8248</v>
      </c>
      <c r="I2564" s="8">
        <v>1476189339</v>
      </c>
      <c r="J2564">
        <v>1471005339</v>
      </c>
      <c r="K2564" t="b">
        <v>0</v>
      </c>
      <c r="L2564" s="10">
        <v>3</v>
      </c>
      <c r="M2564" t="b">
        <v>0</v>
      </c>
      <c r="N2564" t="s">
        <v>8282</v>
      </c>
      <c r="O2564" s="11">
        <f t="shared" si="164"/>
        <v>1</v>
      </c>
      <c r="P2564" s="12">
        <f t="shared" si="165"/>
        <v>25</v>
      </c>
      <c r="Q2564" s="14" t="s">
        <v>8333</v>
      </c>
      <c r="R2564" t="s">
        <v>8334</v>
      </c>
      <c r="S2564" s="17">
        <f t="shared" si="166"/>
        <v>42594.524756944447</v>
      </c>
      <c r="T2564" s="17">
        <f t="shared" si="167"/>
        <v>42654.524756944447</v>
      </c>
      <c r="U2564">
        <f>MONTH(Table1[[#This Row],[Launched]])</f>
        <v>8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8219</v>
      </c>
      <c r="G2565" t="s">
        <v>8223</v>
      </c>
      <c r="H2565" t="s">
        <v>8245</v>
      </c>
      <c r="I2565" s="8">
        <v>1438226451</v>
      </c>
      <c r="J2565">
        <v>1433042451</v>
      </c>
      <c r="K2565" t="b">
        <v>0</v>
      </c>
      <c r="L2565" s="10">
        <v>0</v>
      </c>
      <c r="M2565" t="b">
        <v>0</v>
      </c>
      <c r="N2565" t="s">
        <v>8282</v>
      </c>
      <c r="O2565" s="11">
        <f t="shared" si="164"/>
        <v>0</v>
      </c>
      <c r="P2565" s="12" t="str">
        <f t="shared" si="165"/>
        <v>No Backers</v>
      </c>
      <c r="Q2565" s="14" t="s">
        <v>8333</v>
      </c>
      <c r="R2565" t="s">
        <v>8334</v>
      </c>
      <c r="S2565" s="17">
        <f t="shared" si="166"/>
        <v>42155.139479166668</v>
      </c>
      <c r="T2565" s="17">
        <f t="shared" si="167"/>
        <v>42215.139479166668</v>
      </c>
      <c r="U2565">
        <f>MONTH(Table1[[#This Row],[Launched]])</f>
        <v>5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8219</v>
      </c>
      <c r="G2566" t="s">
        <v>8228</v>
      </c>
      <c r="H2566" t="s">
        <v>8250</v>
      </c>
      <c r="I2566" s="8">
        <v>1406854699</v>
      </c>
      <c r="J2566">
        <v>1404262699</v>
      </c>
      <c r="K2566" t="b">
        <v>0</v>
      </c>
      <c r="L2566" s="10">
        <v>0</v>
      </c>
      <c r="M2566" t="b">
        <v>0</v>
      </c>
      <c r="N2566" t="s">
        <v>8282</v>
      </c>
      <c r="O2566" s="11">
        <f t="shared" si="164"/>
        <v>0</v>
      </c>
      <c r="P2566" s="12" t="str">
        <f t="shared" si="165"/>
        <v>No Backers</v>
      </c>
      <c r="Q2566" s="14" t="s">
        <v>8333</v>
      </c>
      <c r="R2566" t="s">
        <v>8334</v>
      </c>
      <c r="S2566" s="17">
        <f t="shared" si="166"/>
        <v>41822.040497685186</v>
      </c>
      <c r="T2566" s="17">
        <f t="shared" si="167"/>
        <v>41852.040497685186</v>
      </c>
      <c r="U2566">
        <f>MONTH(Table1[[#This Row],[Launched]])</f>
        <v>7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 s="8">
        <v>1462827000</v>
      </c>
      <c r="J2567">
        <v>1457710589</v>
      </c>
      <c r="K2567" t="b">
        <v>0</v>
      </c>
      <c r="L2567" s="10">
        <v>1</v>
      </c>
      <c r="M2567" t="b">
        <v>0</v>
      </c>
      <c r="N2567" t="s">
        <v>8282</v>
      </c>
      <c r="O2567" s="11">
        <f t="shared" si="164"/>
        <v>1</v>
      </c>
      <c r="P2567" s="12">
        <f t="shared" si="165"/>
        <v>100</v>
      </c>
      <c r="Q2567" s="14" t="s">
        <v>8333</v>
      </c>
      <c r="R2567" t="s">
        <v>8334</v>
      </c>
      <c r="S2567" s="17">
        <f t="shared" si="166"/>
        <v>42440.650335648148</v>
      </c>
      <c r="T2567" s="17">
        <f t="shared" si="167"/>
        <v>42499.868055555555</v>
      </c>
      <c r="U2567">
        <f>MONTH(Table1[[#This Row],[Launched]])</f>
        <v>3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8219</v>
      </c>
      <c r="G2568" t="s">
        <v>8223</v>
      </c>
      <c r="H2568" t="s">
        <v>8245</v>
      </c>
      <c r="I2568" s="8">
        <v>1408663948</v>
      </c>
      <c r="J2568">
        <v>1406071948</v>
      </c>
      <c r="K2568" t="b">
        <v>0</v>
      </c>
      <c r="L2568" s="10">
        <v>0</v>
      </c>
      <c r="M2568" t="b">
        <v>0</v>
      </c>
      <c r="N2568" t="s">
        <v>8282</v>
      </c>
      <c r="O2568" s="11">
        <f t="shared" si="164"/>
        <v>0</v>
      </c>
      <c r="P2568" s="12" t="str">
        <f t="shared" si="165"/>
        <v>No Backers</v>
      </c>
      <c r="Q2568" s="14" t="s">
        <v>8333</v>
      </c>
      <c r="R2568" t="s">
        <v>8334</v>
      </c>
      <c r="S2568" s="17">
        <f t="shared" si="166"/>
        <v>41842.980879629627</v>
      </c>
      <c r="T2568" s="17">
        <f t="shared" si="167"/>
        <v>41872.980879629627</v>
      </c>
      <c r="U2568">
        <f>MONTH(Table1[[#This Row],[Launched]])</f>
        <v>7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 s="8">
        <v>1429823138</v>
      </c>
      <c r="J2569">
        <v>1427231138</v>
      </c>
      <c r="K2569" t="b">
        <v>0</v>
      </c>
      <c r="L2569" s="10">
        <v>2</v>
      </c>
      <c r="M2569" t="b">
        <v>0</v>
      </c>
      <c r="N2569" t="s">
        <v>8282</v>
      </c>
      <c r="O2569" s="11">
        <f t="shared" si="164"/>
        <v>0</v>
      </c>
      <c r="P2569" s="12">
        <f t="shared" si="165"/>
        <v>60</v>
      </c>
      <c r="Q2569" s="14" t="s">
        <v>8333</v>
      </c>
      <c r="R2569" t="s">
        <v>8334</v>
      </c>
      <c r="S2569" s="17">
        <f t="shared" si="166"/>
        <v>42087.878912037035</v>
      </c>
      <c r="T2569" s="17">
        <f t="shared" si="167"/>
        <v>42117.878912037035</v>
      </c>
      <c r="U2569">
        <f>MONTH(Table1[[#This Row],[Launched]])</f>
        <v>3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8219</v>
      </c>
      <c r="G2570" t="s">
        <v>8224</v>
      </c>
      <c r="H2570" t="s">
        <v>8246</v>
      </c>
      <c r="I2570" s="8">
        <v>1472745594</v>
      </c>
      <c r="J2570">
        <v>1470153594</v>
      </c>
      <c r="K2570" t="b">
        <v>0</v>
      </c>
      <c r="L2570" s="10">
        <v>1</v>
      </c>
      <c r="M2570" t="b">
        <v>0</v>
      </c>
      <c r="N2570" t="s">
        <v>8282</v>
      </c>
      <c r="O2570" s="11">
        <f t="shared" si="164"/>
        <v>1</v>
      </c>
      <c r="P2570" s="12">
        <f t="shared" si="165"/>
        <v>50</v>
      </c>
      <c r="Q2570" s="14" t="s">
        <v>8333</v>
      </c>
      <c r="R2570" t="s">
        <v>8334</v>
      </c>
      <c r="S2570" s="17">
        <f t="shared" si="166"/>
        <v>42584.666597222225</v>
      </c>
      <c r="T2570" s="17">
        <f t="shared" si="167"/>
        <v>42614.666597222225</v>
      </c>
      <c r="U2570">
        <f>MONTH(Table1[[#This Row],[Launched]])</f>
        <v>8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8219</v>
      </c>
      <c r="G2571" t="s">
        <v>8223</v>
      </c>
      <c r="H2571" t="s">
        <v>8245</v>
      </c>
      <c r="I2571" s="8">
        <v>1442457112</v>
      </c>
      <c r="J2571">
        <v>1439865112</v>
      </c>
      <c r="K2571" t="b">
        <v>0</v>
      </c>
      <c r="L2571" s="10">
        <v>2</v>
      </c>
      <c r="M2571" t="b">
        <v>0</v>
      </c>
      <c r="N2571" t="s">
        <v>8282</v>
      </c>
      <c r="O2571" s="11">
        <f t="shared" si="164"/>
        <v>2</v>
      </c>
      <c r="P2571" s="12">
        <f t="shared" si="165"/>
        <v>73</v>
      </c>
      <c r="Q2571" s="14" t="s">
        <v>8333</v>
      </c>
      <c r="R2571" t="s">
        <v>8334</v>
      </c>
      <c r="S2571" s="17">
        <f t="shared" si="166"/>
        <v>42234.105462962965</v>
      </c>
      <c r="T2571" s="17">
        <f t="shared" si="167"/>
        <v>42264.105462962965</v>
      </c>
      <c r="U2571">
        <f>MONTH(Table1[[#This Row],[Launched]])</f>
        <v>8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8219</v>
      </c>
      <c r="G2572" t="s">
        <v>8223</v>
      </c>
      <c r="H2572" t="s">
        <v>8245</v>
      </c>
      <c r="I2572" s="8">
        <v>1486590035</v>
      </c>
      <c r="J2572">
        <v>1483998035</v>
      </c>
      <c r="K2572" t="b">
        <v>0</v>
      </c>
      <c r="L2572" s="10">
        <v>2</v>
      </c>
      <c r="M2572" t="b">
        <v>0</v>
      </c>
      <c r="N2572" t="s">
        <v>8282</v>
      </c>
      <c r="O2572" s="11">
        <f t="shared" si="164"/>
        <v>1</v>
      </c>
      <c r="P2572" s="12">
        <f t="shared" si="165"/>
        <v>30</v>
      </c>
      <c r="Q2572" s="14" t="s">
        <v>8333</v>
      </c>
      <c r="R2572" t="s">
        <v>8334</v>
      </c>
      <c r="S2572" s="17">
        <f t="shared" si="166"/>
        <v>42744.903182870374</v>
      </c>
      <c r="T2572" s="17">
        <f t="shared" si="167"/>
        <v>42774.903182870374</v>
      </c>
      <c r="U2572">
        <f>MONTH(Table1[[#This Row],[Launched]])</f>
        <v>1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 s="8">
        <v>1463645521</v>
      </c>
      <c r="J2573">
        <v>1458461521</v>
      </c>
      <c r="K2573" t="b">
        <v>0</v>
      </c>
      <c r="L2573" s="10">
        <v>4</v>
      </c>
      <c r="M2573" t="b">
        <v>0</v>
      </c>
      <c r="N2573" t="s">
        <v>8282</v>
      </c>
      <c r="O2573" s="11">
        <f t="shared" si="164"/>
        <v>0</v>
      </c>
      <c r="P2573" s="12">
        <f t="shared" si="165"/>
        <v>63</v>
      </c>
      <c r="Q2573" s="14" t="s">
        <v>8333</v>
      </c>
      <c r="R2573" t="s">
        <v>8334</v>
      </c>
      <c r="S2573" s="17">
        <f t="shared" si="166"/>
        <v>42449.341678240744</v>
      </c>
      <c r="T2573" s="17">
        <f t="shared" si="167"/>
        <v>42509.341678240744</v>
      </c>
      <c r="U2573">
        <f>MONTH(Table1[[#This Row],[Launched]])</f>
        <v>3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8219</v>
      </c>
      <c r="G2574" t="s">
        <v>8223</v>
      </c>
      <c r="H2574" t="s">
        <v>8245</v>
      </c>
      <c r="I2574" s="8">
        <v>1428893517</v>
      </c>
      <c r="J2574">
        <v>1426301517</v>
      </c>
      <c r="K2574" t="b">
        <v>0</v>
      </c>
      <c r="L2574" s="10">
        <v>0</v>
      </c>
      <c r="M2574" t="b">
        <v>0</v>
      </c>
      <c r="N2574" t="s">
        <v>8282</v>
      </c>
      <c r="O2574" s="11">
        <f t="shared" si="164"/>
        <v>0</v>
      </c>
      <c r="P2574" s="12" t="str">
        <f t="shared" si="165"/>
        <v>No Backers</v>
      </c>
      <c r="Q2574" s="14" t="s">
        <v>8333</v>
      </c>
      <c r="R2574" t="s">
        <v>8334</v>
      </c>
      <c r="S2574" s="17">
        <f t="shared" si="166"/>
        <v>42077.119409722218</v>
      </c>
      <c r="T2574" s="17">
        <f t="shared" si="167"/>
        <v>42107.119409722218</v>
      </c>
      <c r="U2574">
        <f>MONTH(Table1[[#This Row],[Launched]])</f>
        <v>3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8219</v>
      </c>
      <c r="G2575" t="s">
        <v>8223</v>
      </c>
      <c r="H2575" t="s">
        <v>8245</v>
      </c>
      <c r="I2575" s="8">
        <v>1408803149</v>
      </c>
      <c r="J2575">
        <v>1404915149</v>
      </c>
      <c r="K2575" t="b">
        <v>0</v>
      </c>
      <c r="L2575" s="10">
        <v>0</v>
      </c>
      <c r="M2575" t="b">
        <v>0</v>
      </c>
      <c r="N2575" t="s">
        <v>8282</v>
      </c>
      <c r="O2575" s="11">
        <f t="shared" si="164"/>
        <v>0</v>
      </c>
      <c r="P2575" s="12" t="str">
        <f t="shared" si="165"/>
        <v>No Backers</v>
      </c>
      <c r="Q2575" s="14" t="s">
        <v>8333</v>
      </c>
      <c r="R2575" t="s">
        <v>8334</v>
      </c>
      <c r="S2575" s="17">
        <f t="shared" si="166"/>
        <v>41829.592002314814</v>
      </c>
      <c r="T2575" s="17">
        <f t="shared" si="167"/>
        <v>41874.592002314814</v>
      </c>
      <c r="U2575">
        <f>MONTH(Table1[[#This Row],[Launched]])</f>
        <v>7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8219</v>
      </c>
      <c r="G2576" t="s">
        <v>8223</v>
      </c>
      <c r="H2576" t="s">
        <v>8245</v>
      </c>
      <c r="I2576" s="8">
        <v>1463600945</v>
      </c>
      <c r="J2576">
        <v>1461786545</v>
      </c>
      <c r="K2576" t="b">
        <v>0</v>
      </c>
      <c r="L2576" s="10">
        <v>0</v>
      </c>
      <c r="M2576" t="b">
        <v>0</v>
      </c>
      <c r="N2576" t="s">
        <v>8282</v>
      </c>
      <c r="O2576" s="11">
        <f t="shared" si="164"/>
        <v>0</v>
      </c>
      <c r="P2576" s="12" t="str">
        <f t="shared" si="165"/>
        <v>No Backers</v>
      </c>
      <c r="Q2576" s="14" t="s">
        <v>8333</v>
      </c>
      <c r="R2576" t="s">
        <v>8334</v>
      </c>
      <c r="S2576" s="17">
        <f t="shared" si="166"/>
        <v>42487.825752314813</v>
      </c>
      <c r="T2576" s="17">
        <f t="shared" si="167"/>
        <v>42508.825752314813</v>
      </c>
      <c r="U2576">
        <f>MONTH(Table1[[#This Row],[Launched]])</f>
        <v>4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8219</v>
      </c>
      <c r="G2577" t="s">
        <v>8223</v>
      </c>
      <c r="H2577" t="s">
        <v>8245</v>
      </c>
      <c r="I2577" s="8">
        <v>1421030194</v>
      </c>
      <c r="J2577">
        <v>1418438194</v>
      </c>
      <c r="K2577" t="b">
        <v>0</v>
      </c>
      <c r="L2577" s="10">
        <v>0</v>
      </c>
      <c r="M2577" t="b">
        <v>0</v>
      </c>
      <c r="N2577" t="s">
        <v>8282</v>
      </c>
      <c r="O2577" s="11">
        <f t="shared" si="164"/>
        <v>0</v>
      </c>
      <c r="P2577" s="12" t="str">
        <f t="shared" si="165"/>
        <v>No Backers</v>
      </c>
      <c r="Q2577" s="14" t="s">
        <v>8333</v>
      </c>
      <c r="R2577" t="s">
        <v>8334</v>
      </c>
      <c r="S2577" s="17">
        <f t="shared" si="166"/>
        <v>41986.108726851846</v>
      </c>
      <c r="T2577" s="17">
        <f t="shared" si="167"/>
        <v>42016.108726851846</v>
      </c>
      <c r="U2577">
        <f>MONTH(Table1[[#This Row],[Launched]])</f>
        <v>12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8219</v>
      </c>
      <c r="G2578" t="s">
        <v>8223</v>
      </c>
      <c r="H2578" t="s">
        <v>8245</v>
      </c>
      <c r="I2578" s="8">
        <v>1428707647</v>
      </c>
      <c r="J2578">
        <v>1424823247</v>
      </c>
      <c r="K2578" t="b">
        <v>0</v>
      </c>
      <c r="L2578" s="10">
        <v>0</v>
      </c>
      <c r="M2578" t="b">
        <v>0</v>
      </c>
      <c r="N2578" t="s">
        <v>8282</v>
      </c>
      <c r="O2578" s="11">
        <f t="shared" si="164"/>
        <v>0</v>
      </c>
      <c r="P2578" s="12" t="str">
        <f t="shared" si="165"/>
        <v>No Backers</v>
      </c>
      <c r="Q2578" s="14" t="s">
        <v>8333</v>
      </c>
      <c r="R2578" t="s">
        <v>8334</v>
      </c>
      <c r="S2578" s="17">
        <f t="shared" si="166"/>
        <v>42060.00980324074</v>
      </c>
      <c r="T2578" s="17">
        <f t="shared" si="167"/>
        <v>42104.968136574069</v>
      </c>
      <c r="U2578">
        <f>MONTH(Table1[[#This Row],[Launched]])</f>
        <v>2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8219</v>
      </c>
      <c r="G2579" t="s">
        <v>8223</v>
      </c>
      <c r="H2579" t="s">
        <v>8245</v>
      </c>
      <c r="I2579" s="8">
        <v>1407181297</v>
      </c>
      <c r="J2579">
        <v>1405021297</v>
      </c>
      <c r="K2579" t="b">
        <v>0</v>
      </c>
      <c r="L2579" s="10">
        <v>0</v>
      </c>
      <c r="M2579" t="b">
        <v>0</v>
      </c>
      <c r="N2579" t="s">
        <v>8282</v>
      </c>
      <c r="O2579" s="11">
        <f t="shared" si="164"/>
        <v>0</v>
      </c>
      <c r="P2579" s="12" t="str">
        <f t="shared" si="165"/>
        <v>No Backers</v>
      </c>
      <c r="Q2579" s="14" t="s">
        <v>8333</v>
      </c>
      <c r="R2579" t="s">
        <v>8334</v>
      </c>
      <c r="S2579" s="17">
        <f t="shared" si="166"/>
        <v>41830.820567129631</v>
      </c>
      <c r="T2579" s="17">
        <f t="shared" si="167"/>
        <v>41855.820567129631</v>
      </c>
      <c r="U2579">
        <f>MONTH(Table1[[#This Row],[Launched]])</f>
        <v>7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8219</v>
      </c>
      <c r="G2580" t="s">
        <v>8223</v>
      </c>
      <c r="H2580" t="s">
        <v>8245</v>
      </c>
      <c r="I2580" s="8">
        <v>1444410000</v>
      </c>
      <c r="J2580">
        <v>1440203579</v>
      </c>
      <c r="K2580" t="b">
        <v>0</v>
      </c>
      <c r="L2580" s="10">
        <v>0</v>
      </c>
      <c r="M2580" t="b">
        <v>0</v>
      </c>
      <c r="N2580" t="s">
        <v>8282</v>
      </c>
      <c r="O2580" s="11">
        <f t="shared" si="164"/>
        <v>0</v>
      </c>
      <c r="P2580" s="12" t="str">
        <f t="shared" si="165"/>
        <v>No Backers</v>
      </c>
      <c r="Q2580" s="14" t="s">
        <v>8333</v>
      </c>
      <c r="R2580" t="s">
        <v>8334</v>
      </c>
      <c r="S2580" s="17">
        <f t="shared" si="166"/>
        <v>42238.022905092599</v>
      </c>
      <c r="T2580" s="17">
        <f t="shared" si="167"/>
        <v>42286.708333333328</v>
      </c>
      <c r="U2580">
        <f>MONTH(Table1[[#This Row],[Launched]])</f>
        <v>8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 s="8">
        <v>1410810903</v>
      </c>
      <c r="J2581">
        <v>1405626903</v>
      </c>
      <c r="K2581" t="b">
        <v>0</v>
      </c>
      <c r="L2581" s="10">
        <v>12</v>
      </c>
      <c r="M2581" t="b">
        <v>0</v>
      </c>
      <c r="N2581" t="s">
        <v>8282</v>
      </c>
      <c r="O2581" s="11">
        <f t="shared" si="164"/>
        <v>0</v>
      </c>
      <c r="P2581" s="12">
        <f t="shared" si="165"/>
        <v>23</v>
      </c>
      <c r="Q2581" s="14" t="s">
        <v>8333</v>
      </c>
      <c r="R2581" t="s">
        <v>8334</v>
      </c>
      <c r="S2581" s="17">
        <f t="shared" si="166"/>
        <v>41837.829895833333</v>
      </c>
      <c r="T2581" s="17">
        <f t="shared" si="167"/>
        <v>41897.829895833333</v>
      </c>
      <c r="U2581">
        <f>MONTH(Table1[[#This Row],[Launched]])</f>
        <v>7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8219</v>
      </c>
      <c r="G2582" t="s">
        <v>8223</v>
      </c>
      <c r="H2582" t="s">
        <v>8245</v>
      </c>
      <c r="I2582" s="8">
        <v>1431745200</v>
      </c>
      <c r="J2582">
        <v>1429170603</v>
      </c>
      <c r="K2582" t="b">
        <v>0</v>
      </c>
      <c r="L2582" s="10">
        <v>2</v>
      </c>
      <c r="M2582" t="b">
        <v>0</v>
      </c>
      <c r="N2582" t="s">
        <v>8282</v>
      </c>
      <c r="O2582" s="11">
        <f t="shared" si="164"/>
        <v>1</v>
      </c>
      <c r="P2582" s="12">
        <f t="shared" si="165"/>
        <v>26</v>
      </c>
      <c r="Q2582" s="14" t="s">
        <v>8333</v>
      </c>
      <c r="R2582" t="s">
        <v>8334</v>
      </c>
      <c r="S2582" s="17">
        <f t="shared" si="166"/>
        <v>42110.326423611114</v>
      </c>
      <c r="T2582" s="17">
        <f t="shared" si="167"/>
        <v>42140.125</v>
      </c>
      <c r="U2582">
        <f>MONTH(Table1[[#This Row],[Launched]])</f>
        <v>4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8220</v>
      </c>
      <c r="G2583" t="s">
        <v>8223</v>
      </c>
      <c r="H2583" t="s">
        <v>8245</v>
      </c>
      <c r="I2583" s="8">
        <v>1447689898</v>
      </c>
      <c r="J2583">
        <v>1445094298</v>
      </c>
      <c r="K2583" t="b">
        <v>0</v>
      </c>
      <c r="L2583" s="10">
        <v>11</v>
      </c>
      <c r="M2583" t="b">
        <v>0</v>
      </c>
      <c r="N2583" t="s">
        <v>8282</v>
      </c>
      <c r="O2583" s="11">
        <f t="shared" si="164"/>
        <v>11</v>
      </c>
      <c r="P2583" s="12">
        <f t="shared" si="165"/>
        <v>48</v>
      </c>
      <c r="Q2583" s="14" t="s">
        <v>8333</v>
      </c>
      <c r="R2583" t="s">
        <v>8334</v>
      </c>
      <c r="S2583" s="17">
        <f t="shared" si="166"/>
        <v>42294.628449074073</v>
      </c>
      <c r="T2583" s="17">
        <f t="shared" si="167"/>
        <v>42324.670115740737</v>
      </c>
      <c r="U2583">
        <f>MONTH(Table1[[#This Row],[Launched]])</f>
        <v>10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8220</v>
      </c>
      <c r="G2584" t="s">
        <v>8223</v>
      </c>
      <c r="H2584" t="s">
        <v>8245</v>
      </c>
      <c r="I2584" s="8">
        <v>1477784634</v>
      </c>
      <c r="J2584">
        <v>1475192634</v>
      </c>
      <c r="K2584" t="b">
        <v>0</v>
      </c>
      <c r="L2584" s="10">
        <v>1</v>
      </c>
      <c r="M2584" t="b">
        <v>0</v>
      </c>
      <c r="N2584" t="s">
        <v>8282</v>
      </c>
      <c r="O2584" s="11">
        <f t="shared" si="164"/>
        <v>0</v>
      </c>
      <c r="P2584" s="12">
        <f t="shared" si="165"/>
        <v>1</v>
      </c>
      <c r="Q2584" s="14" t="s">
        <v>8333</v>
      </c>
      <c r="R2584" t="s">
        <v>8334</v>
      </c>
      <c r="S2584" s="17">
        <f t="shared" si="166"/>
        <v>42642.988819444443</v>
      </c>
      <c r="T2584" s="17">
        <f t="shared" si="167"/>
        <v>42672.988819444443</v>
      </c>
      <c r="U2584">
        <f>MONTH(Table1[[#This Row],[Launched]])</f>
        <v>9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8220</v>
      </c>
      <c r="G2585" t="s">
        <v>8223</v>
      </c>
      <c r="H2585" t="s">
        <v>8245</v>
      </c>
      <c r="I2585" s="8">
        <v>1426526880</v>
      </c>
      <c r="J2585">
        <v>1421346480</v>
      </c>
      <c r="K2585" t="b">
        <v>0</v>
      </c>
      <c r="L2585" s="10">
        <v>5</v>
      </c>
      <c r="M2585" t="b">
        <v>0</v>
      </c>
      <c r="N2585" t="s">
        <v>8282</v>
      </c>
      <c r="O2585" s="11">
        <f t="shared" si="164"/>
        <v>1</v>
      </c>
      <c r="P2585" s="12">
        <f t="shared" si="165"/>
        <v>1</v>
      </c>
      <c r="Q2585" s="14" t="s">
        <v>8333</v>
      </c>
      <c r="R2585" t="s">
        <v>8334</v>
      </c>
      <c r="S2585" s="17">
        <f t="shared" si="166"/>
        <v>42019.76944444445</v>
      </c>
      <c r="T2585" s="17">
        <f t="shared" si="167"/>
        <v>42079.727777777778</v>
      </c>
      <c r="U2585">
        <f>MONTH(Table1[[#This Row],[Launched]])</f>
        <v>1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8220</v>
      </c>
      <c r="G2586" t="s">
        <v>8223</v>
      </c>
      <c r="H2586" t="s">
        <v>8245</v>
      </c>
      <c r="I2586" s="8">
        <v>1434341369</v>
      </c>
      <c r="J2586">
        <v>1431749369</v>
      </c>
      <c r="K2586" t="b">
        <v>0</v>
      </c>
      <c r="L2586" s="10">
        <v>0</v>
      </c>
      <c r="M2586" t="b">
        <v>0</v>
      </c>
      <c r="N2586" t="s">
        <v>8282</v>
      </c>
      <c r="O2586" s="11">
        <f t="shared" si="164"/>
        <v>0</v>
      </c>
      <c r="P2586" s="12" t="str">
        <f t="shared" si="165"/>
        <v>No Backers</v>
      </c>
      <c r="Q2586" s="14" t="s">
        <v>8333</v>
      </c>
      <c r="R2586" t="s">
        <v>8334</v>
      </c>
      <c r="S2586" s="17">
        <f t="shared" si="166"/>
        <v>42140.173252314817</v>
      </c>
      <c r="T2586" s="17">
        <f t="shared" si="167"/>
        <v>42170.173252314817</v>
      </c>
      <c r="U2586">
        <f>MONTH(Table1[[#This Row],[Launched]])</f>
        <v>5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8220</v>
      </c>
      <c r="G2587" t="s">
        <v>8223</v>
      </c>
      <c r="H2587" t="s">
        <v>8245</v>
      </c>
      <c r="I2587" s="8">
        <v>1404601632</v>
      </c>
      <c r="J2587">
        <v>1402009632</v>
      </c>
      <c r="K2587" t="b">
        <v>0</v>
      </c>
      <c r="L2587" s="10">
        <v>1</v>
      </c>
      <c r="M2587" t="b">
        <v>0</v>
      </c>
      <c r="N2587" t="s">
        <v>8282</v>
      </c>
      <c r="O2587" s="11">
        <f t="shared" si="164"/>
        <v>0</v>
      </c>
      <c r="P2587" s="12">
        <f t="shared" si="165"/>
        <v>50</v>
      </c>
      <c r="Q2587" s="14" t="s">
        <v>8333</v>
      </c>
      <c r="R2587" t="s">
        <v>8334</v>
      </c>
      <c r="S2587" s="17">
        <f t="shared" si="166"/>
        <v>41795.963333333333</v>
      </c>
      <c r="T2587" s="17">
        <f t="shared" si="167"/>
        <v>41825.963333333333</v>
      </c>
      <c r="U2587">
        <f>MONTH(Table1[[#This Row],[Launched]])</f>
        <v>6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8220</v>
      </c>
      <c r="G2588" t="s">
        <v>8224</v>
      </c>
      <c r="H2588" t="s">
        <v>8246</v>
      </c>
      <c r="I2588" s="8">
        <v>1451030136</v>
      </c>
      <c r="J2588">
        <v>1448438136</v>
      </c>
      <c r="K2588" t="b">
        <v>0</v>
      </c>
      <c r="L2588" s="10">
        <v>1</v>
      </c>
      <c r="M2588" t="b">
        <v>0</v>
      </c>
      <c r="N2588" t="s">
        <v>8282</v>
      </c>
      <c r="O2588" s="11">
        <f t="shared" si="164"/>
        <v>0</v>
      </c>
      <c r="P2588" s="12">
        <f t="shared" si="165"/>
        <v>5</v>
      </c>
      <c r="Q2588" s="14" t="s">
        <v>8333</v>
      </c>
      <c r="R2588" t="s">
        <v>8334</v>
      </c>
      <c r="S2588" s="17">
        <f t="shared" si="166"/>
        <v>42333.330277777779</v>
      </c>
      <c r="T2588" s="17">
        <f t="shared" si="167"/>
        <v>42363.330277777779</v>
      </c>
      <c r="U2588">
        <f>MONTH(Table1[[#This Row],[Launched]])</f>
        <v>11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 s="8">
        <v>1451491953</v>
      </c>
      <c r="J2589">
        <v>1448899953</v>
      </c>
      <c r="K2589" t="b">
        <v>0</v>
      </c>
      <c r="L2589" s="10">
        <v>6</v>
      </c>
      <c r="M2589" t="b">
        <v>0</v>
      </c>
      <c r="N2589" t="s">
        <v>8282</v>
      </c>
      <c r="O2589" s="11">
        <f t="shared" si="164"/>
        <v>2</v>
      </c>
      <c r="P2589" s="12">
        <f t="shared" si="165"/>
        <v>203</v>
      </c>
      <c r="Q2589" s="14" t="s">
        <v>8333</v>
      </c>
      <c r="R2589" t="s">
        <v>8334</v>
      </c>
      <c r="S2589" s="17">
        <f t="shared" si="166"/>
        <v>42338.675381944442</v>
      </c>
      <c r="T2589" s="17">
        <f t="shared" si="167"/>
        <v>42368.675381944442</v>
      </c>
      <c r="U2589">
        <f>MONTH(Table1[[#This Row],[Launched]])</f>
        <v>11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8220</v>
      </c>
      <c r="G2590" t="s">
        <v>8223</v>
      </c>
      <c r="H2590" t="s">
        <v>8245</v>
      </c>
      <c r="I2590" s="8">
        <v>1427807640</v>
      </c>
      <c r="J2590">
        <v>1423325626</v>
      </c>
      <c r="K2590" t="b">
        <v>0</v>
      </c>
      <c r="L2590" s="10">
        <v>8</v>
      </c>
      <c r="M2590" t="b">
        <v>0</v>
      </c>
      <c r="N2590" t="s">
        <v>8282</v>
      </c>
      <c r="O2590" s="11">
        <f t="shared" si="164"/>
        <v>4</v>
      </c>
      <c r="P2590" s="12">
        <f t="shared" si="165"/>
        <v>29</v>
      </c>
      <c r="Q2590" s="14" t="s">
        <v>8333</v>
      </c>
      <c r="R2590" t="s">
        <v>8334</v>
      </c>
      <c r="S2590" s="17">
        <f t="shared" si="166"/>
        <v>42042.676226851851</v>
      </c>
      <c r="T2590" s="17">
        <f t="shared" si="167"/>
        <v>42094.551388888889</v>
      </c>
      <c r="U2590">
        <f>MONTH(Table1[[#This Row],[Launched]])</f>
        <v>2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8220</v>
      </c>
      <c r="G2591" t="s">
        <v>8231</v>
      </c>
      <c r="H2591" t="s">
        <v>8252</v>
      </c>
      <c r="I2591" s="8">
        <v>1458733927</v>
      </c>
      <c r="J2591">
        <v>1456145527</v>
      </c>
      <c r="K2591" t="b">
        <v>0</v>
      </c>
      <c r="L2591" s="10">
        <v>1</v>
      </c>
      <c r="M2591" t="b">
        <v>0</v>
      </c>
      <c r="N2591" t="s">
        <v>8282</v>
      </c>
      <c r="O2591" s="11">
        <f t="shared" si="164"/>
        <v>0</v>
      </c>
      <c r="P2591" s="12">
        <f t="shared" si="165"/>
        <v>5</v>
      </c>
      <c r="Q2591" s="14" t="s">
        <v>8333</v>
      </c>
      <c r="R2591" t="s">
        <v>8334</v>
      </c>
      <c r="S2591" s="17">
        <f t="shared" si="166"/>
        <v>42422.536192129628</v>
      </c>
      <c r="T2591" s="17">
        <f t="shared" si="167"/>
        <v>42452.494525462964</v>
      </c>
      <c r="U2591">
        <f>MONTH(Table1[[#This Row],[Launched]])</f>
        <v>2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8220</v>
      </c>
      <c r="G2592" t="s">
        <v>8225</v>
      </c>
      <c r="H2592" t="s">
        <v>8247</v>
      </c>
      <c r="I2592" s="8">
        <v>1453817297</v>
      </c>
      <c r="J2592">
        <v>1453212497</v>
      </c>
      <c r="K2592" t="b">
        <v>0</v>
      </c>
      <c r="L2592" s="10">
        <v>0</v>
      </c>
      <c r="M2592" t="b">
        <v>0</v>
      </c>
      <c r="N2592" t="s">
        <v>8282</v>
      </c>
      <c r="O2592" s="11">
        <f t="shared" si="164"/>
        <v>0</v>
      </c>
      <c r="P2592" s="12" t="str">
        <f t="shared" si="165"/>
        <v>No Backers</v>
      </c>
      <c r="Q2592" s="14" t="s">
        <v>8333</v>
      </c>
      <c r="R2592" t="s">
        <v>8334</v>
      </c>
      <c r="S2592" s="17">
        <f t="shared" si="166"/>
        <v>42388.589085648149</v>
      </c>
      <c r="T2592" s="17">
        <f t="shared" si="167"/>
        <v>42395.589085648149</v>
      </c>
      <c r="U2592">
        <f>MONTH(Table1[[#This Row],[Launched]])</f>
        <v>1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8220</v>
      </c>
      <c r="G2593" t="s">
        <v>8223</v>
      </c>
      <c r="H2593" t="s">
        <v>8245</v>
      </c>
      <c r="I2593" s="8">
        <v>1457901924</v>
      </c>
      <c r="J2593">
        <v>1452721524</v>
      </c>
      <c r="K2593" t="b">
        <v>0</v>
      </c>
      <c r="L2593" s="10">
        <v>2</v>
      </c>
      <c r="M2593" t="b">
        <v>0</v>
      </c>
      <c r="N2593" t="s">
        <v>8282</v>
      </c>
      <c r="O2593" s="11">
        <f t="shared" si="164"/>
        <v>2</v>
      </c>
      <c r="P2593" s="12">
        <f t="shared" si="165"/>
        <v>13</v>
      </c>
      <c r="Q2593" s="14" t="s">
        <v>8333</v>
      </c>
      <c r="R2593" t="s">
        <v>8334</v>
      </c>
      <c r="S2593" s="17">
        <f t="shared" si="166"/>
        <v>42382.906527777777</v>
      </c>
      <c r="T2593" s="17">
        <f t="shared" si="167"/>
        <v>42442.864861111113</v>
      </c>
      <c r="U2593">
        <f>MONTH(Table1[[#This Row],[Launched]])</f>
        <v>1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8220</v>
      </c>
      <c r="G2594" t="s">
        <v>8223</v>
      </c>
      <c r="H2594" t="s">
        <v>8245</v>
      </c>
      <c r="I2594" s="8">
        <v>1412536421</v>
      </c>
      <c r="J2594">
        <v>1409944421</v>
      </c>
      <c r="K2594" t="b">
        <v>0</v>
      </c>
      <c r="L2594" s="10">
        <v>1</v>
      </c>
      <c r="M2594" t="b">
        <v>0</v>
      </c>
      <c r="N2594" t="s">
        <v>8282</v>
      </c>
      <c r="O2594" s="11">
        <f t="shared" si="164"/>
        <v>0</v>
      </c>
      <c r="P2594" s="12">
        <f t="shared" si="165"/>
        <v>50</v>
      </c>
      <c r="Q2594" s="14" t="s">
        <v>8333</v>
      </c>
      <c r="R2594" t="s">
        <v>8334</v>
      </c>
      <c r="S2594" s="17">
        <f t="shared" si="166"/>
        <v>41887.801168981481</v>
      </c>
      <c r="T2594" s="17">
        <f t="shared" si="167"/>
        <v>41917.801168981481</v>
      </c>
      <c r="U2594">
        <f>MONTH(Table1[[#This Row],[Launched]])</f>
        <v>9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8220</v>
      </c>
      <c r="G2595" t="s">
        <v>8223</v>
      </c>
      <c r="H2595" t="s">
        <v>8245</v>
      </c>
      <c r="I2595" s="8">
        <v>1429993026</v>
      </c>
      <c r="J2595">
        <v>1427401026</v>
      </c>
      <c r="K2595" t="b">
        <v>0</v>
      </c>
      <c r="L2595" s="10">
        <v>0</v>
      </c>
      <c r="M2595" t="b">
        <v>0</v>
      </c>
      <c r="N2595" t="s">
        <v>8282</v>
      </c>
      <c r="O2595" s="11">
        <f t="shared" si="164"/>
        <v>0</v>
      </c>
      <c r="P2595" s="12" t="str">
        <f t="shared" si="165"/>
        <v>No Backers</v>
      </c>
      <c r="Q2595" s="14" t="s">
        <v>8333</v>
      </c>
      <c r="R2595" t="s">
        <v>8334</v>
      </c>
      <c r="S2595" s="17">
        <f t="shared" si="166"/>
        <v>42089.84520833334</v>
      </c>
      <c r="T2595" s="17">
        <f t="shared" si="167"/>
        <v>42119.84520833334</v>
      </c>
      <c r="U2595">
        <f>MONTH(Table1[[#This Row],[Launched]])</f>
        <v>3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8220</v>
      </c>
      <c r="G2596" t="s">
        <v>8223</v>
      </c>
      <c r="H2596" t="s">
        <v>8245</v>
      </c>
      <c r="I2596" s="8">
        <v>1407453228</v>
      </c>
      <c r="J2596">
        <v>1404861228</v>
      </c>
      <c r="K2596" t="b">
        <v>0</v>
      </c>
      <c r="L2596" s="10">
        <v>1</v>
      </c>
      <c r="M2596" t="b">
        <v>0</v>
      </c>
      <c r="N2596" t="s">
        <v>8282</v>
      </c>
      <c r="O2596" s="11">
        <f t="shared" si="164"/>
        <v>0</v>
      </c>
      <c r="P2596" s="12">
        <f t="shared" si="165"/>
        <v>1</v>
      </c>
      <c r="Q2596" s="14" t="s">
        <v>8333</v>
      </c>
      <c r="R2596" t="s">
        <v>8334</v>
      </c>
      <c r="S2596" s="17">
        <f t="shared" si="166"/>
        <v>41828.967916666668</v>
      </c>
      <c r="T2596" s="17">
        <f t="shared" si="167"/>
        <v>41858.967916666668</v>
      </c>
      <c r="U2596">
        <f>MONTH(Table1[[#This Row],[Launched]])</f>
        <v>7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 s="8">
        <v>1487915500</v>
      </c>
      <c r="J2597">
        <v>1485323500</v>
      </c>
      <c r="K2597" t="b">
        <v>0</v>
      </c>
      <c r="L2597" s="10">
        <v>19</v>
      </c>
      <c r="M2597" t="b">
        <v>0</v>
      </c>
      <c r="N2597" t="s">
        <v>8282</v>
      </c>
      <c r="O2597" s="11">
        <f t="shared" si="164"/>
        <v>12</v>
      </c>
      <c r="P2597" s="12">
        <f t="shared" si="165"/>
        <v>96</v>
      </c>
      <c r="Q2597" s="14" t="s">
        <v>8333</v>
      </c>
      <c r="R2597" t="s">
        <v>8334</v>
      </c>
      <c r="S2597" s="17">
        <f t="shared" si="166"/>
        <v>42760.244212962964</v>
      </c>
      <c r="T2597" s="17">
        <f t="shared" si="167"/>
        <v>42790.244212962964</v>
      </c>
      <c r="U2597">
        <f>MONTH(Table1[[#This Row],[Launched]])</f>
        <v>1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 s="8">
        <v>1407427009</v>
      </c>
      <c r="J2598">
        <v>1404835009</v>
      </c>
      <c r="K2598" t="b">
        <v>0</v>
      </c>
      <c r="L2598" s="10">
        <v>27</v>
      </c>
      <c r="M2598" t="b">
        <v>0</v>
      </c>
      <c r="N2598" t="s">
        <v>8282</v>
      </c>
      <c r="O2598" s="11">
        <f t="shared" si="164"/>
        <v>24</v>
      </c>
      <c r="P2598" s="12">
        <f t="shared" si="165"/>
        <v>306</v>
      </c>
      <c r="Q2598" s="14" t="s">
        <v>8333</v>
      </c>
      <c r="R2598" t="s">
        <v>8334</v>
      </c>
      <c r="S2598" s="17">
        <f t="shared" si="166"/>
        <v>41828.664456018516</v>
      </c>
      <c r="T2598" s="17">
        <f t="shared" si="167"/>
        <v>41858.664456018516</v>
      </c>
      <c r="U2598">
        <f>MONTH(Table1[[#This Row],[Launched]])</f>
        <v>7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8220</v>
      </c>
      <c r="G2599" t="s">
        <v>8224</v>
      </c>
      <c r="H2599" t="s">
        <v>8246</v>
      </c>
      <c r="I2599" s="8">
        <v>1466323917</v>
      </c>
      <c r="J2599">
        <v>1463731917</v>
      </c>
      <c r="K2599" t="b">
        <v>0</v>
      </c>
      <c r="L2599" s="10">
        <v>7</v>
      </c>
      <c r="M2599" t="b">
        <v>0</v>
      </c>
      <c r="N2599" t="s">
        <v>8282</v>
      </c>
      <c r="O2599" s="11">
        <f t="shared" si="164"/>
        <v>6</v>
      </c>
      <c r="P2599" s="12">
        <f t="shared" si="165"/>
        <v>12</v>
      </c>
      <c r="Q2599" s="14" t="s">
        <v>8333</v>
      </c>
      <c r="R2599" t="s">
        <v>8334</v>
      </c>
      <c r="S2599" s="17">
        <f t="shared" si="166"/>
        <v>42510.341631944444</v>
      </c>
      <c r="T2599" s="17">
        <f t="shared" si="167"/>
        <v>42540.341631944444</v>
      </c>
      <c r="U2599">
        <f>MONTH(Table1[[#This Row],[Launched]])</f>
        <v>5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 s="8">
        <v>1443039001</v>
      </c>
      <c r="J2600">
        <v>1440447001</v>
      </c>
      <c r="K2600" t="b">
        <v>0</v>
      </c>
      <c r="L2600" s="10">
        <v>14</v>
      </c>
      <c r="M2600" t="b">
        <v>0</v>
      </c>
      <c r="N2600" t="s">
        <v>8282</v>
      </c>
      <c r="O2600" s="11">
        <f t="shared" si="164"/>
        <v>39</v>
      </c>
      <c r="P2600" s="12">
        <f t="shared" si="165"/>
        <v>84</v>
      </c>
      <c r="Q2600" s="14" t="s">
        <v>8333</v>
      </c>
      <c r="R2600" t="s">
        <v>8334</v>
      </c>
      <c r="S2600" s="17">
        <f t="shared" si="166"/>
        <v>42240.840289351851</v>
      </c>
      <c r="T2600" s="17">
        <f t="shared" si="167"/>
        <v>42270.840289351851</v>
      </c>
      <c r="U2600">
        <f>MONTH(Table1[[#This Row],[Launched]])</f>
        <v>8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8220</v>
      </c>
      <c r="G2601" t="s">
        <v>8223</v>
      </c>
      <c r="H2601" t="s">
        <v>8245</v>
      </c>
      <c r="I2601" s="8">
        <v>1407089147</v>
      </c>
      <c r="J2601">
        <v>1403201147</v>
      </c>
      <c r="K2601" t="b">
        <v>0</v>
      </c>
      <c r="L2601" s="10">
        <v>5</v>
      </c>
      <c r="M2601" t="b">
        <v>0</v>
      </c>
      <c r="N2601" t="s">
        <v>8282</v>
      </c>
      <c r="O2601" s="11">
        <f t="shared" si="164"/>
        <v>1</v>
      </c>
      <c r="P2601" s="12">
        <f t="shared" si="165"/>
        <v>18</v>
      </c>
      <c r="Q2601" s="14" t="s">
        <v>8333</v>
      </c>
      <c r="R2601" t="s">
        <v>8334</v>
      </c>
      <c r="S2601" s="17">
        <f t="shared" si="166"/>
        <v>41809.754016203704</v>
      </c>
      <c r="T2601" s="17">
        <f t="shared" si="167"/>
        <v>41854.754016203704</v>
      </c>
      <c r="U2601">
        <f>MONTH(Table1[[#This Row],[Launched]])</f>
        <v>6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 s="8">
        <v>1458938200</v>
      </c>
      <c r="J2602">
        <v>1453757800</v>
      </c>
      <c r="K2602" t="b">
        <v>0</v>
      </c>
      <c r="L2602" s="10">
        <v>30</v>
      </c>
      <c r="M2602" t="b">
        <v>0</v>
      </c>
      <c r="N2602" t="s">
        <v>8282</v>
      </c>
      <c r="O2602" s="11">
        <f t="shared" si="164"/>
        <v>7</v>
      </c>
      <c r="P2602" s="12">
        <f t="shared" si="165"/>
        <v>116</v>
      </c>
      <c r="Q2602" s="14" t="s">
        <v>8333</v>
      </c>
      <c r="R2602" t="s">
        <v>8334</v>
      </c>
      <c r="S2602" s="17">
        <f t="shared" si="166"/>
        <v>42394.900462962964</v>
      </c>
      <c r="T2602" s="17">
        <f t="shared" si="167"/>
        <v>42454.858796296292</v>
      </c>
      <c r="U2602">
        <f>MONTH(Table1[[#This Row],[Launched]])</f>
        <v>1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8218</v>
      </c>
      <c r="G2603" t="s">
        <v>8223</v>
      </c>
      <c r="H2603" t="s">
        <v>8245</v>
      </c>
      <c r="I2603" s="8">
        <v>1347508740</v>
      </c>
      <c r="J2603">
        <v>1346276349</v>
      </c>
      <c r="K2603" t="b">
        <v>1</v>
      </c>
      <c r="L2603" s="10">
        <v>151</v>
      </c>
      <c r="M2603" t="b">
        <v>1</v>
      </c>
      <c r="N2603" t="s">
        <v>8299</v>
      </c>
      <c r="O2603" s="11">
        <f t="shared" si="164"/>
        <v>661</v>
      </c>
      <c r="P2603" s="12">
        <f t="shared" si="165"/>
        <v>22</v>
      </c>
      <c r="Q2603" s="14" t="s">
        <v>8316</v>
      </c>
      <c r="R2603" t="s">
        <v>8352</v>
      </c>
      <c r="S2603" s="17">
        <f t="shared" si="166"/>
        <v>41150.902187499996</v>
      </c>
      <c r="T2603" s="17">
        <f t="shared" si="167"/>
        <v>41165.165972222225</v>
      </c>
      <c r="U2603">
        <f>MONTH(Table1[[#This Row],[Launched]])</f>
        <v>8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 s="8">
        <v>1415827200</v>
      </c>
      <c r="J2604">
        <v>1412358968</v>
      </c>
      <c r="K2604" t="b">
        <v>1</v>
      </c>
      <c r="L2604" s="10">
        <v>489</v>
      </c>
      <c r="M2604" t="b">
        <v>1</v>
      </c>
      <c r="N2604" t="s">
        <v>8299</v>
      </c>
      <c r="O2604" s="11">
        <f t="shared" si="164"/>
        <v>326</v>
      </c>
      <c r="P2604" s="12">
        <f t="shared" si="165"/>
        <v>80</v>
      </c>
      <c r="Q2604" s="14" t="s">
        <v>8316</v>
      </c>
      <c r="R2604" t="s">
        <v>8352</v>
      </c>
      <c r="S2604" s="17">
        <f t="shared" si="166"/>
        <v>41915.747314814813</v>
      </c>
      <c r="T2604" s="17">
        <f t="shared" si="167"/>
        <v>41955.888888888891</v>
      </c>
      <c r="U2604">
        <f>MONTH(Table1[[#This Row],[Launched]])</f>
        <v>10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 s="8">
        <v>1387835654</v>
      </c>
      <c r="J2605">
        <v>1386626054</v>
      </c>
      <c r="K2605" t="b">
        <v>1</v>
      </c>
      <c r="L2605" s="10">
        <v>50</v>
      </c>
      <c r="M2605" t="b">
        <v>1</v>
      </c>
      <c r="N2605" t="s">
        <v>8299</v>
      </c>
      <c r="O2605" s="11">
        <f t="shared" si="164"/>
        <v>101</v>
      </c>
      <c r="P2605" s="12">
        <f t="shared" si="165"/>
        <v>36</v>
      </c>
      <c r="Q2605" s="14" t="s">
        <v>8316</v>
      </c>
      <c r="R2605" t="s">
        <v>8352</v>
      </c>
      <c r="S2605" s="17">
        <f t="shared" si="166"/>
        <v>41617.912662037037</v>
      </c>
      <c r="T2605" s="17">
        <f t="shared" si="167"/>
        <v>41631.912662037037</v>
      </c>
      <c r="U2605">
        <f>MONTH(Table1[[#This Row],[Launched]])</f>
        <v>12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 s="8">
        <v>1335662023</v>
      </c>
      <c r="J2606">
        <v>1333070023</v>
      </c>
      <c r="K2606" t="b">
        <v>1</v>
      </c>
      <c r="L2606" s="10">
        <v>321</v>
      </c>
      <c r="M2606" t="b">
        <v>1</v>
      </c>
      <c r="N2606" t="s">
        <v>8299</v>
      </c>
      <c r="O2606" s="11">
        <f t="shared" si="164"/>
        <v>104</v>
      </c>
      <c r="P2606" s="12">
        <f t="shared" si="165"/>
        <v>65</v>
      </c>
      <c r="Q2606" s="14" t="s">
        <v>8316</v>
      </c>
      <c r="R2606" t="s">
        <v>8352</v>
      </c>
      <c r="S2606" s="17">
        <f t="shared" si="166"/>
        <v>40998.051192129627</v>
      </c>
      <c r="T2606" s="17">
        <f t="shared" si="167"/>
        <v>41028.051192129627</v>
      </c>
      <c r="U2606">
        <f>MONTH(Table1[[#This Row],[Launched]])</f>
        <v>3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 s="8">
        <v>1466168390</v>
      </c>
      <c r="J2607">
        <v>1463576390</v>
      </c>
      <c r="K2607" t="b">
        <v>1</v>
      </c>
      <c r="L2607" s="10">
        <v>1762</v>
      </c>
      <c r="M2607" t="b">
        <v>1</v>
      </c>
      <c r="N2607" t="s">
        <v>8299</v>
      </c>
      <c r="O2607" s="11">
        <f t="shared" si="164"/>
        <v>107</v>
      </c>
      <c r="P2607" s="12">
        <f t="shared" si="165"/>
        <v>61</v>
      </c>
      <c r="Q2607" s="14" t="s">
        <v>8316</v>
      </c>
      <c r="R2607" t="s">
        <v>8352</v>
      </c>
      <c r="S2607" s="17">
        <f t="shared" si="166"/>
        <v>42508.541550925926</v>
      </c>
      <c r="T2607" s="17">
        <f t="shared" si="167"/>
        <v>42538.541550925926</v>
      </c>
      <c r="U2607">
        <f>MONTH(Table1[[#This Row],[Launched]])</f>
        <v>5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 s="8">
        <v>1398791182</v>
      </c>
      <c r="J2608">
        <v>1396026382</v>
      </c>
      <c r="K2608" t="b">
        <v>1</v>
      </c>
      <c r="L2608" s="10">
        <v>385</v>
      </c>
      <c r="M2608" t="b">
        <v>1</v>
      </c>
      <c r="N2608" t="s">
        <v>8299</v>
      </c>
      <c r="O2608" s="11">
        <f t="shared" si="164"/>
        <v>110</v>
      </c>
      <c r="P2608" s="12">
        <f t="shared" si="165"/>
        <v>31</v>
      </c>
      <c r="Q2608" s="14" t="s">
        <v>8316</v>
      </c>
      <c r="R2608" t="s">
        <v>8352</v>
      </c>
      <c r="S2608" s="17">
        <f t="shared" si="166"/>
        <v>41726.712754629632</v>
      </c>
      <c r="T2608" s="17">
        <f t="shared" si="167"/>
        <v>41758.712754629632</v>
      </c>
      <c r="U2608">
        <f>MONTH(Table1[[#This Row],[Launched]])</f>
        <v>3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 s="8">
        <v>1439344800</v>
      </c>
      <c r="J2609">
        <v>1435611572</v>
      </c>
      <c r="K2609" t="b">
        <v>1</v>
      </c>
      <c r="L2609" s="10">
        <v>398</v>
      </c>
      <c r="M2609" t="b">
        <v>1</v>
      </c>
      <c r="N2609" t="s">
        <v>8299</v>
      </c>
      <c r="O2609" s="11">
        <f t="shared" si="164"/>
        <v>408</v>
      </c>
      <c r="P2609" s="12">
        <f t="shared" si="165"/>
        <v>82</v>
      </c>
      <c r="Q2609" s="14" t="s">
        <v>8316</v>
      </c>
      <c r="R2609" t="s">
        <v>8352</v>
      </c>
      <c r="S2609" s="17">
        <f t="shared" si="166"/>
        <v>42184.874675925923</v>
      </c>
      <c r="T2609" s="17">
        <f t="shared" si="167"/>
        <v>42228.083333333328</v>
      </c>
      <c r="U2609">
        <f>MONTH(Table1[[#This Row],[Launched]])</f>
        <v>6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 s="8">
        <v>1489536000</v>
      </c>
      <c r="J2610">
        <v>1485976468</v>
      </c>
      <c r="K2610" t="b">
        <v>1</v>
      </c>
      <c r="L2610" s="10">
        <v>304</v>
      </c>
      <c r="M2610" t="b">
        <v>1</v>
      </c>
      <c r="N2610" t="s">
        <v>8299</v>
      </c>
      <c r="O2610" s="11">
        <f t="shared" si="164"/>
        <v>224</v>
      </c>
      <c r="P2610" s="12">
        <f t="shared" si="165"/>
        <v>59</v>
      </c>
      <c r="Q2610" s="14" t="s">
        <v>8316</v>
      </c>
      <c r="R2610" t="s">
        <v>8352</v>
      </c>
      <c r="S2610" s="17">
        <f t="shared" si="166"/>
        <v>42767.801712962959</v>
      </c>
      <c r="T2610" s="17">
        <f t="shared" si="167"/>
        <v>42809</v>
      </c>
      <c r="U2610">
        <f>MONTH(Table1[[#This Row],[Launched]])</f>
        <v>2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 s="8">
        <v>1342330951</v>
      </c>
      <c r="J2611">
        <v>1339738951</v>
      </c>
      <c r="K2611" t="b">
        <v>1</v>
      </c>
      <c r="L2611" s="10">
        <v>676</v>
      </c>
      <c r="M2611" t="b">
        <v>1</v>
      </c>
      <c r="N2611" t="s">
        <v>8299</v>
      </c>
      <c r="O2611" s="11">
        <f t="shared" si="164"/>
        <v>304</v>
      </c>
      <c r="P2611" s="12">
        <f t="shared" si="165"/>
        <v>157</v>
      </c>
      <c r="Q2611" s="14" t="s">
        <v>8316</v>
      </c>
      <c r="R2611" t="s">
        <v>8352</v>
      </c>
      <c r="S2611" s="17">
        <f t="shared" si="166"/>
        <v>41075.237858796296</v>
      </c>
      <c r="T2611" s="17">
        <f t="shared" si="167"/>
        <v>41105.237858796296</v>
      </c>
      <c r="U2611">
        <f>MONTH(Table1[[#This Row],[Launched]])</f>
        <v>6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 s="8">
        <v>1471849140</v>
      </c>
      <c r="J2612">
        <v>1468444125</v>
      </c>
      <c r="K2612" t="b">
        <v>1</v>
      </c>
      <c r="L2612" s="10">
        <v>577</v>
      </c>
      <c r="M2612" t="b">
        <v>1</v>
      </c>
      <c r="N2612" t="s">
        <v>8299</v>
      </c>
      <c r="O2612" s="11">
        <f t="shared" si="164"/>
        <v>141</v>
      </c>
      <c r="P2612" s="12">
        <f t="shared" si="165"/>
        <v>56</v>
      </c>
      <c r="Q2612" s="14" t="s">
        <v>8316</v>
      </c>
      <c r="R2612" t="s">
        <v>8352</v>
      </c>
      <c r="S2612" s="17">
        <f t="shared" si="166"/>
        <v>42564.881076388891</v>
      </c>
      <c r="T2612" s="17">
        <f t="shared" si="167"/>
        <v>42604.290972222225</v>
      </c>
      <c r="U2612">
        <f>MONTH(Table1[[#This Row],[Launched]])</f>
        <v>7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 s="8">
        <v>1483397940</v>
      </c>
      <c r="J2613">
        <v>1480493014</v>
      </c>
      <c r="K2613" t="b">
        <v>1</v>
      </c>
      <c r="L2613" s="10">
        <v>3663</v>
      </c>
      <c r="M2613" t="b">
        <v>1</v>
      </c>
      <c r="N2613" t="s">
        <v>8299</v>
      </c>
      <c r="O2613" s="11">
        <f t="shared" si="164"/>
        <v>2791</v>
      </c>
      <c r="P2613" s="12">
        <f t="shared" si="165"/>
        <v>84</v>
      </c>
      <c r="Q2613" s="14" t="s">
        <v>8316</v>
      </c>
      <c r="R2613" t="s">
        <v>8352</v>
      </c>
      <c r="S2613" s="17">
        <f t="shared" si="166"/>
        <v>42704.335810185185</v>
      </c>
      <c r="T2613" s="17">
        <f t="shared" si="167"/>
        <v>42737.957638888889</v>
      </c>
      <c r="U2613">
        <f>MONTH(Table1[[#This Row],[Launched]])</f>
        <v>11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 s="8">
        <v>1420773970</v>
      </c>
      <c r="J2614">
        <v>1418095570</v>
      </c>
      <c r="K2614" t="b">
        <v>1</v>
      </c>
      <c r="L2614" s="10">
        <v>294</v>
      </c>
      <c r="M2614" t="b">
        <v>1</v>
      </c>
      <c r="N2614" t="s">
        <v>8299</v>
      </c>
      <c r="O2614" s="11">
        <f t="shared" si="164"/>
        <v>172</v>
      </c>
      <c r="P2614" s="12">
        <f t="shared" si="165"/>
        <v>58</v>
      </c>
      <c r="Q2614" s="14" t="s">
        <v>8316</v>
      </c>
      <c r="R2614" t="s">
        <v>8352</v>
      </c>
      <c r="S2614" s="17">
        <f t="shared" si="166"/>
        <v>41982.143171296295</v>
      </c>
      <c r="T2614" s="17">
        <f t="shared" si="167"/>
        <v>42013.143171296295</v>
      </c>
      <c r="U2614">
        <f>MONTH(Table1[[#This Row],[Launched]])</f>
        <v>12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 s="8">
        <v>1348256294</v>
      </c>
      <c r="J2615">
        <v>1345664294</v>
      </c>
      <c r="K2615" t="b">
        <v>1</v>
      </c>
      <c r="L2615" s="10">
        <v>28</v>
      </c>
      <c r="M2615" t="b">
        <v>1</v>
      </c>
      <c r="N2615" t="s">
        <v>8299</v>
      </c>
      <c r="O2615" s="11">
        <f t="shared" si="164"/>
        <v>101</v>
      </c>
      <c r="P2615" s="12">
        <f t="shared" si="165"/>
        <v>271</v>
      </c>
      <c r="Q2615" s="14" t="s">
        <v>8316</v>
      </c>
      <c r="R2615" t="s">
        <v>8352</v>
      </c>
      <c r="S2615" s="17">
        <f t="shared" si="166"/>
        <v>41143.81821759259</v>
      </c>
      <c r="T2615" s="17">
        <f t="shared" si="167"/>
        <v>41173.81821759259</v>
      </c>
      <c r="U2615">
        <f>MONTH(Table1[[#This Row],[Launched]])</f>
        <v>8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 s="8">
        <v>1398834000</v>
      </c>
      <c r="J2616">
        <v>1396371612</v>
      </c>
      <c r="K2616" t="b">
        <v>1</v>
      </c>
      <c r="L2616" s="10">
        <v>100</v>
      </c>
      <c r="M2616" t="b">
        <v>1</v>
      </c>
      <c r="N2616" t="s">
        <v>8299</v>
      </c>
      <c r="O2616" s="11">
        <f t="shared" si="164"/>
        <v>102</v>
      </c>
      <c r="P2616" s="12">
        <f t="shared" si="165"/>
        <v>107</v>
      </c>
      <c r="Q2616" s="14" t="s">
        <v>8316</v>
      </c>
      <c r="R2616" t="s">
        <v>8352</v>
      </c>
      <c r="S2616" s="17">
        <f t="shared" si="166"/>
        <v>41730.708472222221</v>
      </c>
      <c r="T2616" s="17">
        <f t="shared" si="167"/>
        <v>41759.208333333336</v>
      </c>
      <c r="U2616">
        <f>MONTH(Table1[[#This Row],[Launched]])</f>
        <v>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 s="8">
        <v>1462017600</v>
      </c>
      <c r="J2617">
        <v>1458820564</v>
      </c>
      <c r="K2617" t="b">
        <v>0</v>
      </c>
      <c r="L2617" s="10">
        <v>72</v>
      </c>
      <c r="M2617" t="b">
        <v>1</v>
      </c>
      <c r="N2617" t="s">
        <v>8299</v>
      </c>
      <c r="O2617" s="11">
        <f t="shared" si="164"/>
        <v>170</v>
      </c>
      <c r="P2617" s="12">
        <f t="shared" si="165"/>
        <v>47</v>
      </c>
      <c r="Q2617" s="14" t="s">
        <v>8316</v>
      </c>
      <c r="R2617" t="s">
        <v>8352</v>
      </c>
      <c r="S2617" s="17">
        <f t="shared" si="166"/>
        <v>42453.49726851852</v>
      </c>
      <c r="T2617" s="17">
        <f t="shared" si="167"/>
        <v>42490.5</v>
      </c>
      <c r="U2617">
        <f>MONTH(Table1[[#This Row],[Launched]])</f>
        <v>3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 s="8">
        <v>1440546729</v>
      </c>
      <c r="J2618">
        <v>1437954729</v>
      </c>
      <c r="K2618" t="b">
        <v>1</v>
      </c>
      <c r="L2618" s="10">
        <v>238</v>
      </c>
      <c r="M2618" t="b">
        <v>1</v>
      </c>
      <c r="N2618" t="s">
        <v>8299</v>
      </c>
      <c r="O2618" s="11">
        <f t="shared" si="164"/>
        <v>115</v>
      </c>
      <c r="P2618" s="12">
        <f t="shared" si="165"/>
        <v>120</v>
      </c>
      <c r="Q2618" s="14" t="s">
        <v>8316</v>
      </c>
      <c r="R2618" t="s">
        <v>8352</v>
      </c>
      <c r="S2618" s="17">
        <f t="shared" si="166"/>
        <v>42211.99454861111</v>
      </c>
      <c r="T2618" s="17">
        <f t="shared" si="167"/>
        <v>42241.99454861111</v>
      </c>
      <c r="U2618">
        <f>MONTH(Table1[[#This Row],[Launched]])</f>
        <v>7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8218</v>
      </c>
      <c r="G2619" t="s">
        <v>8223</v>
      </c>
      <c r="H2619" t="s">
        <v>8245</v>
      </c>
      <c r="I2619" s="8">
        <v>1413838751</v>
      </c>
      <c r="J2619">
        <v>1411246751</v>
      </c>
      <c r="K2619" t="b">
        <v>1</v>
      </c>
      <c r="L2619" s="10">
        <v>159</v>
      </c>
      <c r="M2619" t="b">
        <v>1</v>
      </c>
      <c r="N2619" t="s">
        <v>8299</v>
      </c>
      <c r="O2619" s="11">
        <f t="shared" si="164"/>
        <v>878</v>
      </c>
      <c r="P2619" s="12">
        <f t="shared" si="165"/>
        <v>28</v>
      </c>
      <c r="Q2619" s="14" t="s">
        <v>8316</v>
      </c>
      <c r="R2619" t="s">
        <v>8352</v>
      </c>
      <c r="S2619" s="17">
        <f t="shared" si="166"/>
        <v>41902.874432870369</v>
      </c>
      <c r="T2619" s="17">
        <f t="shared" si="167"/>
        <v>41932.874432870369</v>
      </c>
      <c r="U2619">
        <f>MONTH(Table1[[#This Row],[Launched]])</f>
        <v>9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 s="8">
        <v>1449000061</v>
      </c>
      <c r="J2620">
        <v>1443812461</v>
      </c>
      <c r="K2620" t="b">
        <v>1</v>
      </c>
      <c r="L2620" s="10">
        <v>77</v>
      </c>
      <c r="M2620" t="b">
        <v>1</v>
      </c>
      <c r="N2620" t="s">
        <v>8299</v>
      </c>
      <c r="O2620" s="11">
        <f t="shared" si="164"/>
        <v>105</v>
      </c>
      <c r="P2620" s="12">
        <f t="shared" si="165"/>
        <v>205</v>
      </c>
      <c r="Q2620" s="14" t="s">
        <v>8316</v>
      </c>
      <c r="R2620" t="s">
        <v>8352</v>
      </c>
      <c r="S2620" s="17">
        <f t="shared" si="166"/>
        <v>42279.792372685188</v>
      </c>
      <c r="T2620" s="17">
        <f t="shared" si="167"/>
        <v>42339.834039351852</v>
      </c>
      <c r="U2620">
        <f>MONTH(Table1[[#This Row],[Launched]])</f>
        <v>10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 s="8">
        <v>1445598000</v>
      </c>
      <c r="J2621">
        <v>1443302004</v>
      </c>
      <c r="K2621" t="b">
        <v>1</v>
      </c>
      <c r="L2621" s="10">
        <v>53</v>
      </c>
      <c r="M2621" t="b">
        <v>1</v>
      </c>
      <c r="N2621" t="s">
        <v>8299</v>
      </c>
      <c r="O2621" s="11">
        <f t="shared" si="164"/>
        <v>188</v>
      </c>
      <c r="P2621" s="12">
        <f t="shared" si="165"/>
        <v>36</v>
      </c>
      <c r="Q2621" s="14" t="s">
        <v>8316</v>
      </c>
      <c r="R2621" t="s">
        <v>8352</v>
      </c>
      <c r="S2621" s="17">
        <f t="shared" si="166"/>
        <v>42273.884305555555</v>
      </c>
      <c r="T2621" s="17">
        <f t="shared" si="167"/>
        <v>42300.458333333328</v>
      </c>
      <c r="U2621">
        <f>MONTH(Table1[[#This Row],[Launched]])</f>
        <v>9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 s="8">
        <v>1444525200</v>
      </c>
      <c r="J2622">
        <v>1441339242</v>
      </c>
      <c r="K2622" t="b">
        <v>1</v>
      </c>
      <c r="L2622" s="10">
        <v>1251</v>
      </c>
      <c r="M2622" t="b">
        <v>1</v>
      </c>
      <c r="N2622" t="s">
        <v>8299</v>
      </c>
      <c r="O2622" s="11">
        <f t="shared" si="164"/>
        <v>144</v>
      </c>
      <c r="P2622" s="12">
        <f t="shared" si="165"/>
        <v>75</v>
      </c>
      <c r="Q2622" s="14" t="s">
        <v>8316</v>
      </c>
      <c r="R2622" t="s">
        <v>8352</v>
      </c>
      <c r="S2622" s="17">
        <f t="shared" si="166"/>
        <v>42251.16715277778</v>
      </c>
      <c r="T2622" s="17">
        <f t="shared" si="167"/>
        <v>42288.041666666672</v>
      </c>
      <c r="U2622">
        <f>MONTH(Table1[[#This Row],[Launched]])</f>
        <v>9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 s="8">
        <v>1432230988</v>
      </c>
      <c r="J2623">
        <v>1429638988</v>
      </c>
      <c r="K2623" t="b">
        <v>1</v>
      </c>
      <c r="L2623" s="10">
        <v>465</v>
      </c>
      <c r="M2623" t="b">
        <v>1</v>
      </c>
      <c r="N2623" t="s">
        <v>8299</v>
      </c>
      <c r="O2623" s="11">
        <f t="shared" si="164"/>
        <v>146</v>
      </c>
      <c r="P2623" s="12">
        <f t="shared" si="165"/>
        <v>47</v>
      </c>
      <c r="Q2623" s="14" t="s">
        <v>8316</v>
      </c>
      <c r="R2623" t="s">
        <v>8352</v>
      </c>
      <c r="S2623" s="17">
        <f t="shared" si="166"/>
        <v>42115.74754629629</v>
      </c>
      <c r="T2623" s="17">
        <f t="shared" si="167"/>
        <v>42145.74754629629</v>
      </c>
      <c r="U2623">
        <f>MONTH(Table1[[#This Row],[Launched]])</f>
        <v>4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 s="8">
        <v>1483120216</v>
      </c>
      <c r="J2624">
        <v>1479232216</v>
      </c>
      <c r="K2624" t="b">
        <v>0</v>
      </c>
      <c r="L2624" s="10">
        <v>74</v>
      </c>
      <c r="M2624" t="b">
        <v>1</v>
      </c>
      <c r="N2624" t="s">
        <v>8299</v>
      </c>
      <c r="O2624" s="11">
        <f t="shared" si="164"/>
        <v>131</v>
      </c>
      <c r="P2624" s="12">
        <f t="shared" si="165"/>
        <v>27</v>
      </c>
      <c r="Q2624" s="14" t="s">
        <v>8316</v>
      </c>
      <c r="R2624" t="s">
        <v>8352</v>
      </c>
      <c r="S2624" s="17">
        <f t="shared" si="166"/>
        <v>42689.74324074074</v>
      </c>
      <c r="T2624" s="17">
        <f t="shared" si="167"/>
        <v>42734.74324074074</v>
      </c>
      <c r="U2624">
        <f>MONTH(Table1[[#This Row],[Launched]])</f>
        <v>11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 s="8">
        <v>1480658966</v>
      </c>
      <c r="J2625">
        <v>1479449366</v>
      </c>
      <c r="K2625" t="b">
        <v>0</v>
      </c>
      <c r="L2625" s="10">
        <v>62</v>
      </c>
      <c r="M2625" t="b">
        <v>1</v>
      </c>
      <c r="N2625" t="s">
        <v>8299</v>
      </c>
      <c r="O2625" s="11">
        <f t="shared" si="164"/>
        <v>114</v>
      </c>
      <c r="P2625" s="12">
        <f t="shared" si="165"/>
        <v>37</v>
      </c>
      <c r="Q2625" s="14" t="s">
        <v>8316</v>
      </c>
      <c r="R2625" t="s">
        <v>8352</v>
      </c>
      <c r="S2625" s="17">
        <f t="shared" si="166"/>
        <v>42692.256550925929</v>
      </c>
      <c r="T2625" s="17">
        <f t="shared" si="167"/>
        <v>42706.256550925929</v>
      </c>
      <c r="U2625">
        <f>MONTH(Table1[[#This Row],[Launched]])</f>
        <v>11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 s="8">
        <v>1347530822</v>
      </c>
      <c r="J2626">
        <v>1345716422</v>
      </c>
      <c r="K2626" t="b">
        <v>0</v>
      </c>
      <c r="L2626" s="10">
        <v>3468</v>
      </c>
      <c r="M2626" t="b">
        <v>1</v>
      </c>
      <c r="N2626" t="s">
        <v>8299</v>
      </c>
      <c r="O2626" s="11">
        <f t="shared" ref="O2626:O2689" si="168">ROUND(E2626/D2626*100,0)</f>
        <v>1379</v>
      </c>
      <c r="P2626" s="12">
        <f t="shared" si="165"/>
        <v>32</v>
      </c>
      <c r="Q2626" s="14" t="s">
        <v>8316</v>
      </c>
      <c r="R2626" t="s">
        <v>8352</v>
      </c>
      <c r="S2626" s="17">
        <f t="shared" si="166"/>
        <v>41144.42155092593</v>
      </c>
      <c r="T2626" s="17">
        <f t="shared" si="167"/>
        <v>41165.42155092593</v>
      </c>
      <c r="U2626">
        <f>MONTH(Table1[[#This Row],[Launched]])</f>
        <v>8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8218</v>
      </c>
      <c r="G2627" t="s">
        <v>8235</v>
      </c>
      <c r="H2627" t="s">
        <v>8248</v>
      </c>
      <c r="I2627" s="8">
        <v>1478723208</v>
      </c>
      <c r="J2627">
        <v>1476559608</v>
      </c>
      <c r="K2627" t="b">
        <v>0</v>
      </c>
      <c r="L2627" s="10">
        <v>52</v>
      </c>
      <c r="M2627" t="b">
        <v>1</v>
      </c>
      <c r="N2627" t="s">
        <v>8299</v>
      </c>
      <c r="O2627" s="11">
        <f t="shared" si="168"/>
        <v>956</v>
      </c>
      <c r="P2627" s="12">
        <f t="shared" ref="P2627:P2690" si="169">IFERROR(ROUND(E2627/L2627,),"No Backers")</f>
        <v>28</v>
      </c>
      <c r="Q2627" s="14" t="s">
        <v>8316</v>
      </c>
      <c r="R2627" t="s">
        <v>8352</v>
      </c>
      <c r="S2627" s="17">
        <f t="shared" ref="S2627:S2690" si="170">(((J2627/60)/60)/24)+DATE(1970,1,1)</f>
        <v>42658.810277777782</v>
      </c>
      <c r="T2627" s="17">
        <f t="shared" ref="T2627:T2690" si="171">(((I2627/60)/60)/24)+DATE(1970,1,1)</f>
        <v>42683.851944444439</v>
      </c>
      <c r="U2627">
        <f>MONTH(Table1[[#This Row],[Launched]])</f>
        <v>10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 s="8">
        <v>1433343869</v>
      </c>
      <c r="J2628">
        <v>1430751869</v>
      </c>
      <c r="K2628" t="b">
        <v>0</v>
      </c>
      <c r="L2628" s="10">
        <v>50</v>
      </c>
      <c r="M2628" t="b">
        <v>1</v>
      </c>
      <c r="N2628" t="s">
        <v>8299</v>
      </c>
      <c r="O2628" s="11">
        <f t="shared" si="168"/>
        <v>112</v>
      </c>
      <c r="P2628" s="12">
        <f t="shared" si="169"/>
        <v>56</v>
      </c>
      <c r="Q2628" s="14" t="s">
        <v>8316</v>
      </c>
      <c r="R2628" t="s">
        <v>8352</v>
      </c>
      <c r="S2628" s="17">
        <f t="shared" si="170"/>
        <v>42128.628113425926</v>
      </c>
      <c r="T2628" s="17">
        <f t="shared" si="171"/>
        <v>42158.628113425926</v>
      </c>
      <c r="U2628">
        <f>MONTH(Table1[[#This Row],[Launched]])</f>
        <v>5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8218</v>
      </c>
      <c r="G2629" t="s">
        <v>8223</v>
      </c>
      <c r="H2629" t="s">
        <v>8245</v>
      </c>
      <c r="I2629" s="8">
        <v>1448571261</v>
      </c>
      <c r="J2629">
        <v>1445975661</v>
      </c>
      <c r="K2629" t="b">
        <v>0</v>
      </c>
      <c r="L2629" s="10">
        <v>45</v>
      </c>
      <c r="M2629" t="b">
        <v>1</v>
      </c>
      <c r="N2629" t="s">
        <v>8299</v>
      </c>
      <c r="O2629" s="11">
        <f t="shared" si="168"/>
        <v>647</v>
      </c>
      <c r="P2629" s="12">
        <f t="shared" si="169"/>
        <v>22</v>
      </c>
      <c r="Q2629" s="14" t="s">
        <v>8316</v>
      </c>
      <c r="R2629" t="s">
        <v>8352</v>
      </c>
      <c r="S2629" s="17">
        <f t="shared" si="170"/>
        <v>42304.829409722224</v>
      </c>
      <c r="T2629" s="17">
        <f t="shared" si="171"/>
        <v>42334.871076388896</v>
      </c>
      <c r="U2629">
        <f>MONTH(Table1[[#This Row],[Launched]])</f>
        <v>10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8218</v>
      </c>
      <c r="G2630" t="s">
        <v>8223</v>
      </c>
      <c r="H2630" t="s">
        <v>8245</v>
      </c>
      <c r="I2630" s="8">
        <v>1417389067</v>
      </c>
      <c r="J2630">
        <v>1415661067</v>
      </c>
      <c r="K2630" t="b">
        <v>0</v>
      </c>
      <c r="L2630" s="10">
        <v>21</v>
      </c>
      <c r="M2630" t="b">
        <v>1</v>
      </c>
      <c r="N2630" t="s">
        <v>8299</v>
      </c>
      <c r="O2630" s="11">
        <f t="shared" si="168"/>
        <v>110</v>
      </c>
      <c r="P2630" s="12">
        <f t="shared" si="169"/>
        <v>44</v>
      </c>
      <c r="Q2630" s="14" t="s">
        <v>8316</v>
      </c>
      <c r="R2630" t="s">
        <v>8352</v>
      </c>
      <c r="S2630" s="17">
        <f t="shared" si="170"/>
        <v>41953.966053240743</v>
      </c>
      <c r="T2630" s="17">
        <f t="shared" si="171"/>
        <v>41973.966053240743</v>
      </c>
      <c r="U2630">
        <f>MONTH(Table1[[#This Row],[Launched]])</f>
        <v>11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 s="8">
        <v>1431608122</v>
      </c>
      <c r="J2631">
        <v>1429016122</v>
      </c>
      <c r="K2631" t="b">
        <v>0</v>
      </c>
      <c r="L2631" s="10">
        <v>100</v>
      </c>
      <c r="M2631" t="b">
        <v>1</v>
      </c>
      <c r="N2631" t="s">
        <v>8299</v>
      </c>
      <c r="O2631" s="11">
        <f t="shared" si="168"/>
        <v>128</v>
      </c>
      <c r="P2631" s="12">
        <f t="shared" si="169"/>
        <v>64</v>
      </c>
      <c r="Q2631" s="14" t="s">
        <v>8316</v>
      </c>
      <c r="R2631" t="s">
        <v>8352</v>
      </c>
      <c r="S2631" s="17">
        <f t="shared" si="170"/>
        <v>42108.538449074069</v>
      </c>
      <c r="T2631" s="17">
        <f t="shared" si="171"/>
        <v>42138.538449074069</v>
      </c>
      <c r="U2631">
        <f>MONTH(Table1[[#This Row],[Launched]])</f>
        <v>4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 s="8">
        <v>1467280800</v>
      </c>
      <c r="J2632">
        <v>1464921112</v>
      </c>
      <c r="K2632" t="b">
        <v>0</v>
      </c>
      <c r="L2632" s="10">
        <v>81</v>
      </c>
      <c r="M2632" t="b">
        <v>1</v>
      </c>
      <c r="N2632" t="s">
        <v>8299</v>
      </c>
      <c r="O2632" s="11">
        <f t="shared" si="168"/>
        <v>158</v>
      </c>
      <c r="P2632" s="12">
        <f t="shared" si="169"/>
        <v>39</v>
      </c>
      <c r="Q2632" s="14" t="s">
        <v>8316</v>
      </c>
      <c r="R2632" t="s">
        <v>8352</v>
      </c>
      <c r="S2632" s="17">
        <f t="shared" si="170"/>
        <v>42524.105462962965</v>
      </c>
      <c r="T2632" s="17">
        <f t="shared" si="171"/>
        <v>42551.416666666672</v>
      </c>
      <c r="U2632">
        <f>MONTH(Table1[[#This Row],[Launched]])</f>
        <v>6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 s="8">
        <v>1440907427</v>
      </c>
      <c r="J2633">
        <v>1438488227</v>
      </c>
      <c r="K2633" t="b">
        <v>0</v>
      </c>
      <c r="L2633" s="10">
        <v>286</v>
      </c>
      <c r="M2633" t="b">
        <v>1</v>
      </c>
      <c r="N2633" t="s">
        <v>8299</v>
      </c>
      <c r="O2633" s="11">
        <f t="shared" si="168"/>
        <v>115</v>
      </c>
      <c r="P2633" s="12">
        <f t="shared" si="169"/>
        <v>80</v>
      </c>
      <c r="Q2633" s="14" t="s">
        <v>8316</v>
      </c>
      <c r="R2633" t="s">
        <v>8352</v>
      </c>
      <c r="S2633" s="17">
        <f t="shared" si="170"/>
        <v>42218.169293981482</v>
      </c>
      <c r="T2633" s="17">
        <f t="shared" si="171"/>
        <v>42246.169293981482</v>
      </c>
      <c r="U2633">
        <f>MONTH(Table1[[#This Row],[Launched]])</f>
        <v>8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 s="8">
        <v>1464485339</v>
      </c>
      <c r="J2634">
        <v>1462325339</v>
      </c>
      <c r="K2634" t="b">
        <v>0</v>
      </c>
      <c r="L2634" s="10">
        <v>42</v>
      </c>
      <c r="M2634" t="b">
        <v>1</v>
      </c>
      <c r="N2634" t="s">
        <v>8299</v>
      </c>
      <c r="O2634" s="11">
        <f t="shared" si="168"/>
        <v>137</v>
      </c>
      <c r="P2634" s="12">
        <f t="shared" si="169"/>
        <v>35</v>
      </c>
      <c r="Q2634" s="14" t="s">
        <v>8316</v>
      </c>
      <c r="R2634" t="s">
        <v>8352</v>
      </c>
      <c r="S2634" s="17">
        <f t="shared" si="170"/>
        <v>42494.061793981484</v>
      </c>
      <c r="T2634" s="17">
        <f t="shared" si="171"/>
        <v>42519.061793981484</v>
      </c>
      <c r="U2634">
        <f>MONTH(Table1[[#This Row],[Launched]])</f>
        <v>5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 s="8">
        <v>1393542000</v>
      </c>
      <c r="J2635">
        <v>1390938332</v>
      </c>
      <c r="K2635" t="b">
        <v>0</v>
      </c>
      <c r="L2635" s="10">
        <v>199</v>
      </c>
      <c r="M2635" t="b">
        <v>1</v>
      </c>
      <c r="N2635" t="s">
        <v>8299</v>
      </c>
      <c r="O2635" s="11">
        <f t="shared" si="168"/>
        <v>355</v>
      </c>
      <c r="P2635" s="12">
        <f t="shared" si="169"/>
        <v>89</v>
      </c>
      <c r="Q2635" s="14" t="s">
        <v>8316</v>
      </c>
      <c r="R2635" t="s">
        <v>8352</v>
      </c>
      <c r="S2635" s="17">
        <f t="shared" si="170"/>
        <v>41667.823287037041</v>
      </c>
      <c r="T2635" s="17">
        <f t="shared" si="171"/>
        <v>41697.958333333336</v>
      </c>
      <c r="U2635">
        <f>MONTH(Table1[[#This Row],[Launched]])</f>
        <v>1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8218</v>
      </c>
      <c r="G2636" t="s">
        <v>8223</v>
      </c>
      <c r="H2636" t="s">
        <v>8245</v>
      </c>
      <c r="I2636" s="8">
        <v>1475163921</v>
      </c>
      <c r="J2636">
        <v>1472571921</v>
      </c>
      <c r="K2636" t="b">
        <v>0</v>
      </c>
      <c r="L2636" s="10">
        <v>25</v>
      </c>
      <c r="M2636" t="b">
        <v>1</v>
      </c>
      <c r="N2636" t="s">
        <v>8299</v>
      </c>
      <c r="O2636" s="11">
        <f t="shared" si="168"/>
        <v>106</v>
      </c>
      <c r="P2636" s="12">
        <f t="shared" si="169"/>
        <v>39</v>
      </c>
      <c r="Q2636" s="14" t="s">
        <v>8316</v>
      </c>
      <c r="R2636" t="s">
        <v>8352</v>
      </c>
      <c r="S2636" s="17">
        <f t="shared" si="170"/>
        <v>42612.656493055561</v>
      </c>
      <c r="T2636" s="17">
        <f t="shared" si="171"/>
        <v>42642.656493055561</v>
      </c>
      <c r="U2636">
        <f>MONTH(Table1[[#This Row],[Launched]])</f>
        <v>8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 s="8">
        <v>1425937761</v>
      </c>
      <c r="J2637">
        <v>1422917361</v>
      </c>
      <c r="K2637" t="b">
        <v>0</v>
      </c>
      <c r="L2637" s="10">
        <v>84</v>
      </c>
      <c r="M2637" t="b">
        <v>1</v>
      </c>
      <c r="N2637" t="s">
        <v>8299</v>
      </c>
      <c r="O2637" s="11">
        <f t="shared" si="168"/>
        <v>100</v>
      </c>
      <c r="P2637" s="12">
        <f t="shared" si="169"/>
        <v>137</v>
      </c>
      <c r="Q2637" s="14" t="s">
        <v>8316</v>
      </c>
      <c r="R2637" t="s">
        <v>8352</v>
      </c>
      <c r="S2637" s="17">
        <f t="shared" si="170"/>
        <v>42037.950937500005</v>
      </c>
      <c r="T2637" s="17">
        <f t="shared" si="171"/>
        <v>42072.909270833334</v>
      </c>
      <c r="U2637">
        <f>MONTH(Table1[[#This Row],[Launched]])</f>
        <v>2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 s="8">
        <v>1476579600</v>
      </c>
      <c r="J2638">
        <v>1474641914</v>
      </c>
      <c r="K2638" t="b">
        <v>0</v>
      </c>
      <c r="L2638" s="10">
        <v>50</v>
      </c>
      <c r="M2638" t="b">
        <v>1</v>
      </c>
      <c r="N2638" t="s">
        <v>8299</v>
      </c>
      <c r="O2638" s="11">
        <f t="shared" si="168"/>
        <v>187</v>
      </c>
      <c r="P2638" s="12">
        <f t="shared" si="169"/>
        <v>37</v>
      </c>
      <c r="Q2638" s="14" t="s">
        <v>8316</v>
      </c>
      <c r="R2638" t="s">
        <v>8352</v>
      </c>
      <c r="S2638" s="17">
        <f t="shared" si="170"/>
        <v>42636.614745370374</v>
      </c>
      <c r="T2638" s="17">
        <f t="shared" si="171"/>
        <v>42659.041666666672</v>
      </c>
      <c r="U2638">
        <f>MONTH(Table1[[#This Row],[Launched]])</f>
        <v>9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8218</v>
      </c>
      <c r="G2639" t="s">
        <v>8223</v>
      </c>
      <c r="H2639" t="s">
        <v>8245</v>
      </c>
      <c r="I2639" s="8">
        <v>1476277875</v>
      </c>
      <c r="J2639">
        <v>1474895475</v>
      </c>
      <c r="K2639" t="b">
        <v>0</v>
      </c>
      <c r="L2639" s="10">
        <v>26</v>
      </c>
      <c r="M2639" t="b">
        <v>1</v>
      </c>
      <c r="N2639" t="s">
        <v>8299</v>
      </c>
      <c r="O2639" s="11">
        <f t="shared" si="168"/>
        <v>166</v>
      </c>
      <c r="P2639" s="12">
        <f t="shared" si="169"/>
        <v>32</v>
      </c>
      <c r="Q2639" s="14" t="s">
        <v>8316</v>
      </c>
      <c r="R2639" t="s">
        <v>8352</v>
      </c>
      <c r="S2639" s="17">
        <f t="shared" si="170"/>
        <v>42639.549479166672</v>
      </c>
      <c r="T2639" s="17">
        <f t="shared" si="171"/>
        <v>42655.549479166672</v>
      </c>
      <c r="U2639">
        <f>MONTH(Table1[[#This Row],[Launched]])</f>
        <v>9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8218</v>
      </c>
      <c r="G2640" t="s">
        <v>8223</v>
      </c>
      <c r="H2640" t="s">
        <v>8245</v>
      </c>
      <c r="I2640" s="8">
        <v>1421358895</v>
      </c>
      <c r="J2640">
        <v>1418766895</v>
      </c>
      <c r="K2640" t="b">
        <v>0</v>
      </c>
      <c r="L2640" s="10">
        <v>14</v>
      </c>
      <c r="M2640" t="b">
        <v>1</v>
      </c>
      <c r="N2640" t="s">
        <v>8299</v>
      </c>
      <c r="O2640" s="11">
        <f t="shared" si="168"/>
        <v>102</v>
      </c>
      <c r="P2640" s="12">
        <f t="shared" si="169"/>
        <v>25</v>
      </c>
      <c r="Q2640" s="14" t="s">
        <v>8316</v>
      </c>
      <c r="R2640" t="s">
        <v>8352</v>
      </c>
      <c r="S2640" s="17">
        <f t="shared" si="170"/>
        <v>41989.913136574076</v>
      </c>
      <c r="T2640" s="17">
        <f t="shared" si="171"/>
        <v>42019.913136574076</v>
      </c>
      <c r="U2640">
        <f>MONTH(Table1[[#This Row],[Launched]])</f>
        <v>12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8218</v>
      </c>
      <c r="G2641" t="s">
        <v>8224</v>
      </c>
      <c r="H2641" t="s">
        <v>8246</v>
      </c>
      <c r="I2641" s="8">
        <v>1424378748</v>
      </c>
      <c r="J2641">
        <v>1421786748</v>
      </c>
      <c r="K2641" t="b">
        <v>0</v>
      </c>
      <c r="L2641" s="10">
        <v>49</v>
      </c>
      <c r="M2641" t="b">
        <v>1</v>
      </c>
      <c r="N2641" t="s">
        <v>8299</v>
      </c>
      <c r="O2641" s="11">
        <f t="shared" si="168"/>
        <v>164</v>
      </c>
      <c r="P2641" s="12">
        <f t="shared" si="169"/>
        <v>10</v>
      </c>
      <c r="Q2641" s="14" t="s">
        <v>8316</v>
      </c>
      <c r="R2641" t="s">
        <v>8352</v>
      </c>
      <c r="S2641" s="17">
        <f t="shared" si="170"/>
        <v>42024.86513888889</v>
      </c>
      <c r="T2641" s="17">
        <f t="shared" si="171"/>
        <v>42054.86513888889</v>
      </c>
      <c r="U2641">
        <f>MONTH(Table1[[#This Row],[Launched]])</f>
        <v>1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 s="8">
        <v>1433735474</v>
      </c>
      <c r="J2642">
        <v>1428551474</v>
      </c>
      <c r="K2642" t="b">
        <v>0</v>
      </c>
      <c r="L2642" s="10">
        <v>69</v>
      </c>
      <c r="M2642" t="b">
        <v>1</v>
      </c>
      <c r="N2642" t="s">
        <v>8299</v>
      </c>
      <c r="O2642" s="11">
        <f t="shared" si="168"/>
        <v>106</v>
      </c>
      <c r="P2642" s="12">
        <f t="shared" si="169"/>
        <v>46</v>
      </c>
      <c r="Q2642" s="14" t="s">
        <v>8316</v>
      </c>
      <c r="R2642" t="s">
        <v>8352</v>
      </c>
      <c r="S2642" s="17">
        <f t="shared" si="170"/>
        <v>42103.160578703704</v>
      </c>
      <c r="T2642" s="17">
        <f t="shared" si="171"/>
        <v>42163.160578703704</v>
      </c>
      <c r="U2642">
        <f>MONTH(Table1[[#This Row],[Launched]])</f>
        <v>4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8220</v>
      </c>
      <c r="G2643" t="s">
        <v>8223</v>
      </c>
      <c r="H2643" t="s">
        <v>8245</v>
      </c>
      <c r="I2643" s="8">
        <v>1410811740</v>
      </c>
      <c r="J2643">
        <v>1409341863</v>
      </c>
      <c r="K2643" t="b">
        <v>0</v>
      </c>
      <c r="L2643" s="10">
        <v>1</v>
      </c>
      <c r="M2643" t="b">
        <v>0</v>
      </c>
      <c r="N2643" t="s">
        <v>8299</v>
      </c>
      <c r="O2643" s="11">
        <f t="shared" si="168"/>
        <v>1</v>
      </c>
      <c r="P2643" s="12">
        <f t="shared" si="169"/>
        <v>15</v>
      </c>
      <c r="Q2643" s="14" t="s">
        <v>8316</v>
      </c>
      <c r="R2643" t="s">
        <v>8352</v>
      </c>
      <c r="S2643" s="17">
        <f t="shared" si="170"/>
        <v>41880.827118055553</v>
      </c>
      <c r="T2643" s="17">
        <f t="shared" si="171"/>
        <v>41897.839583333334</v>
      </c>
      <c r="U2643">
        <f>MONTH(Table1[[#This Row],[Launched]])</f>
        <v>8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8220</v>
      </c>
      <c r="G2644" t="s">
        <v>8235</v>
      </c>
      <c r="H2644" t="s">
        <v>8248</v>
      </c>
      <c r="I2644" s="8">
        <v>1468565820</v>
      </c>
      <c r="J2644">
        <v>1465970108</v>
      </c>
      <c r="K2644" t="b">
        <v>0</v>
      </c>
      <c r="L2644" s="10">
        <v>0</v>
      </c>
      <c r="M2644" t="b">
        <v>0</v>
      </c>
      <c r="N2644" t="s">
        <v>8299</v>
      </c>
      <c r="O2644" s="11">
        <f t="shared" si="168"/>
        <v>0</v>
      </c>
      <c r="P2644" s="12" t="str">
        <f t="shared" si="169"/>
        <v>No Backers</v>
      </c>
      <c r="Q2644" s="14" t="s">
        <v>8316</v>
      </c>
      <c r="R2644" t="s">
        <v>8352</v>
      </c>
      <c r="S2644" s="17">
        <f t="shared" si="170"/>
        <v>42536.246620370366</v>
      </c>
      <c r="T2644" s="17">
        <f t="shared" si="171"/>
        <v>42566.289583333331</v>
      </c>
      <c r="U2644">
        <f>MONTH(Table1[[#This Row],[Launched]])</f>
        <v>6</v>
      </c>
    </row>
    <row r="2645" spans="1:21" ht="57.6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 s="8">
        <v>1482307140</v>
      </c>
      <c r="J2645">
        <v>1479218315</v>
      </c>
      <c r="K2645" t="b">
        <v>1</v>
      </c>
      <c r="L2645" s="10">
        <v>1501</v>
      </c>
      <c r="M2645" t="b">
        <v>0</v>
      </c>
      <c r="N2645" t="s">
        <v>8299</v>
      </c>
      <c r="O2645" s="11">
        <f t="shared" si="168"/>
        <v>34</v>
      </c>
      <c r="P2645" s="12">
        <f t="shared" si="169"/>
        <v>224</v>
      </c>
      <c r="Q2645" s="14" t="s">
        <v>8316</v>
      </c>
      <c r="R2645" t="s">
        <v>8352</v>
      </c>
      <c r="S2645" s="17">
        <f t="shared" si="170"/>
        <v>42689.582349537035</v>
      </c>
      <c r="T2645" s="17">
        <f t="shared" si="171"/>
        <v>42725.332638888889</v>
      </c>
      <c r="U2645">
        <f>MONTH(Table1[[#This Row],[Launched]])</f>
        <v>11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 s="8">
        <v>1489172435</v>
      </c>
      <c r="J2646">
        <v>1486580435</v>
      </c>
      <c r="K2646" t="b">
        <v>1</v>
      </c>
      <c r="L2646" s="10">
        <v>52</v>
      </c>
      <c r="M2646" t="b">
        <v>0</v>
      </c>
      <c r="N2646" t="s">
        <v>8299</v>
      </c>
      <c r="O2646" s="11">
        <f t="shared" si="168"/>
        <v>2</v>
      </c>
      <c r="P2646" s="12">
        <f t="shared" si="169"/>
        <v>39</v>
      </c>
      <c r="Q2646" s="14" t="s">
        <v>8316</v>
      </c>
      <c r="R2646" t="s">
        <v>8352</v>
      </c>
      <c r="S2646" s="17">
        <f t="shared" si="170"/>
        <v>42774.792071759264</v>
      </c>
      <c r="T2646" s="17">
        <f t="shared" si="171"/>
        <v>42804.792071759264</v>
      </c>
      <c r="U2646">
        <f>MONTH(Table1[[#This Row],[Launched]])</f>
        <v>2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 s="8">
        <v>1415481203</v>
      </c>
      <c r="J2647">
        <v>1412885603</v>
      </c>
      <c r="K2647" t="b">
        <v>1</v>
      </c>
      <c r="L2647" s="10">
        <v>23</v>
      </c>
      <c r="M2647" t="b">
        <v>0</v>
      </c>
      <c r="N2647" t="s">
        <v>8299</v>
      </c>
      <c r="O2647" s="11">
        <f t="shared" si="168"/>
        <v>11</v>
      </c>
      <c r="P2647" s="12">
        <f t="shared" si="169"/>
        <v>91</v>
      </c>
      <c r="Q2647" s="14" t="s">
        <v>8316</v>
      </c>
      <c r="R2647" t="s">
        <v>8352</v>
      </c>
      <c r="S2647" s="17">
        <f t="shared" si="170"/>
        <v>41921.842627314814</v>
      </c>
      <c r="T2647" s="17">
        <f t="shared" si="171"/>
        <v>41951.884293981479</v>
      </c>
      <c r="U2647">
        <f>MONTH(Table1[[#This Row],[Launched]])</f>
        <v>10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 s="8">
        <v>1441783869</v>
      </c>
      <c r="J2648">
        <v>1439191869</v>
      </c>
      <c r="K2648" t="b">
        <v>1</v>
      </c>
      <c r="L2648" s="10">
        <v>535</v>
      </c>
      <c r="M2648" t="b">
        <v>0</v>
      </c>
      <c r="N2648" t="s">
        <v>8299</v>
      </c>
      <c r="O2648" s="11">
        <f t="shared" si="168"/>
        <v>8</v>
      </c>
      <c r="P2648" s="12">
        <f t="shared" si="169"/>
        <v>79</v>
      </c>
      <c r="Q2648" s="14" t="s">
        <v>8316</v>
      </c>
      <c r="R2648" t="s">
        <v>8352</v>
      </c>
      <c r="S2648" s="17">
        <f t="shared" si="170"/>
        <v>42226.313298611116</v>
      </c>
      <c r="T2648" s="17">
        <f t="shared" si="171"/>
        <v>42256.313298611116</v>
      </c>
      <c r="U2648">
        <f>MONTH(Table1[[#This Row],[Launched]])</f>
        <v>8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8219</v>
      </c>
      <c r="G2649" t="s">
        <v>8228</v>
      </c>
      <c r="H2649" t="s">
        <v>8250</v>
      </c>
      <c r="I2649" s="8">
        <v>1439533019</v>
      </c>
      <c r="J2649">
        <v>1436941019</v>
      </c>
      <c r="K2649" t="b">
        <v>0</v>
      </c>
      <c r="L2649" s="10">
        <v>3</v>
      </c>
      <c r="M2649" t="b">
        <v>0</v>
      </c>
      <c r="N2649" t="s">
        <v>8299</v>
      </c>
      <c r="O2649" s="11">
        <f t="shared" si="168"/>
        <v>1</v>
      </c>
      <c r="P2649" s="12">
        <f t="shared" si="169"/>
        <v>12</v>
      </c>
      <c r="Q2649" s="14" t="s">
        <v>8316</v>
      </c>
      <c r="R2649" t="s">
        <v>8352</v>
      </c>
      <c r="S2649" s="17">
        <f t="shared" si="170"/>
        <v>42200.261793981481</v>
      </c>
      <c r="T2649" s="17">
        <f t="shared" si="171"/>
        <v>42230.261793981481</v>
      </c>
      <c r="U2649">
        <f>MONTH(Table1[[#This Row],[Launched]])</f>
        <v>7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 s="8">
        <v>1457543360</v>
      </c>
      <c r="J2650">
        <v>1454951360</v>
      </c>
      <c r="K2650" t="b">
        <v>0</v>
      </c>
      <c r="L2650" s="10">
        <v>6</v>
      </c>
      <c r="M2650" t="b">
        <v>0</v>
      </c>
      <c r="N2650" t="s">
        <v>8299</v>
      </c>
      <c r="O2650" s="11">
        <f t="shared" si="168"/>
        <v>1</v>
      </c>
      <c r="P2650" s="12">
        <f t="shared" si="169"/>
        <v>18</v>
      </c>
      <c r="Q2650" s="14" t="s">
        <v>8316</v>
      </c>
      <c r="R2650" t="s">
        <v>8352</v>
      </c>
      <c r="S2650" s="17">
        <f t="shared" si="170"/>
        <v>42408.714814814812</v>
      </c>
      <c r="T2650" s="17">
        <f t="shared" si="171"/>
        <v>42438.714814814812</v>
      </c>
      <c r="U2650">
        <f>MONTH(Table1[[#This Row],[Launched]])</f>
        <v>2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 s="8">
        <v>1454370941</v>
      </c>
      <c r="J2651">
        <v>1449186941</v>
      </c>
      <c r="K2651" t="b">
        <v>0</v>
      </c>
      <c r="L2651" s="10">
        <v>3</v>
      </c>
      <c r="M2651" t="b">
        <v>0</v>
      </c>
      <c r="N2651" t="s">
        <v>8299</v>
      </c>
      <c r="O2651" s="11">
        <f t="shared" si="168"/>
        <v>0</v>
      </c>
      <c r="P2651" s="12">
        <f t="shared" si="169"/>
        <v>41</v>
      </c>
      <c r="Q2651" s="14" t="s">
        <v>8316</v>
      </c>
      <c r="R2651" t="s">
        <v>8352</v>
      </c>
      <c r="S2651" s="17">
        <f t="shared" si="170"/>
        <v>42341.99700231482</v>
      </c>
      <c r="T2651" s="17">
        <f t="shared" si="171"/>
        <v>42401.99700231482</v>
      </c>
      <c r="U2651">
        <f>MONTH(Table1[[#This Row],[Launched]])</f>
        <v>12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 s="8">
        <v>1482332343</v>
      </c>
      <c r="J2652">
        <v>1479740343</v>
      </c>
      <c r="K2652" t="b">
        <v>0</v>
      </c>
      <c r="L2652" s="10">
        <v>5</v>
      </c>
      <c r="M2652" t="b">
        <v>0</v>
      </c>
      <c r="N2652" t="s">
        <v>8299</v>
      </c>
      <c r="O2652" s="11">
        <f t="shared" si="168"/>
        <v>1</v>
      </c>
      <c r="P2652" s="12">
        <f t="shared" si="169"/>
        <v>72</v>
      </c>
      <c r="Q2652" s="14" t="s">
        <v>8316</v>
      </c>
      <c r="R2652" t="s">
        <v>8352</v>
      </c>
      <c r="S2652" s="17">
        <f t="shared" si="170"/>
        <v>42695.624340277776</v>
      </c>
      <c r="T2652" s="17">
        <f t="shared" si="171"/>
        <v>42725.624340277776</v>
      </c>
      <c r="U2652">
        <f>MONTH(Table1[[#This Row],[Launched]])</f>
        <v>11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 s="8">
        <v>1450380009</v>
      </c>
      <c r="J2653">
        <v>1447960809</v>
      </c>
      <c r="K2653" t="b">
        <v>0</v>
      </c>
      <c r="L2653" s="10">
        <v>17</v>
      </c>
      <c r="M2653" t="b">
        <v>0</v>
      </c>
      <c r="N2653" t="s">
        <v>8299</v>
      </c>
      <c r="O2653" s="11">
        <f t="shared" si="168"/>
        <v>2</v>
      </c>
      <c r="P2653" s="12">
        <f t="shared" si="169"/>
        <v>308</v>
      </c>
      <c r="Q2653" s="14" t="s">
        <v>8316</v>
      </c>
      <c r="R2653" t="s">
        <v>8352</v>
      </c>
      <c r="S2653" s="17">
        <f t="shared" si="170"/>
        <v>42327.805659722217</v>
      </c>
      <c r="T2653" s="17">
        <f t="shared" si="171"/>
        <v>42355.805659722217</v>
      </c>
      <c r="U2653">
        <f>MONTH(Table1[[#This Row],[Launched]])</f>
        <v>11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 s="8">
        <v>1418183325</v>
      </c>
      <c r="J2654">
        <v>1415591325</v>
      </c>
      <c r="K2654" t="b">
        <v>0</v>
      </c>
      <c r="L2654" s="10">
        <v>11</v>
      </c>
      <c r="M2654" t="b">
        <v>0</v>
      </c>
      <c r="N2654" t="s">
        <v>8299</v>
      </c>
      <c r="O2654" s="11">
        <f t="shared" si="168"/>
        <v>1</v>
      </c>
      <c r="P2654" s="12">
        <f t="shared" si="169"/>
        <v>80</v>
      </c>
      <c r="Q2654" s="14" t="s">
        <v>8316</v>
      </c>
      <c r="R2654" t="s">
        <v>8352</v>
      </c>
      <c r="S2654" s="17">
        <f t="shared" si="170"/>
        <v>41953.158854166672</v>
      </c>
      <c r="T2654" s="17">
        <f t="shared" si="171"/>
        <v>41983.158854166672</v>
      </c>
      <c r="U2654">
        <f>MONTH(Table1[[#This Row],[Launched]])</f>
        <v>11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 s="8">
        <v>1402632000</v>
      </c>
      <c r="J2655">
        <v>1399909127</v>
      </c>
      <c r="K2655" t="b">
        <v>0</v>
      </c>
      <c r="L2655" s="10">
        <v>70</v>
      </c>
      <c r="M2655" t="b">
        <v>0</v>
      </c>
      <c r="N2655" t="s">
        <v>8299</v>
      </c>
      <c r="O2655" s="11">
        <f t="shared" si="168"/>
        <v>12</v>
      </c>
      <c r="P2655" s="12">
        <f t="shared" si="169"/>
        <v>84</v>
      </c>
      <c r="Q2655" s="14" t="s">
        <v>8316</v>
      </c>
      <c r="R2655" t="s">
        <v>8352</v>
      </c>
      <c r="S2655" s="17">
        <f t="shared" si="170"/>
        <v>41771.651932870373</v>
      </c>
      <c r="T2655" s="17">
        <f t="shared" si="171"/>
        <v>41803.166666666664</v>
      </c>
      <c r="U2655">
        <f>MONTH(Table1[[#This Row],[Launched]])</f>
        <v>5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 s="8">
        <v>1429622726</v>
      </c>
      <c r="J2656">
        <v>1424442326</v>
      </c>
      <c r="K2656" t="b">
        <v>0</v>
      </c>
      <c r="L2656" s="10">
        <v>6</v>
      </c>
      <c r="M2656" t="b">
        <v>0</v>
      </c>
      <c r="N2656" t="s">
        <v>8299</v>
      </c>
      <c r="O2656" s="11">
        <f t="shared" si="168"/>
        <v>0</v>
      </c>
      <c r="P2656" s="12">
        <f t="shared" si="169"/>
        <v>9</v>
      </c>
      <c r="Q2656" s="14" t="s">
        <v>8316</v>
      </c>
      <c r="R2656" t="s">
        <v>8352</v>
      </c>
      <c r="S2656" s="17">
        <f t="shared" si="170"/>
        <v>42055.600995370376</v>
      </c>
      <c r="T2656" s="17">
        <f t="shared" si="171"/>
        <v>42115.559328703705</v>
      </c>
      <c r="U2656">
        <f>MONTH(Table1[[#This Row],[Launched]])</f>
        <v>2</v>
      </c>
    </row>
    <row r="2657" spans="1:21" ht="15.6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 s="8">
        <v>1455048000</v>
      </c>
      <c r="J2657">
        <v>1452631647</v>
      </c>
      <c r="K2657" t="b">
        <v>0</v>
      </c>
      <c r="L2657" s="10">
        <v>43</v>
      </c>
      <c r="M2657" t="b">
        <v>0</v>
      </c>
      <c r="N2657" t="s">
        <v>8299</v>
      </c>
      <c r="O2657" s="11">
        <f t="shared" si="168"/>
        <v>21</v>
      </c>
      <c r="P2657" s="12">
        <f t="shared" si="169"/>
        <v>73</v>
      </c>
      <c r="Q2657" s="14" t="s">
        <v>8316</v>
      </c>
      <c r="R2657" t="s">
        <v>8352</v>
      </c>
      <c r="S2657" s="17">
        <f t="shared" si="170"/>
        <v>42381.866284722222</v>
      </c>
      <c r="T2657" s="17">
        <f t="shared" si="171"/>
        <v>42409.833333333328</v>
      </c>
      <c r="U2657">
        <f>MONTH(Table1[[#This Row],[Launched]])</f>
        <v>1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 s="8">
        <v>1489345200</v>
      </c>
      <c r="J2658">
        <v>1485966688</v>
      </c>
      <c r="K2658" t="b">
        <v>0</v>
      </c>
      <c r="L2658" s="10">
        <v>152</v>
      </c>
      <c r="M2658" t="b">
        <v>0</v>
      </c>
      <c r="N2658" t="s">
        <v>8299</v>
      </c>
      <c r="O2658" s="11">
        <f t="shared" si="168"/>
        <v>11</v>
      </c>
      <c r="P2658" s="12">
        <f t="shared" si="169"/>
        <v>113</v>
      </c>
      <c r="Q2658" s="14" t="s">
        <v>8316</v>
      </c>
      <c r="R2658" t="s">
        <v>8352</v>
      </c>
      <c r="S2658" s="17">
        <f t="shared" si="170"/>
        <v>42767.688518518517</v>
      </c>
      <c r="T2658" s="17">
        <f t="shared" si="171"/>
        <v>42806.791666666672</v>
      </c>
      <c r="U2658">
        <f>MONTH(Table1[[#This Row],[Launched]])</f>
        <v>2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 s="8">
        <v>1470187800</v>
      </c>
      <c r="J2659">
        <v>1467325053</v>
      </c>
      <c r="K2659" t="b">
        <v>0</v>
      </c>
      <c r="L2659" s="10">
        <v>59</v>
      </c>
      <c r="M2659" t="b">
        <v>0</v>
      </c>
      <c r="N2659" t="s">
        <v>8299</v>
      </c>
      <c r="O2659" s="11">
        <f t="shared" si="168"/>
        <v>19</v>
      </c>
      <c r="P2659" s="12">
        <f t="shared" si="169"/>
        <v>95</v>
      </c>
      <c r="Q2659" s="14" t="s">
        <v>8316</v>
      </c>
      <c r="R2659" t="s">
        <v>8352</v>
      </c>
      <c r="S2659" s="17">
        <f t="shared" si="170"/>
        <v>42551.928854166668</v>
      </c>
      <c r="T2659" s="17">
        <f t="shared" si="171"/>
        <v>42585.0625</v>
      </c>
      <c r="U2659">
        <f>MONTH(Table1[[#This Row],[Launched]])</f>
        <v>6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8219</v>
      </c>
      <c r="G2660" t="s">
        <v>8223</v>
      </c>
      <c r="H2660" t="s">
        <v>8245</v>
      </c>
      <c r="I2660" s="8">
        <v>1469913194</v>
      </c>
      <c r="J2660">
        <v>1467321194</v>
      </c>
      <c r="K2660" t="b">
        <v>0</v>
      </c>
      <c r="L2660" s="10">
        <v>4</v>
      </c>
      <c r="M2660" t="b">
        <v>0</v>
      </c>
      <c r="N2660" t="s">
        <v>8299</v>
      </c>
      <c r="O2660" s="11">
        <f t="shared" si="168"/>
        <v>0</v>
      </c>
      <c r="P2660" s="12">
        <f t="shared" si="169"/>
        <v>23</v>
      </c>
      <c r="Q2660" s="14" t="s">
        <v>8316</v>
      </c>
      <c r="R2660" t="s">
        <v>8352</v>
      </c>
      <c r="S2660" s="17">
        <f t="shared" si="170"/>
        <v>42551.884189814817</v>
      </c>
      <c r="T2660" s="17">
        <f t="shared" si="171"/>
        <v>42581.884189814817</v>
      </c>
      <c r="U2660">
        <f>MONTH(Table1[[#This Row],[Launched]])</f>
        <v>6</v>
      </c>
    </row>
    <row r="2661" spans="1:21" ht="15.6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 s="8">
        <v>1429321210</v>
      </c>
      <c r="J2661">
        <v>1426729210</v>
      </c>
      <c r="K2661" t="b">
        <v>0</v>
      </c>
      <c r="L2661" s="10">
        <v>10</v>
      </c>
      <c r="M2661" t="b">
        <v>0</v>
      </c>
      <c r="N2661" t="s">
        <v>8299</v>
      </c>
      <c r="O2661" s="11">
        <f t="shared" si="168"/>
        <v>3</v>
      </c>
      <c r="P2661" s="12">
        <f t="shared" si="169"/>
        <v>133</v>
      </c>
      <c r="Q2661" s="14" t="s">
        <v>8316</v>
      </c>
      <c r="R2661" t="s">
        <v>8352</v>
      </c>
      <c r="S2661" s="17">
        <f t="shared" si="170"/>
        <v>42082.069560185191</v>
      </c>
      <c r="T2661" s="17">
        <f t="shared" si="171"/>
        <v>42112.069560185191</v>
      </c>
      <c r="U2661">
        <f>MONTH(Table1[[#This Row],[Launched]])</f>
        <v>3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8219</v>
      </c>
      <c r="G2662" t="s">
        <v>8223</v>
      </c>
      <c r="H2662" t="s">
        <v>8245</v>
      </c>
      <c r="I2662" s="8">
        <v>1448388418</v>
      </c>
      <c r="J2662">
        <v>1443200818</v>
      </c>
      <c r="K2662" t="b">
        <v>0</v>
      </c>
      <c r="L2662" s="10">
        <v>5</v>
      </c>
      <c r="M2662" t="b">
        <v>0</v>
      </c>
      <c r="N2662" t="s">
        <v>8299</v>
      </c>
      <c r="O2662" s="11">
        <f t="shared" si="168"/>
        <v>0</v>
      </c>
      <c r="P2662" s="12">
        <f t="shared" si="169"/>
        <v>4</v>
      </c>
      <c r="Q2662" s="14" t="s">
        <v>8316</v>
      </c>
      <c r="R2662" t="s">
        <v>8352</v>
      </c>
      <c r="S2662" s="17">
        <f t="shared" si="170"/>
        <v>42272.713171296295</v>
      </c>
      <c r="T2662" s="17">
        <f t="shared" si="171"/>
        <v>42332.754837962959</v>
      </c>
      <c r="U2662">
        <f>MONTH(Table1[[#This Row],[Launched]])</f>
        <v>9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 s="8">
        <v>1382742010</v>
      </c>
      <c r="J2663">
        <v>1380150010</v>
      </c>
      <c r="K2663" t="b">
        <v>0</v>
      </c>
      <c r="L2663" s="10">
        <v>60</v>
      </c>
      <c r="M2663" t="b">
        <v>1</v>
      </c>
      <c r="N2663" t="s">
        <v>8300</v>
      </c>
      <c r="O2663" s="11">
        <f t="shared" si="168"/>
        <v>103</v>
      </c>
      <c r="P2663" s="12">
        <f t="shared" si="169"/>
        <v>86</v>
      </c>
      <c r="Q2663" s="14" t="s">
        <v>8316</v>
      </c>
      <c r="R2663" t="s">
        <v>8353</v>
      </c>
      <c r="S2663" s="17">
        <f t="shared" si="170"/>
        <v>41542.958449074074</v>
      </c>
      <c r="T2663" s="17">
        <f t="shared" si="171"/>
        <v>41572.958449074074</v>
      </c>
      <c r="U2663">
        <f>MONTH(Table1[[#This Row],[Launched]])</f>
        <v>9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 s="8">
        <v>1440179713</v>
      </c>
      <c r="J2664">
        <v>1437587713</v>
      </c>
      <c r="K2664" t="b">
        <v>0</v>
      </c>
      <c r="L2664" s="10">
        <v>80</v>
      </c>
      <c r="M2664" t="b">
        <v>1</v>
      </c>
      <c r="N2664" t="s">
        <v>8300</v>
      </c>
      <c r="O2664" s="11">
        <f t="shared" si="168"/>
        <v>107</v>
      </c>
      <c r="P2664" s="12">
        <f t="shared" si="169"/>
        <v>267</v>
      </c>
      <c r="Q2664" s="14" t="s">
        <v>8316</v>
      </c>
      <c r="R2664" t="s">
        <v>8353</v>
      </c>
      <c r="S2664" s="17">
        <f t="shared" si="170"/>
        <v>42207.746678240743</v>
      </c>
      <c r="T2664" s="17">
        <f t="shared" si="171"/>
        <v>42237.746678240743</v>
      </c>
      <c r="U2664">
        <f>MONTH(Table1[[#This Row],[Launched]])</f>
        <v>7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 s="8">
        <v>1441378800</v>
      </c>
      <c r="J2665">
        <v>1438873007</v>
      </c>
      <c r="K2665" t="b">
        <v>0</v>
      </c>
      <c r="L2665" s="10">
        <v>56</v>
      </c>
      <c r="M2665" t="b">
        <v>1</v>
      </c>
      <c r="N2665" t="s">
        <v>8300</v>
      </c>
      <c r="O2665" s="11">
        <f t="shared" si="168"/>
        <v>105</v>
      </c>
      <c r="P2665" s="12">
        <f t="shared" si="169"/>
        <v>374</v>
      </c>
      <c r="Q2665" s="14" t="s">
        <v>8316</v>
      </c>
      <c r="R2665" t="s">
        <v>8353</v>
      </c>
      <c r="S2665" s="17">
        <f t="shared" si="170"/>
        <v>42222.622766203705</v>
      </c>
      <c r="T2665" s="17">
        <f t="shared" si="171"/>
        <v>42251.625</v>
      </c>
      <c r="U2665">
        <f>MONTH(Table1[[#This Row],[Launched]])</f>
        <v>8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 s="8">
        <v>1449644340</v>
      </c>
      <c r="J2666">
        <v>1446683797</v>
      </c>
      <c r="K2666" t="b">
        <v>0</v>
      </c>
      <c r="L2666" s="10">
        <v>104</v>
      </c>
      <c r="M2666" t="b">
        <v>1</v>
      </c>
      <c r="N2666" t="s">
        <v>8300</v>
      </c>
      <c r="O2666" s="11">
        <f t="shared" si="168"/>
        <v>103</v>
      </c>
      <c r="P2666" s="12">
        <f t="shared" si="169"/>
        <v>174</v>
      </c>
      <c r="Q2666" s="14" t="s">
        <v>8316</v>
      </c>
      <c r="R2666" t="s">
        <v>8353</v>
      </c>
      <c r="S2666" s="17">
        <f t="shared" si="170"/>
        <v>42313.02542824074</v>
      </c>
      <c r="T2666" s="17">
        <f t="shared" si="171"/>
        <v>42347.290972222225</v>
      </c>
      <c r="U2666">
        <f>MONTH(Table1[[#This Row],[Launched]])</f>
        <v>11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 s="8">
        <v>1430774974</v>
      </c>
      <c r="J2667">
        <v>1426886974</v>
      </c>
      <c r="K2667" t="b">
        <v>0</v>
      </c>
      <c r="L2667" s="10">
        <v>46</v>
      </c>
      <c r="M2667" t="b">
        <v>1</v>
      </c>
      <c r="N2667" t="s">
        <v>8300</v>
      </c>
      <c r="O2667" s="11">
        <f t="shared" si="168"/>
        <v>123</v>
      </c>
      <c r="P2667" s="12">
        <f t="shared" si="169"/>
        <v>94</v>
      </c>
      <c r="Q2667" s="14" t="s">
        <v>8316</v>
      </c>
      <c r="R2667" t="s">
        <v>8353</v>
      </c>
      <c r="S2667" s="17">
        <f t="shared" si="170"/>
        <v>42083.895532407405</v>
      </c>
      <c r="T2667" s="17">
        <f t="shared" si="171"/>
        <v>42128.895532407405</v>
      </c>
      <c r="U2667">
        <f>MONTH(Table1[[#This Row],[Launched]])</f>
        <v>3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 s="8">
        <v>1443214800</v>
      </c>
      <c r="J2668">
        <v>1440008439</v>
      </c>
      <c r="K2668" t="b">
        <v>0</v>
      </c>
      <c r="L2668" s="10">
        <v>206</v>
      </c>
      <c r="M2668" t="b">
        <v>1</v>
      </c>
      <c r="N2668" t="s">
        <v>8300</v>
      </c>
      <c r="O2668" s="11">
        <f t="shared" si="168"/>
        <v>159</v>
      </c>
      <c r="P2668" s="12">
        <f t="shared" si="169"/>
        <v>77</v>
      </c>
      <c r="Q2668" s="14" t="s">
        <v>8316</v>
      </c>
      <c r="R2668" t="s">
        <v>8353</v>
      </c>
      <c r="S2668" s="17">
        <f t="shared" si="170"/>
        <v>42235.764340277776</v>
      </c>
      <c r="T2668" s="17">
        <f t="shared" si="171"/>
        <v>42272.875</v>
      </c>
      <c r="U2668">
        <f>MONTH(Table1[[#This Row],[Launched]])</f>
        <v>8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 s="8">
        <v>1455142416</v>
      </c>
      <c r="J2669">
        <v>1452550416</v>
      </c>
      <c r="K2669" t="b">
        <v>0</v>
      </c>
      <c r="L2669" s="10">
        <v>18</v>
      </c>
      <c r="M2669" t="b">
        <v>1</v>
      </c>
      <c r="N2669" t="s">
        <v>8300</v>
      </c>
      <c r="O2669" s="11">
        <f t="shared" si="168"/>
        <v>111</v>
      </c>
      <c r="P2669" s="12">
        <f t="shared" si="169"/>
        <v>92</v>
      </c>
      <c r="Q2669" s="14" t="s">
        <v>8316</v>
      </c>
      <c r="R2669" t="s">
        <v>8353</v>
      </c>
      <c r="S2669" s="17">
        <f t="shared" si="170"/>
        <v>42380.926111111112</v>
      </c>
      <c r="T2669" s="17">
        <f t="shared" si="171"/>
        <v>42410.926111111112</v>
      </c>
      <c r="U2669">
        <f>MONTH(Table1[[#This Row],[Launched]])</f>
        <v>1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 s="8">
        <v>1447079520</v>
      </c>
      <c r="J2670">
        <v>1443449265</v>
      </c>
      <c r="K2670" t="b">
        <v>0</v>
      </c>
      <c r="L2670" s="10">
        <v>28</v>
      </c>
      <c r="M2670" t="b">
        <v>1</v>
      </c>
      <c r="N2670" t="s">
        <v>8300</v>
      </c>
      <c r="O2670" s="11">
        <f t="shared" si="168"/>
        <v>171</v>
      </c>
      <c r="P2670" s="12">
        <f t="shared" si="169"/>
        <v>61</v>
      </c>
      <c r="Q2670" s="14" t="s">
        <v>8316</v>
      </c>
      <c r="R2670" t="s">
        <v>8353</v>
      </c>
      <c r="S2670" s="17">
        <f t="shared" si="170"/>
        <v>42275.588715277772</v>
      </c>
      <c r="T2670" s="17">
        <f t="shared" si="171"/>
        <v>42317.60555555555</v>
      </c>
      <c r="U2670">
        <f>MONTH(Table1[[#This Row],[Launched]])</f>
        <v>9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8218</v>
      </c>
      <c r="G2671" t="s">
        <v>8223</v>
      </c>
      <c r="H2671" t="s">
        <v>8245</v>
      </c>
      <c r="I2671" s="8">
        <v>1452387096</v>
      </c>
      <c r="J2671">
        <v>1447203096</v>
      </c>
      <c r="K2671" t="b">
        <v>0</v>
      </c>
      <c r="L2671" s="10">
        <v>11</v>
      </c>
      <c r="M2671" t="b">
        <v>1</v>
      </c>
      <c r="N2671" t="s">
        <v>8300</v>
      </c>
      <c r="O2671" s="11">
        <f t="shared" si="168"/>
        <v>125</v>
      </c>
      <c r="P2671" s="12">
        <f t="shared" si="169"/>
        <v>91</v>
      </c>
      <c r="Q2671" s="14" t="s">
        <v>8316</v>
      </c>
      <c r="R2671" t="s">
        <v>8353</v>
      </c>
      <c r="S2671" s="17">
        <f t="shared" si="170"/>
        <v>42319.035833333335</v>
      </c>
      <c r="T2671" s="17">
        <f t="shared" si="171"/>
        <v>42379.035833333335</v>
      </c>
      <c r="U2671">
        <f>MONTH(Table1[[#This Row],[Launched]])</f>
        <v>11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 s="8">
        <v>1406593780</v>
      </c>
      <c r="J2672">
        <v>1404174580</v>
      </c>
      <c r="K2672" t="b">
        <v>1</v>
      </c>
      <c r="L2672" s="10">
        <v>60</v>
      </c>
      <c r="M2672" t="b">
        <v>0</v>
      </c>
      <c r="N2672" t="s">
        <v>8300</v>
      </c>
      <c r="O2672" s="11">
        <f t="shared" si="168"/>
        <v>6</v>
      </c>
      <c r="P2672" s="12">
        <f t="shared" si="169"/>
        <v>42</v>
      </c>
      <c r="Q2672" s="14" t="s">
        <v>8316</v>
      </c>
      <c r="R2672" t="s">
        <v>8353</v>
      </c>
      <c r="S2672" s="17">
        <f t="shared" si="170"/>
        <v>41821.020601851851</v>
      </c>
      <c r="T2672" s="17">
        <f t="shared" si="171"/>
        <v>41849.020601851851</v>
      </c>
      <c r="U2672">
        <f>MONTH(Table1[[#This Row],[Launched]])</f>
        <v>7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 s="8">
        <v>1419017880</v>
      </c>
      <c r="J2673">
        <v>1416419916</v>
      </c>
      <c r="K2673" t="b">
        <v>1</v>
      </c>
      <c r="L2673" s="10">
        <v>84</v>
      </c>
      <c r="M2673" t="b">
        <v>0</v>
      </c>
      <c r="N2673" t="s">
        <v>8300</v>
      </c>
      <c r="O2673" s="11">
        <f t="shared" si="168"/>
        <v>11</v>
      </c>
      <c r="P2673" s="12">
        <f t="shared" si="169"/>
        <v>34</v>
      </c>
      <c r="Q2673" s="14" t="s">
        <v>8316</v>
      </c>
      <c r="R2673" t="s">
        <v>8353</v>
      </c>
      <c r="S2673" s="17">
        <f t="shared" si="170"/>
        <v>41962.749027777783</v>
      </c>
      <c r="T2673" s="17">
        <f t="shared" si="171"/>
        <v>41992.818055555559</v>
      </c>
      <c r="U2673">
        <f>MONTH(Table1[[#This Row],[Launched]])</f>
        <v>11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 s="8">
        <v>1451282400</v>
      </c>
      <c r="J2674">
        <v>1449436390</v>
      </c>
      <c r="K2674" t="b">
        <v>1</v>
      </c>
      <c r="L2674" s="10">
        <v>47</v>
      </c>
      <c r="M2674" t="b">
        <v>0</v>
      </c>
      <c r="N2674" t="s">
        <v>8300</v>
      </c>
      <c r="O2674" s="11">
        <f t="shared" si="168"/>
        <v>33</v>
      </c>
      <c r="P2674" s="12">
        <f t="shared" si="169"/>
        <v>71</v>
      </c>
      <c r="Q2674" s="14" t="s">
        <v>8316</v>
      </c>
      <c r="R2674" t="s">
        <v>8353</v>
      </c>
      <c r="S2674" s="17">
        <f t="shared" si="170"/>
        <v>42344.884143518517</v>
      </c>
      <c r="T2674" s="17">
        <f t="shared" si="171"/>
        <v>42366.25</v>
      </c>
      <c r="U2674">
        <f>MONTH(Table1[[#This Row],[Launched]])</f>
        <v>12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 s="8">
        <v>1414622700</v>
      </c>
      <c r="J2675">
        <v>1412081999</v>
      </c>
      <c r="K2675" t="b">
        <v>1</v>
      </c>
      <c r="L2675" s="10">
        <v>66</v>
      </c>
      <c r="M2675" t="b">
        <v>0</v>
      </c>
      <c r="N2675" t="s">
        <v>8300</v>
      </c>
      <c r="O2675" s="11">
        <f t="shared" si="168"/>
        <v>28</v>
      </c>
      <c r="P2675" s="12">
        <f t="shared" si="169"/>
        <v>167</v>
      </c>
      <c r="Q2675" s="14" t="s">
        <v>8316</v>
      </c>
      <c r="R2675" t="s">
        <v>8353</v>
      </c>
      <c r="S2675" s="17">
        <f t="shared" si="170"/>
        <v>41912.541655092595</v>
      </c>
      <c r="T2675" s="17">
        <f t="shared" si="171"/>
        <v>41941.947916666664</v>
      </c>
      <c r="U2675">
        <f>MONTH(Table1[[#This Row],[Launched]])</f>
        <v>9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 s="8">
        <v>1467694740</v>
      </c>
      <c r="J2676">
        <v>1465398670</v>
      </c>
      <c r="K2676" t="b">
        <v>1</v>
      </c>
      <c r="L2676" s="10">
        <v>171</v>
      </c>
      <c r="M2676" t="b">
        <v>0</v>
      </c>
      <c r="N2676" t="s">
        <v>8300</v>
      </c>
      <c r="O2676" s="11">
        <f t="shared" si="168"/>
        <v>63</v>
      </c>
      <c r="P2676" s="12">
        <f t="shared" si="169"/>
        <v>129</v>
      </c>
      <c r="Q2676" s="14" t="s">
        <v>8316</v>
      </c>
      <c r="R2676" t="s">
        <v>8353</v>
      </c>
      <c r="S2676" s="17">
        <f t="shared" si="170"/>
        <v>42529.632754629631</v>
      </c>
      <c r="T2676" s="17">
        <f t="shared" si="171"/>
        <v>42556.207638888889</v>
      </c>
      <c r="U2676">
        <f>MONTH(Table1[[#This Row],[Launched]])</f>
        <v>6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 s="8">
        <v>1415655289</v>
      </c>
      <c r="J2677">
        <v>1413059689</v>
      </c>
      <c r="K2677" t="b">
        <v>1</v>
      </c>
      <c r="L2677" s="10">
        <v>29</v>
      </c>
      <c r="M2677" t="b">
        <v>0</v>
      </c>
      <c r="N2677" t="s">
        <v>8300</v>
      </c>
      <c r="O2677" s="11">
        <f t="shared" si="168"/>
        <v>8</v>
      </c>
      <c r="P2677" s="12">
        <f t="shared" si="169"/>
        <v>65</v>
      </c>
      <c r="Q2677" s="14" t="s">
        <v>8316</v>
      </c>
      <c r="R2677" t="s">
        <v>8353</v>
      </c>
      <c r="S2677" s="17">
        <f t="shared" si="170"/>
        <v>41923.857511574075</v>
      </c>
      <c r="T2677" s="17">
        <f t="shared" si="171"/>
        <v>41953.899178240739</v>
      </c>
      <c r="U2677">
        <f>MONTH(Table1[[#This Row],[Launched]])</f>
        <v>10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 s="8">
        <v>1463929174</v>
      </c>
      <c r="J2678">
        <v>1461337174</v>
      </c>
      <c r="K2678" t="b">
        <v>0</v>
      </c>
      <c r="L2678" s="10">
        <v>9</v>
      </c>
      <c r="M2678" t="b">
        <v>0</v>
      </c>
      <c r="N2678" t="s">
        <v>8300</v>
      </c>
      <c r="O2678" s="11">
        <f t="shared" si="168"/>
        <v>50</v>
      </c>
      <c r="P2678" s="12">
        <f t="shared" si="169"/>
        <v>118</v>
      </c>
      <c r="Q2678" s="14" t="s">
        <v>8316</v>
      </c>
      <c r="R2678" t="s">
        <v>8353</v>
      </c>
      <c r="S2678" s="17">
        <f t="shared" si="170"/>
        <v>42482.624699074076</v>
      </c>
      <c r="T2678" s="17">
        <f t="shared" si="171"/>
        <v>42512.624699074076</v>
      </c>
      <c r="U2678">
        <f>MONTH(Table1[[#This Row],[Launched]])</f>
        <v>4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 s="8">
        <v>1404348143</v>
      </c>
      <c r="J2679">
        <v>1401756143</v>
      </c>
      <c r="K2679" t="b">
        <v>0</v>
      </c>
      <c r="L2679" s="10">
        <v>27</v>
      </c>
      <c r="M2679" t="b">
        <v>0</v>
      </c>
      <c r="N2679" t="s">
        <v>8300</v>
      </c>
      <c r="O2679" s="11">
        <f t="shared" si="168"/>
        <v>18</v>
      </c>
      <c r="P2679" s="12">
        <f t="shared" si="169"/>
        <v>126</v>
      </c>
      <c r="Q2679" s="14" t="s">
        <v>8316</v>
      </c>
      <c r="R2679" t="s">
        <v>8353</v>
      </c>
      <c r="S2679" s="17">
        <f t="shared" si="170"/>
        <v>41793.029432870368</v>
      </c>
      <c r="T2679" s="17">
        <f t="shared" si="171"/>
        <v>41823.029432870368</v>
      </c>
      <c r="U2679">
        <f>MONTH(Table1[[#This Row],[Launched]])</f>
        <v>6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 s="8">
        <v>1443121765</v>
      </c>
      <c r="J2680">
        <v>1440529765</v>
      </c>
      <c r="K2680" t="b">
        <v>0</v>
      </c>
      <c r="L2680" s="10">
        <v>2</v>
      </c>
      <c r="M2680" t="b">
        <v>0</v>
      </c>
      <c r="N2680" t="s">
        <v>8300</v>
      </c>
      <c r="O2680" s="11">
        <f t="shared" si="168"/>
        <v>0</v>
      </c>
      <c r="P2680" s="12">
        <f t="shared" si="169"/>
        <v>550</v>
      </c>
      <c r="Q2680" s="14" t="s">
        <v>8316</v>
      </c>
      <c r="R2680" t="s">
        <v>8353</v>
      </c>
      <c r="S2680" s="17">
        <f t="shared" si="170"/>
        <v>42241.798206018517</v>
      </c>
      <c r="T2680" s="17">
        <f t="shared" si="171"/>
        <v>42271.798206018517</v>
      </c>
      <c r="U2680">
        <f>MONTH(Table1[[#This Row],[Launched]])</f>
        <v>8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 s="8">
        <v>1425081694</v>
      </c>
      <c r="J2681">
        <v>1422489694</v>
      </c>
      <c r="K2681" t="b">
        <v>0</v>
      </c>
      <c r="L2681" s="10">
        <v>3</v>
      </c>
      <c r="M2681" t="b">
        <v>0</v>
      </c>
      <c r="N2681" t="s">
        <v>8300</v>
      </c>
      <c r="O2681" s="11">
        <f t="shared" si="168"/>
        <v>0</v>
      </c>
      <c r="P2681" s="12">
        <f t="shared" si="169"/>
        <v>44</v>
      </c>
      <c r="Q2681" s="14" t="s">
        <v>8316</v>
      </c>
      <c r="R2681" t="s">
        <v>8353</v>
      </c>
      <c r="S2681" s="17">
        <f t="shared" si="170"/>
        <v>42033.001087962963</v>
      </c>
      <c r="T2681" s="17">
        <f t="shared" si="171"/>
        <v>42063.001087962963</v>
      </c>
      <c r="U2681">
        <f>MONTH(Table1[[#This Row],[Launched]])</f>
        <v>1</v>
      </c>
    </row>
    <row r="2682" spans="1:21" ht="15.6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 s="8">
        <v>1459915491</v>
      </c>
      <c r="J2682">
        <v>1457327091</v>
      </c>
      <c r="K2682" t="b">
        <v>0</v>
      </c>
      <c r="L2682" s="10">
        <v>4</v>
      </c>
      <c r="M2682" t="b">
        <v>0</v>
      </c>
      <c r="N2682" t="s">
        <v>8300</v>
      </c>
      <c r="O2682" s="11">
        <f t="shared" si="168"/>
        <v>1</v>
      </c>
      <c r="P2682" s="12">
        <f t="shared" si="169"/>
        <v>69</v>
      </c>
      <c r="Q2682" s="14" t="s">
        <v>8316</v>
      </c>
      <c r="R2682" t="s">
        <v>8353</v>
      </c>
      <c r="S2682" s="17">
        <f t="shared" si="170"/>
        <v>42436.211701388893</v>
      </c>
      <c r="T2682" s="17">
        <f t="shared" si="171"/>
        <v>42466.170034722221</v>
      </c>
      <c r="U2682">
        <f>MONTH(Table1[[#This Row],[Launched]])</f>
        <v>3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8220</v>
      </c>
      <c r="G2683" t="s">
        <v>8223</v>
      </c>
      <c r="H2683" t="s">
        <v>8245</v>
      </c>
      <c r="I2683" s="8">
        <v>1405027750</v>
      </c>
      <c r="J2683">
        <v>1402867750</v>
      </c>
      <c r="K2683" t="b">
        <v>0</v>
      </c>
      <c r="L2683" s="10">
        <v>2</v>
      </c>
      <c r="M2683" t="b">
        <v>0</v>
      </c>
      <c r="N2683" t="s">
        <v>8282</v>
      </c>
      <c r="O2683" s="11">
        <f t="shared" si="168"/>
        <v>1</v>
      </c>
      <c r="P2683" s="12">
        <f t="shared" si="169"/>
        <v>28</v>
      </c>
      <c r="Q2683" s="14" t="s">
        <v>8333</v>
      </c>
      <c r="R2683" t="s">
        <v>8334</v>
      </c>
      <c r="S2683" s="17">
        <f t="shared" si="170"/>
        <v>41805.895254629628</v>
      </c>
      <c r="T2683" s="17">
        <f t="shared" si="171"/>
        <v>41830.895254629628</v>
      </c>
      <c r="U2683">
        <f>MONTH(Table1[[#This Row],[Launched]])</f>
        <v>6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 s="8">
        <v>1416635940</v>
      </c>
      <c r="J2684">
        <v>1413838540</v>
      </c>
      <c r="K2684" t="b">
        <v>0</v>
      </c>
      <c r="L2684" s="10">
        <v>20</v>
      </c>
      <c r="M2684" t="b">
        <v>0</v>
      </c>
      <c r="N2684" t="s">
        <v>8282</v>
      </c>
      <c r="O2684" s="11">
        <f t="shared" si="168"/>
        <v>28</v>
      </c>
      <c r="P2684" s="12">
        <f t="shared" si="169"/>
        <v>85</v>
      </c>
      <c r="Q2684" s="14" t="s">
        <v>8333</v>
      </c>
      <c r="R2684" t="s">
        <v>8334</v>
      </c>
      <c r="S2684" s="17">
        <f t="shared" si="170"/>
        <v>41932.871990740743</v>
      </c>
      <c r="T2684" s="17">
        <f t="shared" si="171"/>
        <v>41965.249305555553</v>
      </c>
      <c r="U2684">
        <f>MONTH(Table1[[#This Row],[Launched]])</f>
        <v>10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8220</v>
      </c>
      <c r="G2685" t="s">
        <v>8223</v>
      </c>
      <c r="H2685" t="s">
        <v>8245</v>
      </c>
      <c r="I2685" s="8">
        <v>1425233240</v>
      </c>
      <c r="J2685">
        <v>1422641240</v>
      </c>
      <c r="K2685" t="b">
        <v>0</v>
      </c>
      <c r="L2685" s="10">
        <v>3</v>
      </c>
      <c r="M2685" t="b">
        <v>0</v>
      </c>
      <c r="N2685" t="s">
        <v>8282</v>
      </c>
      <c r="O2685" s="11">
        <f t="shared" si="168"/>
        <v>0</v>
      </c>
      <c r="P2685" s="12">
        <f t="shared" si="169"/>
        <v>12</v>
      </c>
      <c r="Q2685" s="14" t="s">
        <v>8333</v>
      </c>
      <c r="R2685" t="s">
        <v>8334</v>
      </c>
      <c r="S2685" s="17">
        <f t="shared" si="170"/>
        <v>42034.75509259259</v>
      </c>
      <c r="T2685" s="17">
        <f t="shared" si="171"/>
        <v>42064.75509259259</v>
      </c>
      <c r="U2685">
        <f>MONTH(Table1[[#This Row],[Launched]])</f>
        <v>1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 s="8">
        <v>1407621425</v>
      </c>
      <c r="J2686">
        <v>1404165425</v>
      </c>
      <c r="K2686" t="b">
        <v>0</v>
      </c>
      <c r="L2686" s="10">
        <v>4</v>
      </c>
      <c r="M2686" t="b">
        <v>0</v>
      </c>
      <c r="N2686" t="s">
        <v>8282</v>
      </c>
      <c r="O2686" s="11">
        <f t="shared" si="168"/>
        <v>1</v>
      </c>
      <c r="P2686" s="12">
        <f t="shared" si="169"/>
        <v>200</v>
      </c>
      <c r="Q2686" s="14" t="s">
        <v>8333</v>
      </c>
      <c r="R2686" t="s">
        <v>8334</v>
      </c>
      <c r="S2686" s="17">
        <f t="shared" si="170"/>
        <v>41820.914641203701</v>
      </c>
      <c r="T2686" s="17">
        <f t="shared" si="171"/>
        <v>41860.914641203701</v>
      </c>
      <c r="U2686">
        <f>MONTH(Table1[[#This Row],[Launched]])</f>
        <v>6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8220</v>
      </c>
      <c r="G2687" t="s">
        <v>8223</v>
      </c>
      <c r="H2687" t="s">
        <v>8245</v>
      </c>
      <c r="I2687" s="8">
        <v>1430149330</v>
      </c>
      <c r="J2687">
        <v>1424968930</v>
      </c>
      <c r="K2687" t="b">
        <v>0</v>
      </c>
      <c r="L2687" s="10">
        <v>1</v>
      </c>
      <c r="M2687" t="b">
        <v>0</v>
      </c>
      <c r="N2687" t="s">
        <v>8282</v>
      </c>
      <c r="O2687" s="11">
        <f t="shared" si="168"/>
        <v>0</v>
      </c>
      <c r="P2687" s="12">
        <f t="shared" si="169"/>
        <v>10</v>
      </c>
      <c r="Q2687" s="14" t="s">
        <v>8333</v>
      </c>
      <c r="R2687" t="s">
        <v>8334</v>
      </c>
      <c r="S2687" s="17">
        <f t="shared" si="170"/>
        <v>42061.69594907407</v>
      </c>
      <c r="T2687" s="17">
        <f t="shared" si="171"/>
        <v>42121.654282407413</v>
      </c>
      <c r="U2687">
        <f>MONTH(Table1[[#This Row],[Launched]])</f>
        <v>2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8220</v>
      </c>
      <c r="G2688" t="s">
        <v>8223</v>
      </c>
      <c r="H2688" t="s">
        <v>8245</v>
      </c>
      <c r="I2688" s="8">
        <v>1412119423</v>
      </c>
      <c r="J2688">
        <v>1410391423</v>
      </c>
      <c r="K2688" t="b">
        <v>0</v>
      </c>
      <c r="L2688" s="10">
        <v>0</v>
      </c>
      <c r="M2688" t="b">
        <v>0</v>
      </c>
      <c r="N2688" t="s">
        <v>8282</v>
      </c>
      <c r="O2688" s="11">
        <f t="shared" si="168"/>
        <v>0</v>
      </c>
      <c r="P2688" s="12" t="str">
        <f t="shared" si="169"/>
        <v>No Backers</v>
      </c>
      <c r="Q2688" s="14" t="s">
        <v>8333</v>
      </c>
      <c r="R2688" t="s">
        <v>8334</v>
      </c>
      <c r="S2688" s="17">
        <f t="shared" si="170"/>
        <v>41892.974803240737</v>
      </c>
      <c r="T2688" s="17">
        <f t="shared" si="171"/>
        <v>41912.974803240737</v>
      </c>
      <c r="U2688">
        <f>MONTH(Table1[[#This Row],[Launched]])</f>
        <v>9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8220</v>
      </c>
      <c r="G2689" t="s">
        <v>8223</v>
      </c>
      <c r="H2689" t="s">
        <v>8245</v>
      </c>
      <c r="I2689" s="8">
        <v>1435591318</v>
      </c>
      <c r="J2689">
        <v>1432999318</v>
      </c>
      <c r="K2689" t="b">
        <v>0</v>
      </c>
      <c r="L2689" s="10">
        <v>0</v>
      </c>
      <c r="M2689" t="b">
        <v>0</v>
      </c>
      <c r="N2689" t="s">
        <v>8282</v>
      </c>
      <c r="O2689" s="11">
        <f t="shared" si="168"/>
        <v>0</v>
      </c>
      <c r="P2689" s="12" t="str">
        <f t="shared" si="169"/>
        <v>No Backers</v>
      </c>
      <c r="Q2689" s="14" t="s">
        <v>8333</v>
      </c>
      <c r="R2689" t="s">
        <v>8334</v>
      </c>
      <c r="S2689" s="17">
        <f t="shared" si="170"/>
        <v>42154.64025462963</v>
      </c>
      <c r="T2689" s="17">
        <f t="shared" si="171"/>
        <v>42184.64025462963</v>
      </c>
      <c r="U2689">
        <f>MONTH(Table1[[#This Row],[Launched]])</f>
        <v>5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8220</v>
      </c>
      <c r="G2690" t="s">
        <v>8223</v>
      </c>
      <c r="H2690" t="s">
        <v>8245</v>
      </c>
      <c r="I2690" s="8">
        <v>1424746800</v>
      </c>
      <c r="J2690">
        <v>1422067870</v>
      </c>
      <c r="K2690" t="b">
        <v>0</v>
      </c>
      <c r="L2690" s="10">
        <v>14</v>
      </c>
      <c r="M2690" t="b">
        <v>0</v>
      </c>
      <c r="N2690" t="s">
        <v>8282</v>
      </c>
      <c r="O2690" s="11">
        <f t="shared" ref="O2690:O2753" si="172">ROUND(E2690/D2690*100,0)</f>
        <v>0</v>
      </c>
      <c r="P2690" s="12">
        <f t="shared" si="169"/>
        <v>5</v>
      </c>
      <c r="Q2690" s="14" t="s">
        <v>8333</v>
      </c>
      <c r="R2690" t="s">
        <v>8334</v>
      </c>
      <c r="S2690" s="17">
        <f t="shared" si="170"/>
        <v>42028.118865740747</v>
      </c>
      <c r="T2690" s="17">
        <f t="shared" si="171"/>
        <v>42059.125</v>
      </c>
      <c r="U2690">
        <f>MONTH(Table1[[#This Row],[Launched]])</f>
        <v>1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8220</v>
      </c>
      <c r="G2691" t="s">
        <v>8223</v>
      </c>
      <c r="H2691" t="s">
        <v>8245</v>
      </c>
      <c r="I2691" s="8">
        <v>1469919890</v>
      </c>
      <c r="J2691">
        <v>1467327890</v>
      </c>
      <c r="K2691" t="b">
        <v>0</v>
      </c>
      <c r="L2691" s="10">
        <v>1</v>
      </c>
      <c r="M2691" t="b">
        <v>0</v>
      </c>
      <c r="N2691" t="s">
        <v>8282</v>
      </c>
      <c r="O2691" s="11">
        <f t="shared" si="172"/>
        <v>0</v>
      </c>
      <c r="P2691" s="12">
        <f t="shared" ref="P2691:P2754" si="173">IFERROR(ROUND(E2691/L2691,),"No Backers")</f>
        <v>1</v>
      </c>
      <c r="Q2691" s="14" t="s">
        <v>8333</v>
      </c>
      <c r="R2691" t="s">
        <v>8334</v>
      </c>
      <c r="S2691" s="17">
        <f t="shared" ref="S2691:S2754" si="174">(((J2691/60)/60)/24)+DATE(1970,1,1)</f>
        <v>42551.961689814809</v>
      </c>
      <c r="T2691" s="17">
        <f t="shared" ref="T2691:T2754" si="175">(((I2691/60)/60)/24)+DATE(1970,1,1)</f>
        <v>42581.961689814809</v>
      </c>
      <c r="U2691">
        <f>MONTH(Table1[[#This Row],[Launched]])</f>
        <v>6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 s="8">
        <v>1433298676</v>
      </c>
      <c r="J2692">
        <v>1429410676</v>
      </c>
      <c r="K2692" t="b">
        <v>0</v>
      </c>
      <c r="L2692" s="10">
        <v>118</v>
      </c>
      <c r="M2692" t="b">
        <v>0</v>
      </c>
      <c r="N2692" t="s">
        <v>8282</v>
      </c>
      <c r="O2692" s="11">
        <f t="shared" si="172"/>
        <v>11</v>
      </c>
      <c r="P2692" s="12">
        <f t="shared" si="173"/>
        <v>73</v>
      </c>
      <c r="Q2692" s="14" t="s">
        <v>8333</v>
      </c>
      <c r="R2692" t="s">
        <v>8334</v>
      </c>
      <c r="S2692" s="17">
        <f t="shared" si="174"/>
        <v>42113.105046296296</v>
      </c>
      <c r="T2692" s="17">
        <f t="shared" si="175"/>
        <v>42158.105046296296</v>
      </c>
      <c r="U2692">
        <f>MONTH(Table1[[#This Row],[Launched]])</f>
        <v>4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8220</v>
      </c>
      <c r="G2693" t="s">
        <v>8228</v>
      </c>
      <c r="H2693" t="s">
        <v>8250</v>
      </c>
      <c r="I2693" s="8">
        <v>1431278557</v>
      </c>
      <c r="J2693">
        <v>1427390557</v>
      </c>
      <c r="K2693" t="b">
        <v>0</v>
      </c>
      <c r="L2693" s="10">
        <v>2</v>
      </c>
      <c r="M2693" t="b">
        <v>0</v>
      </c>
      <c r="N2693" t="s">
        <v>8282</v>
      </c>
      <c r="O2693" s="11">
        <f t="shared" si="172"/>
        <v>0</v>
      </c>
      <c r="P2693" s="12">
        <f t="shared" si="173"/>
        <v>18</v>
      </c>
      <c r="Q2693" s="14" t="s">
        <v>8333</v>
      </c>
      <c r="R2693" t="s">
        <v>8334</v>
      </c>
      <c r="S2693" s="17">
        <f t="shared" si="174"/>
        <v>42089.724039351851</v>
      </c>
      <c r="T2693" s="17">
        <f t="shared" si="175"/>
        <v>42134.724039351851</v>
      </c>
      <c r="U2693">
        <f>MONTH(Table1[[#This Row],[Launched]])</f>
        <v>3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8220</v>
      </c>
      <c r="G2694" t="s">
        <v>8223</v>
      </c>
      <c r="H2694" t="s">
        <v>8245</v>
      </c>
      <c r="I2694" s="8">
        <v>1427266860</v>
      </c>
      <c r="J2694">
        <v>1424678460</v>
      </c>
      <c r="K2694" t="b">
        <v>0</v>
      </c>
      <c r="L2694" s="10">
        <v>1</v>
      </c>
      <c r="M2694" t="b">
        <v>0</v>
      </c>
      <c r="N2694" t="s">
        <v>8282</v>
      </c>
      <c r="O2694" s="11">
        <f t="shared" si="172"/>
        <v>1</v>
      </c>
      <c r="P2694" s="12">
        <f t="shared" si="173"/>
        <v>25</v>
      </c>
      <c r="Q2694" s="14" t="s">
        <v>8333</v>
      </c>
      <c r="R2694" t="s">
        <v>8334</v>
      </c>
      <c r="S2694" s="17">
        <f t="shared" si="174"/>
        <v>42058.334027777775</v>
      </c>
      <c r="T2694" s="17">
        <f t="shared" si="175"/>
        <v>42088.292361111111</v>
      </c>
      <c r="U2694">
        <f>MONTH(Table1[[#This Row],[Launched]])</f>
        <v>2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8220</v>
      </c>
      <c r="G2695" t="s">
        <v>8223</v>
      </c>
      <c r="H2695" t="s">
        <v>8245</v>
      </c>
      <c r="I2695" s="8">
        <v>1407899966</v>
      </c>
      <c r="J2695">
        <v>1405307966</v>
      </c>
      <c r="K2695" t="b">
        <v>0</v>
      </c>
      <c r="L2695" s="10">
        <v>3</v>
      </c>
      <c r="M2695" t="b">
        <v>0</v>
      </c>
      <c r="N2695" t="s">
        <v>8282</v>
      </c>
      <c r="O2695" s="11">
        <f t="shared" si="172"/>
        <v>1</v>
      </c>
      <c r="P2695" s="12">
        <f t="shared" si="173"/>
        <v>13</v>
      </c>
      <c r="Q2695" s="14" t="s">
        <v>8333</v>
      </c>
      <c r="R2695" t="s">
        <v>8334</v>
      </c>
      <c r="S2695" s="17">
        <f t="shared" si="174"/>
        <v>41834.138495370367</v>
      </c>
      <c r="T2695" s="17">
        <f t="shared" si="175"/>
        <v>41864.138495370367</v>
      </c>
      <c r="U2695">
        <f>MONTH(Table1[[#This Row],[Launched]])</f>
        <v>7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8220</v>
      </c>
      <c r="G2696" t="s">
        <v>8223</v>
      </c>
      <c r="H2696" t="s">
        <v>8245</v>
      </c>
      <c r="I2696" s="8">
        <v>1411701739</v>
      </c>
      <c r="J2696">
        <v>1409109739</v>
      </c>
      <c r="K2696" t="b">
        <v>0</v>
      </c>
      <c r="L2696" s="10">
        <v>1</v>
      </c>
      <c r="M2696" t="b">
        <v>0</v>
      </c>
      <c r="N2696" t="s">
        <v>8282</v>
      </c>
      <c r="O2696" s="11">
        <f t="shared" si="172"/>
        <v>0</v>
      </c>
      <c r="P2696" s="12">
        <f t="shared" si="173"/>
        <v>1</v>
      </c>
      <c r="Q2696" s="14" t="s">
        <v>8333</v>
      </c>
      <c r="R2696" t="s">
        <v>8334</v>
      </c>
      <c r="S2696" s="17">
        <f t="shared" si="174"/>
        <v>41878.140497685185</v>
      </c>
      <c r="T2696" s="17">
        <f t="shared" si="175"/>
        <v>41908.140497685185</v>
      </c>
      <c r="U2696">
        <f>MONTH(Table1[[#This Row],[Launched]])</f>
        <v>8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8220</v>
      </c>
      <c r="G2697" t="s">
        <v>8223</v>
      </c>
      <c r="H2697" t="s">
        <v>8245</v>
      </c>
      <c r="I2697" s="8">
        <v>1428981718</v>
      </c>
      <c r="J2697">
        <v>1423801318</v>
      </c>
      <c r="K2697" t="b">
        <v>0</v>
      </c>
      <c r="L2697" s="10">
        <v>3</v>
      </c>
      <c r="M2697" t="b">
        <v>0</v>
      </c>
      <c r="N2697" t="s">
        <v>8282</v>
      </c>
      <c r="O2697" s="11">
        <f t="shared" si="172"/>
        <v>0</v>
      </c>
      <c r="P2697" s="12">
        <f t="shared" si="173"/>
        <v>24</v>
      </c>
      <c r="Q2697" s="14" t="s">
        <v>8333</v>
      </c>
      <c r="R2697" t="s">
        <v>8334</v>
      </c>
      <c r="S2697" s="17">
        <f t="shared" si="174"/>
        <v>42048.181921296295</v>
      </c>
      <c r="T2697" s="17">
        <f t="shared" si="175"/>
        <v>42108.14025462963</v>
      </c>
      <c r="U2697">
        <f>MONTH(Table1[[#This Row],[Launched]])</f>
        <v>2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 s="8">
        <v>1419538560</v>
      </c>
      <c r="J2698">
        <v>1416600960</v>
      </c>
      <c r="K2698" t="b">
        <v>0</v>
      </c>
      <c r="L2698" s="10">
        <v>38</v>
      </c>
      <c r="M2698" t="b">
        <v>0</v>
      </c>
      <c r="N2698" t="s">
        <v>8282</v>
      </c>
      <c r="O2698" s="11">
        <f t="shared" si="172"/>
        <v>6</v>
      </c>
      <c r="P2698" s="12">
        <f t="shared" si="173"/>
        <v>89</v>
      </c>
      <c r="Q2698" s="14" t="s">
        <v>8333</v>
      </c>
      <c r="R2698" t="s">
        <v>8334</v>
      </c>
      <c r="S2698" s="17">
        <f t="shared" si="174"/>
        <v>41964.844444444447</v>
      </c>
      <c r="T2698" s="17">
        <f t="shared" si="175"/>
        <v>41998.844444444447</v>
      </c>
      <c r="U2698">
        <f>MONTH(Table1[[#This Row],[Launched]])</f>
        <v>11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 s="8">
        <v>1438552800</v>
      </c>
      <c r="J2699">
        <v>1435876423</v>
      </c>
      <c r="K2699" t="b">
        <v>0</v>
      </c>
      <c r="L2699" s="10">
        <v>52</v>
      </c>
      <c r="M2699" t="b">
        <v>0</v>
      </c>
      <c r="N2699" t="s">
        <v>8282</v>
      </c>
      <c r="O2699" s="11">
        <f t="shared" si="172"/>
        <v>26</v>
      </c>
      <c r="P2699" s="12">
        <f t="shared" si="173"/>
        <v>117</v>
      </c>
      <c r="Q2699" s="14" t="s">
        <v>8333</v>
      </c>
      <c r="R2699" t="s">
        <v>8334</v>
      </c>
      <c r="S2699" s="17">
        <f t="shared" si="174"/>
        <v>42187.940081018518</v>
      </c>
      <c r="T2699" s="17">
        <f t="shared" si="175"/>
        <v>42218.916666666672</v>
      </c>
      <c r="U2699">
        <f>MONTH(Table1[[#This Row],[Launched]])</f>
        <v>7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 s="8">
        <v>1403904808</v>
      </c>
      <c r="J2700">
        <v>1401312808</v>
      </c>
      <c r="K2700" t="b">
        <v>0</v>
      </c>
      <c r="L2700" s="10">
        <v>2</v>
      </c>
      <c r="M2700" t="b">
        <v>0</v>
      </c>
      <c r="N2700" t="s">
        <v>8282</v>
      </c>
      <c r="O2700" s="11">
        <f t="shared" si="172"/>
        <v>0</v>
      </c>
      <c r="P2700" s="12">
        <f t="shared" si="173"/>
        <v>13</v>
      </c>
      <c r="Q2700" s="14" t="s">
        <v>8333</v>
      </c>
      <c r="R2700" t="s">
        <v>8334</v>
      </c>
      <c r="S2700" s="17">
        <f t="shared" si="174"/>
        <v>41787.898240740738</v>
      </c>
      <c r="T2700" s="17">
        <f t="shared" si="175"/>
        <v>41817.898240740738</v>
      </c>
      <c r="U2700">
        <f>MONTH(Table1[[#This Row],[Launched]])</f>
        <v>5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8220</v>
      </c>
      <c r="G2701" t="s">
        <v>8228</v>
      </c>
      <c r="H2701" t="s">
        <v>8250</v>
      </c>
      <c r="I2701" s="8">
        <v>1407533463</v>
      </c>
      <c r="J2701">
        <v>1404941463</v>
      </c>
      <c r="K2701" t="b">
        <v>0</v>
      </c>
      <c r="L2701" s="10">
        <v>0</v>
      </c>
      <c r="M2701" t="b">
        <v>0</v>
      </c>
      <c r="N2701" t="s">
        <v>8282</v>
      </c>
      <c r="O2701" s="11">
        <f t="shared" si="172"/>
        <v>0</v>
      </c>
      <c r="P2701" s="12" t="str">
        <f t="shared" si="173"/>
        <v>No Backers</v>
      </c>
      <c r="Q2701" s="14" t="s">
        <v>8333</v>
      </c>
      <c r="R2701" t="s">
        <v>8334</v>
      </c>
      <c r="S2701" s="17">
        <f t="shared" si="174"/>
        <v>41829.896562499998</v>
      </c>
      <c r="T2701" s="17">
        <f t="shared" si="175"/>
        <v>41859.896562499998</v>
      </c>
      <c r="U2701">
        <f>MONTH(Table1[[#This Row],[Launched]])</f>
        <v>7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8220</v>
      </c>
      <c r="G2702" t="s">
        <v>8223</v>
      </c>
      <c r="H2702" t="s">
        <v>8245</v>
      </c>
      <c r="I2702" s="8">
        <v>1411073972</v>
      </c>
      <c r="J2702">
        <v>1408481972</v>
      </c>
      <c r="K2702" t="b">
        <v>0</v>
      </c>
      <c r="L2702" s="10">
        <v>4</v>
      </c>
      <c r="M2702" t="b">
        <v>0</v>
      </c>
      <c r="N2702" t="s">
        <v>8282</v>
      </c>
      <c r="O2702" s="11">
        <f t="shared" si="172"/>
        <v>1</v>
      </c>
      <c r="P2702" s="12">
        <f t="shared" si="173"/>
        <v>18</v>
      </c>
      <c r="Q2702" s="14" t="s">
        <v>8333</v>
      </c>
      <c r="R2702" t="s">
        <v>8334</v>
      </c>
      <c r="S2702" s="17">
        <f t="shared" si="174"/>
        <v>41870.87467592593</v>
      </c>
      <c r="T2702" s="17">
        <f t="shared" si="175"/>
        <v>41900.87467592593</v>
      </c>
      <c r="U2702">
        <f>MONTH(Table1[[#This Row],[Launched]])</f>
        <v>8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 s="8">
        <v>1491586534</v>
      </c>
      <c r="J2703">
        <v>1488911734</v>
      </c>
      <c r="K2703" t="b">
        <v>0</v>
      </c>
      <c r="L2703" s="10">
        <v>46</v>
      </c>
      <c r="M2703" t="b">
        <v>0</v>
      </c>
      <c r="N2703" t="s">
        <v>8301</v>
      </c>
      <c r="O2703" s="11">
        <f t="shared" si="172"/>
        <v>46</v>
      </c>
      <c r="P2703" s="12">
        <f t="shared" si="173"/>
        <v>34</v>
      </c>
      <c r="Q2703" s="14" t="s">
        <v>8314</v>
      </c>
      <c r="R2703" t="s">
        <v>8354</v>
      </c>
      <c r="S2703" s="17">
        <f t="shared" si="174"/>
        <v>42801.774699074071</v>
      </c>
      <c r="T2703" s="17">
        <f t="shared" si="175"/>
        <v>42832.733032407406</v>
      </c>
      <c r="U2703">
        <f>MONTH(Table1[[#This Row],[Launched]])</f>
        <v>3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 s="8">
        <v>1491416077</v>
      </c>
      <c r="J2704">
        <v>1488827677</v>
      </c>
      <c r="K2704" t="b">
        <v>1</v>
      </c>
      <c r="L2704" s="10">
        <v>26</v>
      </c>
      <c r="M2704" t="b">
        <v>0</v>
      </c>
      <c r="N2704" t="s">
        <v>8301</v>
      </c>
      <c r="O2704" s="11">
        <f t="shared" si="172"/>
        <v>34</v>
      </c>
      <c r="P2704" s="12">
        <f t="shared" si="173"/>
        <v>132</v>
      </c>
      <c r="Q2704" s="14" t="s">
        <v>8314</v>
      </c>
      <c r="R2704" t="s">
        <v>8354</v>
      </c>
      <c r="S2704" s="17">
        <f t="shared" si="174"/>
        <v>42800.801817129628</v>
      </c>
      <c r="T2704" s="17">
        <f t="shared" si="175"/>
        <v>42830.760150462964</v>
      </c>
      <c r="U2704">
        <f>MONTH(Table1[[#This Row],[Launched]])</f>
        <v>3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 s="8">
        <v>1490196830</v>
      </c>
      <c r="J2705">
        <v>1485016430</v>
      </c>
      <c r="K2705" t="b">
        <v>0</v>
      </c>
      <c r="L2705" s="10">
        <v>45</v>
      </c>
      <c r="M2705" t="b">
        <v>0</v>
      </c>
      <c r="N2705" t="s">
        <v>8301</v>
      </c>
      <c r="O2705" s="11">
        <f t="shared" si="172"/>
        <v>104</v>
      </c>
      <c r="P2705" s="12">
        <f t="shared" si="173"/>
        <v>922</v>
      </c>
      <c r="Q2705" s="14" t="s">
        <v>8314</v>
      </c>
      <c r="R2705" t="s">
        <v>8354</v>
      </c>
      <c r="S2705" s="17">
        <f t="shared" si="174"/>
        <v>42756.690162037034</v>
      </c>
      <c r="T2705" s="17">
        <f t="shared" si="175"/>
        <v>42816.648495370369</v>
      </c>
      <c r="U2705">
        <f>MONTH(Table1[[#This Row],[Launched]])</f>
        <v>1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 s="8">
        <v>1491421314</v>
      </c>
      <c r="J2706">
        <v>1487709714</v>
      </c>
      <c r="K2706" t="b">
        <v>0</v>
      </c>
      <c r="L2706" s="10">
        <v>7</v>
      </c>
      <c r="M2706" t="b">
        <v>0</v>
      </c>
      <c r="N2706" t="s">
        <v>8301</v>
      </c>
      <c r="O2706" s="11">
        <f t="shared" si="172"/>
        <v>6</v>
      </c>
      <c r="P2706" s="12">
        <f t="shared" si="173"/>
        <v>164</v>
      </c>
      <c r="Q2706" s="14" t="s">
        <v>8314</v>
      </c>
      <c r="R2706" t="s">
        <v>8354</v>
      </c>
      <c r="S2706" s="17">
        <f t="shared" si="174"/>
        <v>42787.862430555557</v>
      </c>
      <c r="T2706" s="17">
        <f t="shared" si="175"/>
        <v>42830.820763888885</v>
      </c>
      <c r="U2706">
        <f>MONTH(Table1[[#This Row],[Launched]])</f>
        <v>2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 s="8">
        <v>1490389158</v>
      </c>
      <c r="J2707">
        <v>1486504758</v>
      </c>
      <c r="K2707" t="b">
        <v>0</v>
      </c>
      <c r="L2707" s="10">
        <v>8</v>
      </c>
      <c r="M2707" t="b">
        <v>0</v>
      </c>
      <c r="N2707" t="s">
        <v>8301</v>
      </c>
      <c r="O2707" s="11">
        <f t="shared" si="172"/>
        <v>11</v>
      </c>
      <c r="P2707" s="12">
        <f t="shared" si="173"/>
        <v>217</v>
      </c>
      <c r="Q2707" s="14" t="s">
        <v>8314</v>
      </c>
      <c r="R2707" t="s">
        <v>8354</v>
      </c>
      <c r="S2707" s="17">
        <f t="shared" si="174"/>
        <v>42773.916180555556</v>
      </c>
      <c r="T2707" s="17">
        <f t="shared" si="175"/>
        <v>42818.874513888892</v>
      </c>
      <c r="U2707">
        <f>MONTH(Table1[[#This Row],[Launched]])</f>
        <v>2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 s="8">
        <v>1413442740</v>
      </c>
      <c r="J2708">
        <v>1410937483</v>
      </c>
      <c r="K2708" t="b">
        <v>1</v>
      </c>
      <c r="L2708" s="10">
        <v>263</v>
      </c>
      <c r="M2708" t="b">
        <v>1</v>
      </c>
      <c r="N2708" t="s">
        <v>8301</v>
      </c>
      <c r="O2708" s="11">
        <f t="shared" si="172"/>
        <v>112</v>
      </c>
      <c r="P2708" s="12">
        <f t="shared" si="173"/>
        <v>149</v>
      </c>
      <c r="Q2708" s="14" t="s">
        <v>8314</v>
      </c>
      <c r="R2708" t="s">
        <v>8354</v>
      </c>
      <c r="S2708" s="17">
        <f t="shared" si="174"/>
        <v>41899.294942129629</v>
      </c>
      <c r="T2708" s="17">
        <f t="shared" si="175"/>
        <v>41928.290972222225</v>
      </c>
      <c r="U2708">
        <f>MONTH(Table1[[#This Row],[Launched]])</f>
        <v>9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 s="8">
        <v>1369637940</v>
      </c>
      <c r="J2709">
        <v>1367088443</v>
      </c>
      <c r="K2709" t="b">
        <v>1</v>
      </c>
      <c r="L2709" s="10">
        <v>394</v>
      </c>
      <c r="M2709" t="b">
        <v>1</v>
      </c>
      <c r="N2709" t="s">
        <v>8301</v>
      </c>
      <c r="O2709" s="11">
        <f t="shared" si="172"/>
        <v>351</v>
      </c>
      <c r="P2709" s="12">
        <f t="shared" si="173"/>
        <v>71</v>
      </c>
      <c r="Q2709" s="14" t="s">
        <v>8314</v>
      </c>
      <c r="R2709" t="s">
        <v>8354</v>
      </c>
      <c r="S2709" s="17">
        <f t="shared" si="174"/>
        <v>41391.782905092594</v>
      </c>
      <c r="T2709" s="17">
        <f t="shared" si="175"/>
        <v>41421.290972222225</v>
      </c>
      <c r="U2709">
        <f>MONTH(Table1[[#This Row],[Launched]])</f>
        <v>4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 s="8">
        <v>1469119526</v>
      </c>
      <c r="J2710">
        <v>1463935526</v>
      </c>
      <c r="K2710" t="b">
        <v>1</v>
      </c>
      <c r="L2710" s="10">
        <v>1049</v>
      </c>
      <c r="M2710" t="b">
        <v>1</v>
      </c>
      <c r="N2710" t="s">
        <v>8301</v>
      </c>
      <c r="O2710" s="11">
        <f t="shared" si="172"/>
        <v>233</v>
      </c>
      <c r="P2710" s="12">
        <f t="shared" si="173"/>
        <v>44</v>
      </c>
      <c r="Q2710" s="14" t="s">
        <v>8314</v>
      </c>
      <c r="R2710" t="s">
        <v>8354</v>
      </c>
      <c r="S2710" s="17">
        <f t="shared" si="174"/>
        <v>42512.698217592595</v>
      </c>
      <c r="T2710" s="17">
        <f t="shared" si="175"/>
        <v>42572.698217592595</v>
      </c>
      <c r="U2710">
        <f>MONTH(Table1[[#This Row],[Launched]])</f>
        <v>5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 s="8">
        <v>1475553540</v>
      </c>
      <c r="J2711">
        <v>1472528141</v>
      </c>
      <c r="K2711" t="b">
        <v>1</v>
      </c>
      <c r="L2711" s="10">
        <v>308</v>
      </c>
      <c r="M2711" t="b">
        <v>1</v>
      </c>
      <c r="N2711" t="s">
        <v>8301</v>
      </c>
      <c r="O2711" s="11">
        <f t="shared" si="172"/>
        <v>102</v>
      </c>
      <c r="P2711" s="12">
        <f t="shared" si="173"/>
        <v>165</v>
      </c>
      <c r="Q2711" s="14" t="s">
        <v>8314</v>
      </c>
      <c r="R2711" t="s">
        <v>8354</v>
      </c>
      <c r="S2711" s="17">
        <f t="shared" si="174"/>
        <v>42612.149780092594</v>
      </c>
      <c r="T2711" s="17">
        <f t="shared" si="175"/>
        <v>42647.165972222225</v>
      </c>
      <c r="U2711">
        <f>MONTH(Table1[[#This Row],[Launched]])</f>
        <v>8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 s="8">
        <v>1407549600</v>
      </c>
      <c r="J2712">
        <v>1404797428</v>
      </c>
      <c r="K2712" t="b">
        <v>1</v>
      </c>
      <c r="L2712" s="10">
        <v>1088</v>
      </c>
      <c r="M2712" t="b">
        <v>1</v>
      </c>
      <c r="N2712" t="s">
        <v>8301</v>
      </c>
      <c r="O2712" s="11">
        <f t="shared" si="172"/>
        <v>154</v>
      </c>
      <c r="P2712" s="12">
        <f t="shared" si="173"/>
        <v>85</v>
      </c>
      <c r="Q2712" s="14" t="s">
        <v>8314</v>
      </c>
      <c r="R2712" t="s">
        <v>8354</v>
      </c>
      <c r="S2712" s="17">
        <f t="shared" si="174"/>
        <v>41828.229490740741</v>
      </c>
      <c r="T2712" s="17">
        <f t="shared" si="175"/>
        <v>41860.083333333336</v>
      </c>
      <c r="U2712">
        <f>MONTH(Table1[[#This Row],[Launched]])</f>
        <v>7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 s="8">
        <v>1403301660</v>
      </c>
      <c r="J2713">
        <v>1400694790</v>
      </c>
      <c r="K2713" t="b">
        <v>1</v>
      </c>
      <c r="L2713" s="10">
        <v>73</v>
      </c>
      <c r="M2713" t="b">
        <v>1</v>
      </c>
      <c r="N2713" t="s">
        <v>8301</v>
      </c>
      <c r="O2713" s="11">
        <f t="shared" si="172"/>
        <v>101</v>
      </c>
      <c r="P2713" s="12">
        <f t="shared" si="173"/>
        <v>54</v>
      </c>
      <c r="Q2713" s="14" t="s">
        <v>8314</v>
      </c>
      <c r="R2713" t="s">
        <v>8354</v>
      </c>
      <c r="S2713" s="17">
        <f t="shared" si="174"/>
        <v>41780.745254629634</v>
      </c>
      <c r="T2713" s="17">
        <f t="shared" si="175"/>
        <v>41810.917361111111</v>
      </c>
      <c r="U2713">
        <f>MONTH(Table1[[#This Row],[Launched]])</f>
        <v>5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 s="8">
        <v>1373738400</v>
      </c>
      <c r="J2714">
        <v>1370568560</v>
      </c>
      <c r="K2714" t="b">
        <v>1</v>
      </c>
      <c r="L2714" s="10">
        <v>143</v>
      </c>
      <c r="M2714" t="b">
        <v>1</v>
      </c>
      <c r="N2714" t="s">
        <v>8301</v>
      </c>
      <c r="O2714" s="11">
        <f t="shared" si="172"/>
        <v>131</v>
      </c>
      <c r="P2714" s="12">
        <f t="shared" si="173"/>
        <v>51</v>
      </c>
      <c r="Q2714" s="14" t="s">
        <v>8314</v>
      </c>
      <c r="R2714" t="s">
        <v>8354</v>
      </c>
      <c r="S2714" s="17">
        <f t="shared" si="174"/>
        <v>41432.062037037038</v>
      </c>
      <c r="T2714" s="17">
        <f t="shared" si="175"/>
        <v>41468.75</v>
      </c>
      <c r="U2714">
        <f>MONTH(Table1[[#This Row],[Launched]])</f>
        <v>6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 s="8">
        <v>1450971684</v>
      </c>
      <c r="J2715">
        <v>1447515684</v>
      </c>
      <c r="K2715" t="b">
        <v>1</v>
      </c>
      <c r="L2715" s="10">
        <v>1420</v>
      </c>
      <c r="M2715" t="b">
        <v>1</v>
      </c>
      <c r="N2715" t="s">
        <v>8301</v>
      </c>
      <c r="O2715" s="11">
        <f t="shared" si="172"/>
        <v>102</v>
      </c>
      <c r="P2715" s="12">
        <f t="shared" si="173"/>
        <v>108</v>
      </c>
      <c r="Q2715" s="14" t="s">
        <v>8314</v>
      </c>
      <c r="R2715" t="s">
        <v>8354</v>
      </c>
      <c r="S2715" s="17">
        <f t="shared" si="174"/>
        <v>42322.653749999998</v>
      </c>
      <c r="T2715" s="17">
        <f t="shared" si="175"/>
        <v>42362.653749999998</v>
      </c>
      <c r="U2715">
        <f>MONTH(Table1[[#This Row],[Launched]])</f>
        <v>11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 s="8">
        <v>1476486000</v>
      </c>
      <c r="J2716">
        <v>1474040596</v>
      </c>
      <c r="K2716" t="b">
        <v>1</v>
      </c>
      <c r="L2716" s="10">
        <v>305</v>
      </c>
      <c r="M2716" t="b">
        <v>1</v>
      </c>
      <c r="N2716" t="s">
        <v>8301</v>
      </c>
      <c r="O2716" s="11">
        <f t="shared" si="172"/>
        <v>116</v>
      </c>
      <c r="P2716" s="12">
        <f t="shared" si="173"/>
        <v>95</v>
      </c>
      <c r="Q2716" s="14" t="s">
        <v>8314</v>
      </c>
      <c r="R2716" t="s">
        <v>8354</v>
      </c>
      <c r="S2716" s="17">
        <f t="shared" si="174"/>
        <v>42629.655046296291</v>
      </c>
      <c r="T2716" s="17">
        <f t="shared" si="175"/>
        <v>42657.958333333328</v>
      </c>
      <c r="U2716">
        <f>MONTH(Table1[[#This Row],[Launched]])</f>
        <v>9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 s="8">
        <v>1456047228</v>
      </c>
      <c r="J2717">
        <v>1453109628</v>
      </c>
      <c r="K2717" t="b">
        <v>1</v>
      </c>
      <c r="L2717" s="10">
        <v>551</v>
      </c>
      <c r="M2717" t="b">
        <v>1</v>
      </c>
      <c r="N2717" t="s">
        <v>8301</v>
      </c>
      <c r="O2717" s="11">
        <f t="shared" si="172"/>
        <v>265</v>
      </c>
      <c r="P2717" s="12">
        <f t="shared" si="173"/>
        <v>58</v>
      </c>
      <c r="Q2717" s="14" t="s">
        <v>8314</v>
      </c>
      <c r="R2717" t="s">
        <v>8354</v>
      </c>
      <c r="S2717" s="17">
        <f t="shared" si="174"/>
        <v>42387.398472222223</v>
      </c>
      <c r="T2717" s="17">
        <f t="shared" si="175"/>
        <v>42421.398472222223</v>
      </c>
      <c r="U2717">
        <f>MONTH(Table1[[#This Row],[Launched]])</f>
        <v>1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 s="8">
        <v>1444291193</v>
      </c>
      <c r="J2718">
        <v>1441699193</v>
      </c>
      <c r="K2718" t="b">
        <v>1</v>
      </c>
      <c r="L2718" s="10">
        <v>187</v>
      </c>
      <c r="M2718" t="b">
        <v>1</v>
      </c>
      <c r="N2718" t="s">
        <v>8301</v>
      </c>
      <c r="O2718" s="11">
        <f t="shared" si="172"/>
        <v>120</v>
      </c>
      <c r="P2718" s="12">
        <f t="shared" si="173"/>
        <v>64</v>
      </c>
      <c r="Q2718" s="14" t="s">
        <v>8314</v>
      </c>
      <c r="R2718" t="s">
        <v>8354</v>
      </c>
      <c r="S2718" s="17">
        <f t="shared" si="174"/>
        <v>42255.333252314813</v>
      </c>
      <c r="T2718" s="17">
        <f t="shared" si="175"/>
        <v>42285.333252314813</v>
      </c>
      <c r="U2718">
        <f>MONTH(Table1[[#This Row],[Launched]])</f>
        <v>9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 s="8">
        <v>1417906649</v>
      </c>
      <c r="J2719">
        <v>1414015049</v>
      </c>
      <c r="K2719" t="b">
        <v>1</v>
      </c>
      <c r="L2719" s="10">
        <v>325</v>
      </c>
      <c r="M2719" t="b">
        <v>1</v>
      </c>
      <c r="N2719" t="s">
        <v>8301</v>
      </c>
      <c r="O2719" s="11">
        <f t="shared" si="172"/>
        <v>120</v>
      </c>
      <c r="P2719" s="12">
        <f t="shared" si="173"/>
        <v>92</v>
      </c>
      <c r="Q2719" s="14" t="s">
        <v>8314</v>
      </c>
      <c r="R2719" t="s">
        <v>8354</v>
      </c>
      <c r="S2719" s="17">
        <f t="shared" si="174"/>
        <v>41934.914918981485</v>
      </c>
      <c r="T2719" s="17">
        <f t="shared" si="175"/>
        <v>41979.956585648149</v>
      </c>
      <c r="U2719">
        <f>MONTH(Table1[[#This Row],[Launched]])</f>
        <v>10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 s="8">
        <v>1462316400</v>
      </c>
      <c r="J2720">
        <v>1459865945</v>
      </c>
      <c r="K2720" t="b">
        <v>1</v>
      </c>
      <c r="L2720" s="10">
        <v>148</v>
      </c>
      <c r="M2720" t="b">
        <v>1</v>
      </c>
      <c r="N2720" t="s">
        <v>8301</v>
      </c>
      <c r="O2720" s="11">
        <f t="shared" si="172"/>
        <v>104</v>
      </c>
      <c r="P2720" s="12">
        <f t="shared" si="173"/>
        <v>126</v>
      </c>
      <c r="Q2720" s="14" t="s">
        <v>8314</v>
      </c>
      <c r="R2720" t="s">
        <v>8354</v>
      </c>
      <c r="S2720" s="17">
        <f t="shared" si="174"/>
        <v>42465.596585648149</v>
      </c>
      <c r="T2720" s="17">
        <f t="shared" si="175"/>
        <v>42493.958333333328</v>
      </c>
      <c r="U2720">
        <f>MONTH(Table1[[#This Row],[Launched]])</f>
        <v>4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 s="8">
        <v>1460936694</v>
      </c>
      <c r="J2721">
        <v>1455756294</v>
      </c>
      <c r="K2721" t="b">
        <v>0</v>
      </c>
      <c r="L2721" s="10">
        <v>69</v>
      </c>
      <c r="M2721" t="b">
        <v>1</v>
      </c>
      <c r="N2721" t="s">
        <v>8301</v>
      </c>
      <c r="O2721" s="11">
        <f t="shared" si="172"/>
        <v>109</v>
      </c>
      <c r="P2721" s="12">
        <f t="shared" si="173"/>
        <v>95</v>
      </c>
      <c r="Q2721" s="14" t="s">
        <v>8314</v>
      </c>
      <c r="R2721" t="s">
        <v>8354</v>
      </c>
      <c r="S2721" s="17">
        <f t="shared" si="174"/>
        <v>42418.031180555554</v>
      </c>
      <c r="T2721" s="17">
        <f t="shared" si="175"/>
        <v>42477.989513888882</v>
      </c>
      <c r="U2721">
        <f>MONTH(Table1[[#This Row],[Launched]])</f>
        <v>2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 s="8">
        <v>1478866253</v>
      </c>
      <c r="J2722">
        <v>1476270653</v>
      </c>
      <c r="K2722" t="b">
        <v>0</v>
      </c>
      <c r="L2722" s="10">
        <v>173</v>
      </c>
      <c r="M2722" t="b">
        <v>1</v>
      </c>
      <c r="N2722" t="s">
        <v>8301</v>
      </c>
      <c r="O2722" s="11">
        <f t="shared" si="172"/>
        <v>118</v>
      </c>
      <c r="P2722" s="12">
        <f t="shared" si="173"/>
        <v>171</v>
      </c>
      <c r="Q2722" s="14" t="s">
        <v>8314</v>
      </c>
      <c r="R2722" t="s">
        <v>8354</v>
      </c>
      <c r="S2722" s="17">
        <f t="shared" si="174"/>
        <v>42655.465891203698</v>
      </c>
      <c r="T2722" s="17">
        <f t="shared" si="175"/>
        <v>42685.507557870369</v>
      </c>
      <c r="U2722">
        <f>MONTH(Table1[[#This Row],[Launched]])</f>
        <v>10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 s="8">
        <v>1378494000</v>
      </c>
      <c r="J2723">
        <v>1375880598</v>
      </c>
      <c r="K2723" t="b">
        <v>0</v>
      </c>
      <c r="L2723" s="10">
        <v>269</v>
      </c>
      <c r="M2723" t="b">
        <v>1</v>
      </c>
      <c r="N2723" t="s">
        <v>8293</v>
      </c>
      <c r="O2723" s="11">
        <f t="shared" si="172"/>
        <v>1462</v>
      </c>
      <c r="P2723" s="12">
        <f t="shared" si="173"/>
        <v>41</v>
      </c>
      <c r="Q2723" s="14" t="s">
        <v>8316</v>
      </c>
      <c r="R2723" t="s">
        <v>8346</v>
      </c>
      <c r="S2723" s="17">
        <f t="shared" si="174"/>
        <v>41493.543958333335</v>
      </c>
      <c r="T2723" s="17">
        <f t="shared" si="175"/>
        <v>41523.791666666664</v>
      </c>
      <c r="U2723">
        <f>MONTH(Table1[[#This Row],[Launched]])</f>
        <v>8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 s="8">
        <v>1485722053</v>
      </c>
      <c r="J2724">
        <v>1480538053</v>
      </c>
      <c r="K2724" t="b">
        <v>0</v>
      </c>
      <c r="L2724" s="10">
        <v>185</v>
      </c>
      <c r="M2724" t="b">
        <v>1</v>
      </c>
      <c r="N2724" t="s">
        <v>8293</v>
      </c>
      <c r="O2724" s="11">
        <f t="shared" si="172"/>
        <v>253</v>
      </c>
      <c r="P2724" s="12">
        <f t="shared" si="173"/>
        <v>68</v>
      </c>
      <c r="Q2724" s="14" t="s">
        <v>8316</v>
      </c>
      <c r="R2724" t="s">
        <v>8346</v>
      </c>
      <c r="S2724" s="17">
        <f t="shared" si="174"/>
        <v>42704.857094907406</v>
      </c>
      <c r="T2724" s="17">
        <f t="shared" si="175"/>
        <v>42764.857094907406</v>
      </c>
      <c r="U2724">
        <f>MONTH(Table1[[#This Row],[Launched]])</f>
        <v>11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 s="8">
        <v>1420060088</v>
      </c>
      <c r="J2725">
        <v>1414872488</v>
      </c>
      <c r="K2725" t="b">
        <v>0</v>
      </c>
      <c r="L2725" s="10">
        <v>176</v>
      </c>
      <c r="M2725" t="b">
        <v>1</v>
      </c>
      <c r="N2725" t="s">
        <v>8293</v>
      </c>
      <c r="O2725" s="11">
        <f t="shared" si="172"/>
        <v>140</v>
      </c>
      <c r="P2725" s="12">
        <f t="shared" si="173"/>
        <v>95</v>
      </c>
      <c r="Q2725" s="14" t="s">
        <v>8316</v>
      </c>
      <c r="R2725" t="s">
        <v>8346</v>
      </c>
      <c r="S2725" s="17">
        <f t="shared" si="174"/>
        <v>41944.83898148148</v>
      </c>
      <c r="T2725" s="17">
        <f t="shared" si="175"/>
        <v>42004.880648148144</v>
      </c>
      <c r="U2725">
        <f>MONTH(Table1[[#This Row],[Launched]])</f>
        <v>11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 s="8">
        <v>1439625059</v>
      </c>
      <c r="J2726">
        <v>1436860259</v>
      </c>
      <c r="K2726" t="b">
        <v>0</v>
      </c>
      <c r="L2726" s="10">
        <v>1019</v>
      </c>
      <c r="M2726" t="b">
        <v>1</v>
      </c>
      <c r="N2726" t="s">
        <v>8293</v>
      </c>
      <c r="O2726" s="11">
        <f t="shared" si="172"/>
        <v>297</v>
      </c>
      <c r="P2726" s="12">
        <f t="shared" si="173"/>
        <v>7</v>
      </c>
      <c r="Q2726" s="14" t="s">
        <v>8316</v>
      </c>
      <c r="R2726" t="s">
        <v>8346</v>
      </c>
      <c r="S2726" s="17">
        <f t="shared" si="174"/>
        <v>42199.32707175926</v>
      </c>
      <c r="T2726" s="17">
        <f t="shared" si="175"/>
        <v>42231.32707175926</v>
      </c>
      <c r="U2726">
        <f>MONTH(Table1[[#This Row],[Launched]])</f>
        <v>7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 s="8">
        <v>1488390735</v>
      </c>
      <c r="J2727">
        <v>1484070735</v>
      </c>
      <c r="K2727" t="b">
        <v>0</v>
      </c>
      <c r="L2727" s="10">
        <v>113</v>
      </c>
      <c r="M2727" t="b">
        <v>1</v>
      </c>
      <c r="N2727" t="s">
        <v>8293</v>
      </c>
      <c r="O2727" s="11">
        <f t="shared" si="172"/>
        <v>145</v>
      </c>
      <c r="P2727" s="12">
        <f t="shared" si="173"/>
        <v>512</v>
      </c>
      <c r="Q2727" s="14" t="s">
        <v>8316</v>
      </c>
      <c r="R2727" t="s">
        <v>8346</v>
      </c>
      <c r="S2727" s="17">
        <f t="shared" si="174"/>
        <v>42745.744618055556</v>
      </c>
      <c r="T2727" s="17">
        <f t="shared" si="175"/>
        <v>42795.744618055556</v>
      </c>
      <c r="U2727">
        <f>MONTH(Table1[[#This Row],[Launched]])</f>
        <v>1</v>
      </c>
    </row>
    <row r="2728" spans="1:21" ht="15.6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 s="8">
        <v>1461333311</v>
      </c>
      <c r="J2728">
        <v>1458741311</v>
      </c>
      <c r="K2728" t="b">
        <v>0</v>
      </c>
      <c r="L2728" s="10">
        <v>404</v>
      </c>
      <c r="M2728" t="b">
        <v>1</v>
      </c>
      <c r="N2728" t="s">
        <v>8293</v>
      </c>
      <c r="O2728" s="11">
        <f t="shared" si="172"/>
        <v>106</v>
      </c>
      <c r="P2728" s="12">
        <f t="shared" si="173"/>
        <v>262</v>
      </c>
      <c r="Q2728" s="14" t="s">
        <v>8316</v>
      </c>
      <c r="R2728" t="s">
        <v>8346</v>
      </c>
      <c r="S2728" s="17">
        <f t="shared" si="174"/>
        <v>42452.579988425925</v>
      </c>
      <c r="T2728" s="17">
        <f t="shared" si="175"/>
        <v>42482.579988425925</v>
      </c>
      <c r="U2728">
        <f>MONTH(Table1[[#This Row],[Launched]])</f>
        <v>3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 s="8">
        <v>1438964063</v>
      </c>
      <c r="J2729">
        <v>1436804063</v>
      </c>
      <c r="K2729" t="b">
        <v>0</v>
      </c>
      <c r="L2729" s="10">
        <v>707</v>
      </c>
      <c r="M2729" t="b">
        <v>1</v>
      </c>
      <c r="N2729" t="s">
        <v>8293</v>
      </c>
      <c r="O2729" s="11">
        <f t="shared" si="172"/>
        <v>493</v>
      </c>
      <c r="P2729" s="12">
        <f t="shared" si="173"/>
        <v>70</v>
      </c>
      <c r="Q2729" s="14" t="s">
        <v>8316</v>
      </c>
      <c r="R2729" t="s">
        <v>8346</v>
      </c>
      <c r="S2729" s="17">
        <f t="shared" si="174"/>
        <v>42198.676655092597</v>
      </c>
      <c r="T2729" s="17">
        <f t="shared" si="175"/>
        <v>42223.676655092597</v>
      </c>
      <c r="U2729">
        <f>MONTH(Table1[[#This Row],[Launched]])</f>
        <v>7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 s="8">
        <v>1451485434</v>
      </c>
      <c r="J2730">
        <v>1448461434</v>
      </c>
      <c r="K2730" t="b">
        <v>0</v>
      </c>
      <c r="L2730" s="10">
        <v>392</v>
      </c>
      <c r="M2730" t="b">
        <v>1</v>
      </c>
      <c r="N2730" t="s">
        <v>8293</v>
      </c>
      <c r="O2730" s="11">
        <f t="shared" si="172"/>
        <v>202</v>
      </c>
      <c r="P2730" s="12">
        <f t="shared" si="173"/>
        <v>77</v>
      </c>
      <c r="Q2730" s="14" t="s">
        <v>8316</v>
      </c>
      <c r="R2730" t="s">
        <v>8346</v>
      </c>
      <c r="S2730" s="17">
        <f t="shared" si="174"/>
        <v>42333.59993055556</v>
      </c>
      <c r="T2730" s="17">
        <f t="shared" si="175"/>
        <v>42368.59993055556</v>
      </c>
      <c r="U2730">
        <f>MONTH(Table1[[#This Row],[Launched]])</f>
        <v>11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 s="8">
        <v>1430459197</v>
      </c>
      <c r="J2731">
        <v>1427867197</v>
      </c>
      <c r="K2731" t="b">
        <v>0</v>
      </c>
      <c r="L2731" s="10">
        <v>23</v>
      </c>
      <c r="M2731" t="b">
        <v>1</v>
      </c>
      <c r="N2731" t="s">
        <v>8293</v>
      </c>
      <c r="O2731" s="11">
        <f t="shared" si="172"/>
        <v>104</v>
      </c>
      <c r="P2731" s="12">
        <f t="shared" si="173"/>
        <v>341</v>
      </c>
      <c r="Q2731" s="14" t="s">
        <v>8316</v>
      </c>
      <c r="R2731" t="s">
        <v>8346</v>
      </c>
      <c r="S2731" s="17">
        <f t="shared" si="174"/>
        <v>42095.240706018521</v>
      </c>
      <c r="T2731" s="17">
        <f t="shared" si="175"/>
        <v>42125.240706018521</v>
      </c>
      <c r="U2731">
        <f>MONTH(Table1[[#This Row],[Launched]])</f>
        <v>4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 s="8">
        <v>1366635575</v>
      </c>
      <c r="J2732">
        <v>1363611575</v>
      </c>
      <c r="K2732" t="b">
        <v>0</v>
      </c>
      <c r="L2732" s="10">
        <v>682</v>
      </c>
      <c r="M2732" t="b">
        <v>1</v>
      </c>
      <c r="N2732" t="s">
        <v>8293</v>
      </c>
      <c r="O2732" s="11">
        <f t="shared" si="172"/>
        <v>170</v>
      </c>
      <c r="P2732" s="12">
        <f t="shared" si="173"/>
        <v>67</v>
      </c>
      <c r="Q2732" s="14" t="s">
        <v>8316</v>
      </c>
      <c r="R2732" t="s">
        <v>8346</v>
      </c>
      <c r="S2732" s="17">
        <f t="shared" si="174"/>
        <v>41351.541377314818</v>
      </c>
      <c r="T2732" s="17">
        <f t="shared" si="175"/>
        <v>41386.541377314818</v>
      </c>
      <c r="U2732">
        <f>MONTH(Table1[[#This Row],[Launched]])</f>
        <v>3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 s="8">
        <v>1413604800</v>
      </c>
      <c r="J2733">
        <v>1408624622</v>
      </c>
      <c r="K2733" t="b">
        <v>0</v>
      </c>
      <c r="L2733" s="10">
        <v>37</v>
      </c>
      <c r="M2733" t="b">
        <v>1</v>
      </c>
      <c r="N2733" t="s">
        <v>8293</v>
      </c>
      <c r="O2733" s="11">
        <f t="shared" si="172"/>
        <v>104</v>
      </c>
      <c r="P2733" s="12">
        <f t="shared" si="173"/>
        <v>846</v>
      </c>
      <c r="Q2733" s="14" t="s">
        <v>8316</v>
      </c>
      <c r="R2733" t="s">
        <v>8346</v>
      </c>
      <c r="S2733" s="17">
        <f t="shared" si="174"/>
        <v>41872.525717592594</v>
      </c>
      <c r="T2733" s="17">
        <f t="shared" si="175"/>
        <v>41930.166666666664</v>
      </c>
      <c r="U2733">
        <f>MONTH(Table1[[#This Row],[Launched]])</f>
        <v>8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 s="8">
        <v>1369699200</v>
      </c>
      <c r="J2734">
        <v>1366917828</v>
      </c>
      <c r="K2734" t="b">
        <v>0</v>
      </c>
      <c r="L2734" s="10">
        <v>146</v>
      </c>
      <c r="M2734" t="b">
        <v>1</v>
      </c>
      <c r="N2734" t="s">
        <v>8293</v>
      </c>
      <c r="O2734" s="11">
        <f t="shared" si="172"/>
        <v>118</v>
      </c>
      <c r="P2734" s="12">
        <f t="shared" si="173"/>
        <v>97</v>
      </c>
      <c r="Q2734" s="14" t="s">
        <v>8316</v>
      </c>
      <c r="R2734" t="s">
        <v>8346</v>
      </c>
      <c r="S2734" s="17">
        <f t="shared" si="174"/>
        <v>41389.808194444442</v>
      </c>
      <c r="T2734" s="17">
        <f t="shared" si="175"/>
        <v>41422</v>
      </c>
      <c r="U2734">
        <f>MONTH(Table1[[#This Row],[Launched]])</f>
        <v>4</v>
      </c>
    </row>
    <row r="2735" spans="1:21" ht="57.6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 s="8">
        <v>1428643974</v>
      </c>
      <c r="J2735">
        <v>1423463574</v>
      </c>
      <c r="K2735" t="b">
        <v>0</v>
      </c>
      <c r="L2735" s="10">
        <v>119</v>
      </c>
      <c r="M2735" t="b">
        <v>1</v>
      </c>
      <c r="N2735" t="s">
        <v>8293</v>
      </c>
      <c r="O2735" s="11">
        <f t="shared" si="172"/>
        <v>108</v>
      </c>
      <c r="P2735" s="12">
        <f t="shared" si="173"/>
        <v>452</v>
      </c>
      <c r="Q2735" s="14" t="s">
        <v>8316</v>
      </c>
      <c r="R2735" t="s">
        <v>8346</v>
      </c>
      <c r="S2735" s="17">
        <f t="shared" si="174"/>
        <v>42044.272847222222</v>
      </c>
      <c r="T2735" s="17">
        <f t="shared" si="175"/>
        <v>42104.231180555551</v>
      </c>
      <c r="U2735">
        <f>MONTH(Table1[[#This Row],[Launched]])</f>
        <v>2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8218</v>
      </c>
      <c r="G2736" t="s">
        <v>8223</v>
      </c>
      <c r="H2736" t="s">
        <v>8245</v>
      </c>
      <c r="I2736" s="8">
        <v>1476395940</v>
      </c>
      <c r="J2736">
        <v>1473782592</v>
      </c>
      <c r="K2736" t="b">
        <v>0</v>
      </c>
      <c r="L2736" s="10">
        <v>163</v>
      </c>
      <c r="M2736" t="b">
        <v>1</v>
      </c>
      <c r="N2736" t="s">
        <v>8293</v>
      </c>
      <c r="O2736" s="11">
        <f t="shared" si="172"/>
        <v>2260300</v>
      </c>
      <c r="P2736" s="12">
        <f t="shared" si="173"/>
        <v>139</v>
      </c>
      <c r="Q2736" s="14" t="s">
        <v>8316</v>
      </c>
      <c r="R2736" t="s">
        <v>8346</v>
      </c>
      <c r="S2736" s="17">
        <f t="shared" si="174"/>
        <v>42626.668888888889</v>
      </c>
      <c r="T2736" s="17">
        <f t="shared" si="175"/>
        <v>42656.915972222225</v>
      </c>
      <c r="U2736">
        <f>MONTH(Table1[[#This Row],[Launched]])</f>
        <v>9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 s="8">
        <v>1363204800</v>
      </c>
      <c r="J2737">
        <v>1360551250</v>
      </c>
      <c r="K2737" t="b">
        <v>0</v>
      </c>
      <c r="L2737" s="10">
        <v>339</v>
      </c>
      <c r="M2737" t="b">
        <v>1</v>
      </c>
      <c r="N2737" t="s">
        <v>8293</v>
      </c>
      <c r="O2737" s="11">
        <f t="shared" si="172"/>
        <v>978</v>
      </c>
      <c r="P2737" s="12">
        <f t="shared" si="173"/>
        <v>22</v>
      </c>
      <c r="Q2737" s="14" t="s">
        <v>8316</v>
      </c>
      <c r="R2737" t="s">
        <v>8346</v>
      </c>
      <c r="S2737" s="17">
        <f t="shared" si="174"/>
        <v>41316.120949074073</v>
      </c>
      <c r="T2737" s="17">
        <f t="shared" si="175"/>
        <v>41346.833333333336</v>
      </c>
      <c r="U2737">
        <f>MONTH(Table1[[#This Row],[Launched]])</f>
        <v>2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 s="8">
        <v>1398268773</v>
      </c>
      <c r="J2738">
        <v>1395676773</v>
      </c>
      <c r="K2738" t="b">
        <v>0</v>
      </c>
      <c r="L2738" s="10">
        <v>58</v>
      </c>
      <c r="M2738" t="b">
        <v>1</v>
      </c>
      <c r="N2738" t="s">
        <v>8293</v>
      </c>
      <c r="O2738" s="11">
        <f t="shared" si="172"/>
        <v>123</v>
      </c>
      <c r="P2738" s="12">
        <f t="shared" si="173"/>
        <v>170</v>
      </c>
      <c r="Q2738" s="14" t="s">
        <v>8316</v>
      </c>
      <c r="R2738" t="s">
        <v>8346</v>
      </c>
      <c r="S2738" s="17">
        <f t="shared" si="174"/>
        <v>41722.666354166664</v>
      </c>
      <c r="T2738" s="17">
        <f t="shared" si="175"/>
        <v>41752.666354166664</v>
      </c>
      <c r="U2738">
        <f>MONTH(Table1[[#This Row],[Launched]])</f>
        <v>3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 s="8">
        <v>1389812400</v>
      </c>
      <c r="J2739">
        <v>1386108087</v>
      </c>
      <c r="K2739" t="b">
        <v>0</v>
      </c>
      <c r="L2739" s="10">
        <v>456</v>
      </c>
      <c r="M2739" t="b">
        <v>1</v>
      </c>
      <c r="N2739" t="s">
        <v>8293</v>
      </c>
      <c r="O2739" s="11">
        <f t="shared" si="172"/>
        <v>246</v>
      </c>
      <c r="P2739" s="12">
        <f t="shared" si="173"/>
        <v>162</v>
      </c>
      <c r="Q2739" s="14" t="s">
        <v>8316</v>
      </c>
      <c r="R2739" t="s">
        <v>8346</v>
      </c>
      <c r="S2739" s="17">
        <f t="shared" si="174"/>
        <v>41611.917673611111</v>
      </c>
      <c r="T2739" s="17">
        <f t="shared" si="175"/>
        <v>41654.791666666664</v>
      </c>
      <c r="U2739">
        <f>MONTH(Table1[[#This Row],[Launched]])</f>
        <v>12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 s="8">
        <v>1478402804</v>
      </c>
      <c r="J2740">
        <v>1473218804</v>
      </c>
      <c r="K2740" t="b">
        <v>0</v>
      </c>
      <c r="L2740" s="10">
        <v>15</v>
      </c>
      <c r="M2740" t="b">
        <v>1</v>
      </c>
      <c r="N2740" t="s">
        <v>8293</v>
      </c>
      <c r="O2740" s="11">
        <f t="shared" si="172"/>
        <v>148</v>
      </c>
      <c r="P2740" s="12">
        <f t="shared" si="173"/>
        <v>493</v>
      </c>
      <c r="Q2740" s="14" t="s">
        <v>8316</v>
      </c>
      <c r="R2740" t="s">
        <v>8346</v>
      </c>
      <c r="S2740" s="17">
        <f t="shared" si="174"/>
        <v>42620.143564814818</v>
      </c>
      <c r="T2740" s="17">
        <f t="shared" si="175"/>
        <v>42680.143564814818</v>
      </c>
      <c r="U2740">
        <f>MONTH(Table1[[#This Row],[Launched]])</f>
        <v>9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 s="8">
        <v>1399324717</v>
      </c>
      <c r="J2741">
        <v>1395436717</v>
      </c>
      <c r="K2741" t="b">
        <v>0</v>
      </c>
      <c r="L2741" s="10">
        <v>191</v>
      </c>
      <c r="M2741" t="b">
        <v>1</v>
      </c>
      <c r="N2741" t="s">
        <v>8293</v>
      </c>
      <c r="O2741" s="11">
        <f t="shared" si="172"/>
        <v>384</v>
      </c>
      <c r="P2741" s="12">
        <f t="shared" si="173"/>
        <v>22</v>
      </c>
      <c r="Q2741" s="14" t="s">
        <v>8316</v>
      </c>
      <c r="R2741" t="s">
        <v>8346</v>
      </c>
      <c r="S2741" s="17">
        <f t="shared" si="174"/>
        <v>41719.887928240743</v>
      </c>
      <c r="T2741" s="17">
        <f t="shared" si="175"/>
        <v>41764.887928240743</v>
      </c>
      <c r="U2741">
        <f>MONTH(Table1[[#This Row],[Launched]])</f>
        <v>3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8218</v>
      </c>
      <c r="G2742" t="s">
        <v>8223</v>
      </c>
      <c r="H2742" t="s">
        <v>8245</v>
      </c>
      <c r="I2742" s="8">
        <v>1426117552</v>
      </c>
      <c r="J2742">
        <v>1423529152</v>
      </c>
      <c r="K2742" t="b">
        <v>0</v>
      </c>
      <c r="L2742" s="10">
        <v>17</v>
      </c>
      <c r="M2742" t="b">
        <v>1</v>
      </c>
      <c r="N2742" t="s">
        <v>8293</v>
      </c>
      <c r="O2742" s="11">
        <f t="shared" si="172"/>
        <v>103</v>
      </c>
      <c r="P2742" s="12">
        <f t="shared" si="173"/>
        <v>18</v>
      </c>
      <c r="Q2742" s="14" t="s">
        <v>8316</v>
      </c>
      <c r="R2742" t="s">
        <v>8346</v>
      </c>
      <c r="S2742" s="17">
        <f t="shared" si="174"/>
        <v>42045.031851851847</v>
      </c>
      <c r="T2742" s="17">
        <f t="shared" si="175"/>
        <v>42074.99018518519</v>
      </c>
      <c r="U2742">
        <f>MONTH(Table1[[#This Row],[Launched]])</f>
        <v>2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8220</v>
      </c>
      <c r="G2743" t="s">
        <v>8223</v>
      </c>
      <c r="H2743" t="s">
        <v>8245</v>
      </c>
      <c r="I2743" s="8">
        <v>1413770820</v>
      </c>
      <c r="J2743">
        <v>1412005602</v>
      </c>
      <c r="K2743" t="b">
        <v>0</v>
      </c>
      <c r="L2743" s="10">
        <v>4</v>
      </c>
      <c r="M2743" t="b">
        <v>0</v>
      </c>
      <c r="N2743" t="s">
        <v>8302</v>
      </c>
      <c r="O2743" s="11">
        <f t="shared" si="172"/>
        <v>0</v>
      </c>
      <c r="P2743" s="12">
        <f t="shared" si="173"/>
        <v>9</v>
      </c>
      <c r="Q2743" s="14" t="s">
        <v>8319</v>
      </c>
      <c r="R2743" t="s">
        <v>8355</v>
      </c>
      <c r="S2743" s="17">
        <f t="shared" si="174"/>
        <v>41911.657430555555</v>
      </c>
      <c r="T2743" s="17">
        <f t="shared" si="175"/>
        <v>41932.088194444441</v>
      </c>
      <c r="U2743">
        <f>MONTH(Table1[[#This Row],[Launched]])</f>
        <v>9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8220</v>
      </c>
      <c r="G2744" t="s">
        <v>8223</v>
      </c>
      <c r="H2744" t="s">
        <v>8245</v>
      </c>
      <c r="I2744" s="8">
        <v>1337102187</v>
      </c>
      <c r="J2744">
        <v>1335892587</v>
      </c>
      <c r="K2744" t="b">
        <v>0</v>
      </c>
      <c r="L2744" s="10">
        <v>18</v>
      </c>
      <c r="M2744" t="b">
        <v>0</v>
      </c>
      <c r="N2744" t="s">
        <v>8302</v>
      </c>
      <c r="O2744" s="11">
        <f t="shared" si="172"/>
        <v>29</v>
      </c>
      <c r="P2744" s="12">
        <f t="shared" si="173"/>
        <v>41</v>
      </c>
      <c r="Q2744" s="14" t="s">
        <v>8319</v>
      </c>
      <c r="R2744" t="s">
        <v>8355</v>
      </c>
      <c r="S2744" s="17">
        <f t="shared" si="174"/>
        <v>41030.719756944447</v>
      </c>
      <c r="T2744" s="17">
        <f t="shared" si="175"/>
        <v>41044.719756944447</v>
      </c>
      <c r="U2744">
        <f>MONTH(Table1[[#This Row],[Launched]])</f>
        <v>5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8220</v>
      </c>
      <c r="G2745" t="s">
        <v>8223</v>
      </c>
      <c r="H2745" t="s">
        <v>8245</v>
      </c>
      <c r="I2745" s="8">
        <v>1476863607</v>
      </c>
      <c r="J2745">
        <v>1474271607</v>
      </c>
      <c r="K2745" t="b">
        <v>0</v>
      </c>
      <c r="L2745" s="10">
        <v>0</v>
      </c>
      <c r="M2745" t="b">
        <v>0</v>
      </c>
      <c r="N2745" t="s">
        <v>8302</v>
      </c>
      <c r="O2745" s="11">
        <f t="shared" si="172"/>
        <v>0</v>
      </c>
      <c r="P2745" s="12" t="str">
        <f t="shared" si="173"/>
        <v>No Backers</v>
      </c>
      <c r="Q2745" s="14" t="s">
        <v>8319</v>
      </c>
      <c r="R2745" t="s">
        <v>8355</v>
      </c>
      <c r="S2745" s="17">
        <f t="shared" si="174"/>
        <v>42632.328784722224</v>
      </c>
      <c r="T2745" s="17">
        <f t="shared" si="175"/>
        <v>42662.328784722224</v>
      </c>
      <c r="U2745">
        <f>MONTH(Table1[[#This Row],[Launched]])</f>
        <v>9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 s="8">
        <v>1330478998</v>
      </c>
      <c r="J2746">
        <v>1327886998</v>
      </c>
      <c r="K2746" t="b">
        <v>0</v>
      </c>
      <c r="L2746" s="10">
        <v>22</v>
      </c>
      <c r="M2746" t="b">
        <v>0</v>
      </c>
      <c r="N2746" t="s">
        <v>8302</v>
      </c>
      <c r="O2746" s="11">
        <f t="shared" si="172"/>
        <v>5</v>
      </c>
      <c r="P2746" s="12">
        <f t="shared" si="173"/>
        <v>38</v>
      </c>
      <c r="Q2746" s="14" t="s">
        <v>8319</v>
      </c>
      <c r="R2746" t="s">
        <v>8355</v>
      </c>
      <c r="S2746" s="17">
        <f t="shared" si="174"/>
        <v>40938.062476851854</v>
      </c>
      <c r="T2746" s="17">
        <f t="shared" si="175"/>
        <v>40968.062476851854</v>
      </c>
      <c r="U2746">
        <f>MONTH(Table1[[#This Row],[Launched]])</f>
        <v>1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 s="8">
        <v>1342309368</v>
      </c>
      <c r="J2747">
        <v>1337125368</v>
      </c>
      <c r="K2747" t="b">
        <v>0</v>
      </c>
      <c r="L2747" s="10">
        <v>49</v>
      </c>
      <c r="M2747" t="b">
        <v>0</v>
      </c>
      <c r="N2747" t="s">
        <v>8302</v>
      </c>
      <c r="O2747" s="11">
        <f t="shared" si="172"/>
        <v>22</v>
      </c>
      <c r="P2747" s="12">
        <f t="shared" si="173"/>
        <v>36</v>
      </c>
      <c r="Q2747" s="14" t="s">
        <v>8319</v>
      </c>
      <c r="R2747" t="s">
        <v>8355</v>
      </c>
      <c r="S2747" s="17">
        <f t="shared" si="174"/>
        <v>41044.988055555557</v>
      </c>
      <c r="T2747" s="17">
        <f t="shared" si="175"/>
        <v>41104.988055555557</v>
      </c>
      <c r="U2747">
        <f>MONTH(Table1[[#This Row],[Launched]])</f>
        <v>5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8220</v>
      </c>
      <c r="G2748" t="s">
        <v>8223</v>
      </c>
      <c r="H2748" t="s">
        <v>8245</v>
      </c>
      <c r="I2748" s="8">
        <v>1409337911</v>
      </c>
      <c r="J2748">
        <v>1406745911</v>
      </c>
      <c r="K2748" t="b">
        <v>0</v>
      </c>
      <c r="L2748" s="10">
        <v>19</v>
      </c>
      <c r="M2748" t="b">
        <v>0</v>
      </c>
      <c r="N2748" t="s">
        <v>8302</v>
      </c>
      <c r="O2748" s="11">
        <f t="shared" si="172"/>
        <v>27</v>
      </c>
      <c r="P2748" s="12">
        <f t="shared" si="173"/>
        <v>42</v>
      </c>
      <c r="Q2748" s="14" t="s">
        <v>8319</v>
      </c>
      <c r="R2748" t="s">
        <v>8355</v>
      </c>
      <c r="S2748" s="17">
        <f t="shared" si="174"/>
        <v>41850.781377314815</v>
      </c>
      <c r="T2748" s="17">
        <f t="shared" si="175"/>
        <v>41880.781377314815</v>
      </c>
      <c r="U2748">
        <f>MONTH(Table1[[#This Row],[Launched]])</f>
        <v>7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8220</v>
      </c>
      <c r="G2749" t="s">
        <v>8223</v>
      </c>
      <c r="H2749" t="s">
        <v>8245</v>
      </c>
      <c r="I2749" s="8">
        <v>1339816200</v>
      </c>
      <c r="J2749">
        <v>1337095997</v>
      </c>
      <c r="K2749" t="b">
        <v>0</v>
      </c>
      <c r="L2749" s="10">
        <v>4</v>
      </c>
      <c r="M2749" t="b">
        <v>0</v>
      </c>
      <c r="N2749" t="s">
        <v>8302</v>
      </c>
      <c r="O2749" s="11">
        <f t="shared" si="172"/>
        <v>28</v>
      </c>
      <c r="P2749" s="12">
        <f t="shared" si="173"/>
        <v>35</v>
      </c>
      <c r="Q2749" s="14" t="s">
        <v>8319</v>
      </c>
      <c r="R2749" t="s">
        <v>8355</v>
      </c>
      <c r="S2749" s="17">
        <f t="shared" si="174"/>
        <v>41044.64811342593</v>
      </c>
      <c r="T2749" s="17">
        <f t="shared" si="175"/>
        <v>41076.131944444445</v>
      </c>
      <c r="U2749">
        <f>MONTH(Table1[[#This Row],[Launched]])</f>
        <v>5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8220</v>
      </c>
      <c r="G2750" t="s">
        <v>8223</v>
      </c>
      <c r="H2750" t="s">
        <v>8245</v>
      </c>
      <c r="I2750" s="8">
        <v>1472835802</v>
      </c>
      <c r="J2750">
        <v>1470243802</v>
      </c>
      <c r="K2750" t="b">
        <v>0</v>
      </c>
      <c r="L2750" s="10">
        <v>4</v>
      </c>
      <c r="M2750" t="b">
        <v>0</v>
      </c>
      <c r="N2750" t="s">
        <v>8302</v>
      </c>
      <c r="O2750" s="11">
        <f t="shared" si="172"/>
        <v>1</v>
      </c>
      <c r="P2750" s="12">
        <f t="shared" si="173"/>
        <v>13</v>
      </c>
      <c r="Q2750" s="14" t="s">
        <v>8319</v>
      </c>
      <c r="R2750" t="s">
        <v>8355</v>
      </c>
      <c r="S2750" s="17">
        <f t="shared" si="174"/>
        <v>42585.7106712963</v>
      </c>
      <c r="T2750" s="17">
        <f t="shared" si="175"/>
        <v>42615.7106712963</v>
      </c>
      <c r="U2750">
        <f>MONTH(Table1[[#This Row],[Launched]])</f>
        <v>8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 s="8">
        <v>1428171037</v>
      </c>
      <c r="J2751">
        <v>1425582637</v>
      </c>
      <c r="K2751" t="b">
        <v>0</v>
      </c>
      <c r="L2751" s="10">
        <v>2</v>
      </c>
      <c r="M2751" t="b">
        <v>0</v>
      </c>
      <c r="N2751" t="s">
        <v>8302</v>
      </c>
      <c r="O2751" s="11">
        <f t="shared" si="172"/>
        <v>1</v>
      </c>
      <c r="P2751" s="12">
        <f t="shared" si="173"/>
        <v>55</v>
      </c>
      <c r="Q2751" s="14" t="s">
        <v>8319</v>
      </c>
      <c r="R2751" t="s">
        <v>8355</v>
      </c>
      <c r="S2751" s="17">
        <f t="shared" si="174"/>
        <v>42068.799039351856</v>
      </c>
      <c r="T2751" s="17">
        <f t="shared" si="175"/>
        <v>42098.757372685184</v>
      </c>
      <c r="U2751">
        <f>MONTH(Table1[[#This Row],[Launched]])</f>
        <v>3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8220</v>
      </c>
      <c r="G2752" t="s">
        <v>8223</v>
      </c>
      <c r="H2752" t="s">
        <v>8245</v>
      </c>
      <c r="I2752" s="8">
        <v>1341086400</v>
      </c>
      <c r="J2752">
        <v>1340055345</v>
      </c>
      <c r="K2752" t="b">
        <v>0</v>
      </c>
      <c r="L2752" s="10">
        <v>0</v>
      </c>
      <c r="M2752" t="b">
        <v>0</v>
      </c>
      <c r="N2752" t="s">
        <v>8302</v>
      </c>
      <c r="O2752" s="11">
        <f t="shared" si="172"/>
        <v>0</v>
      </c>
      <c r="P2752" s="12" t="str">
        <f t="shared" si="173"/>
        <v>No Backers</v>
      </c>
      <c r="Q2752" s="14" t="s">
        <v>8319</v>
      </c>
      <c r="R2752" t="s">
        <v>8355</v>
      </c>
      <c r="S2752" s="17">
        <f t="shared" si="174"/>
        <v>41078.899826388886</v>
      </c>
      <c r="T2752" s="17">
        <f t="shared" si="175"/>
        <v>41090.833333333336</v>
      </c>
      <c r="U2752">
        <f>MONTH(Table1[[#This Row],[Launched]])</f>
        <v>6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8220</v>
      </c>
      <c r="G2753" t="s">
        <v>8223</v>
      </c>
      <c r="H2753" t="s">
        <v>8245</v>
      </c>
      <c r="I2753" s="8">
        <v>1403039842</v>
      </c>
      <c r="J2753">
        <v>1397855842</v>
      </c>
      <c r="K2753" t="b">
        <v>0</v>
      </c>
      <c r="L2753" s="10">
        <v>0</v>
      </c>
      <c r="M2753" t="b">
        <v>0</v>
      </c>
      <c r="N2753" t="s">
        <v>8302</v>
      </c>
      <c r="O2753" s="11">
        <f t="shared" si="172"/>
        <v>0</v>
      </c>
      <c r="P2753" s="12" t="str">
        <f t="shared" si="173"/>
        <v>No Backers</v>
      </c>
      <c r="Q2753" s="14" t="s">
        <v>8319</v>
      </c>
      <c r="R2753" t="s">
        <v>8355</v>
      </c>
      <c r="S2753" s="17">
        <f t="shared" si="174"/>
        <v>41747.887060185189</v>
      </c>
      <c r="T2753" s="17">
        <f t="shared" si="175"/>
        <v>41807.887060185189</v>
      </c>
      <c r="U2753">
        <f>MONTH(Table1[[#This Row],[Launched]])</f>
        <v>4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8220</v>
      </c>
      <c r="G2754" t="s">
        <v>8223</v>
      </c>
      <c r="H2754" t="s">
        <v>8245</v>
      </c>
      <c r="I2754" s="8">
        <v>1324232504</v>
      </c>
      <c r="J2754">
        <v>1320776504</v>
      </c>
      <c r="K2754" t="b">
        <v>0</v>
      </c>
      <c r="L2754" s="10">
        <v>14</v>
      </c>
      <c r="M2754" t="b">
        <v>0</v>
      </c>
      <c r="N2754" t="s">
        <v>8302</v>
      </c>
      <c r="O2754" s="11">
        <f t="shared" ref="O2754:O2817" si="176">ROUND(E2754/D2754*100,0)</f>
        <v>11</v>
      </c>
      <c r="P2754" s="12">
        <f t="shared" si="173"/>
        <v>39</v>
      </c>
      <c r="Q2754" s="14" t="s">
        <v>8319</v>
      </c>
      <c r="R2754" t="s">
        <v>8355</v>
      </c>
      <c r="S2754" s="17">
        <f t="shared" si="174"/>
        <v>40855.765092592592</v>
      </c>
      <c r="T2754" s="17">
        <f t="shared" si="175"/>
        <v>40895.765092592592</v>
      </c>
      <c r="U2754">
        <f>MONTH(Table1[[#This Row],[Launched]])</f>
        <v>11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8220</v>
      </c>
      <c r="G2755" t="s">
        <v>8223</v>
      </c>
      <c r="H2755" t="s">
        <v>8245</v>
      </c>
      <c r="I2755" s="8">
        <v>1346017023</v>
      </c>
      <c r="J2755">
        <v>1343425023</v>
      </c>
      <c r="K2755" t="b">
        <v>0</v>
      </c>
      <c r="L2755" s="10">
        <v>8</v>
      </c>
      <c r="M2755" t="b">
        <v>0</v>
      </c>
      <c r="N2755" t="s">
        <v>8302</v>
      </c>
      <c r="O2755" s="11">
        <f t="shared" si="176"/>
        <v>19</v>
      </c>
      <c r="P2755" s="12">
        <f t="shared" ref="P2755:P2818" si="177">IFERROR(ROUND(E2755/L2755,),"No Backers")</f>
        <v>48</v>
      </c>
      <c r="Q2755" s="14" t="s">
        <v>8319</v>
      </c>
      <c r="R2755" t="s">
        <v>8355</v>
      </c>
      <c r="S2755" s="17">
        <f t="shared" ref="S2755:S2818" si="178">(((J2755/60)/60)/24)+DATE(1970,1,1)</f>
        <v>41117.900729166664</v>
      </c>
      <c r="T2755" s="17">
        <f t="shared" ref="T2755:T2818" si="179">(((I2755/60)/60)/24)+DATE(1970,1,1)</f>
        <v>41147.900729166664</v>
      </c>
      <c r="U2755">
        <f>MONTH(Table1[[#This Row],[Launched]])</f>
        <v>7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8220</v>
      </c>
      <c r="G2756" t="s">
        <v>8223</v>
      </c>
      <c r="H2756" t="s">
        <v>8245</v>
      </c>
      <c r="I2756" s="8">
        <v>1410448551</v>
      </c>
      <c r="J2756">
        <v>1407856551</v>
      </c>
      <c r="K2756" t="b">
        <v>0</v>
      </c>
      <c r="L2756" s="10">
        <v>0</v>
      </c>
      <c r="M2756" t="b">
        <v>0</v>
      </c>
      <c r="N2756" t="s">
        <v>8302</v>
      </c>
      <c r="O2756" s="11">
        <f t="shared" si="176"/>
        <v>0</v>
      </c>
      <c r="P2756" s="12" t="str">
        <f t="shared" si="177"/>
        <v>No Backers</v>
      </c>
      <c r="Q2756" s="14" t="s">
        <v>8319</v>
      </c>
      <c r="R2756" t="s">
        <v>8355</v>
      </c>
      <c r="S2756" s="17">
        <f t="shared" si="178"/>
        <v>41863.636006944449</v>
      </c>
      <c r="T2756" s="17">
        <f t="shared" si="179"/>
        <v>41893.636006944449</v>
      </c>
      <c r="U2756">
        <f>MONTH(Table1[[#This Row],[Launched]])</f>
        <v>8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8220</v>
      </c>
      <c r="G2757" t="s">
        <v>8240</v>
      </c>
      <c r="H2757" t="s">
        <v>8248</v>
      </c>
      <c r="I2757" s="8">
        <v>1428519527</v>
      </c>
      <c r="J2757">
        <v>1425927527</v>
      </c>
      <c r="K2757" t="b">
        <v>0</v>
      </c>
      <c r="L2757" s="10">
        <v>15</v>
      </c>
      <c r="M2757" t="b">
        <v>0</v>
      </c>
      <c r="N2757" t="s">
        <v>8302</v>
      </c>
      <c r="O2757" s="11">
        <f t="shared" si="176"/>
        <v>52</v>
      </c>
      <c r="P2757" s="12">
        <f t="shared" si="177"/>
        <v>17</v>
      </c>
      <c r="Q2757" s="14" t="s">
        <v>8319</v>
      </c>
      <c r="R2757" t="s">
        <v>8355</v>
      </c>
      <c r="S2757" s="17">
        <f t="shared" si="178"/>
        <v>42072.790821759263</v>
      </c>
      <c r="T2757" s="17">
        <f t="shared" si="179"/>
        <v>42102.790821759263</v>
      </c>
      <c r="U2757">
        <f>MONTH(Table1[[#This Row],[Launched]])</f>
        <v>3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 s="8">
        <v>1389476201</v>
      </c>
      <c r="J2758">
        <v>1386884201</v>
      </c>
      <c r="K2758" t="b">
        <v>0</v>
      </c>
      <c r="L2758" s="10">
        <v>33</v>
      </c>
      <c r="M2758" t="b">
        <v>0</v>
      </c>
      <c r="N2758" t="s">
        <v>8302</v>
      </c>
      <c r="O2758" s="11">
        <f t="shared" si="176"/>
        <v>10</v>
      </c>
      <c r="P2758" s="12">
        <f t="shared" si="177"/>
        <v>32</v>
      </c>
      <c r="Q2758" s="14" t="s">
        <v>8319</v>
      </c>
      <c r="R2758" t="s">
        <v>8355</v>
      </c>
      <c r="S2758" s="17">
        <f t="shared" si="178"/>
        <v>41620.90047453704</v>
      </c>
      <c r="T2758" s="17">
        <f t="shared" si="179"/>
        <v>41650.90047453704</v>
      </c>
      <c r="U2758">
        <f>MONTH(Table1[[#This Row],[Launched]])</f>
        <v>12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8220</v>
      </c>
      <c r="G2759" t="s">
        <v>8223</v>
      </c>
      <c r="H2759" t="s">
        <v>8245</v>
      </c>
      <c r="I2759" s="8">
        <v>1470498332</v>
      </c>
      <c r="J2759">
        <v>1469202332</v>
      </c>
      <c r="K2759" t="b">
        <v>0</v>
      </c>
      <c r="L2759" s="10">
        <v>2</v>
      </c>
      <c r="M2759" t="b">
        <v>0</v>
      </c>
      <c r="N2759" t="s">
        <v>8302</v>
      </c>
      <c r="O2759" s="11">
        <f t="shared" si="176"/>
        <v>1</v>
      </c>
      <c r="P2759" s="12">
        <f t="shared" si="177"/>
        <v>5</v>
      </c>
      <c r="Q2759" s="14" t="s">
        <v>8319</v>
      </c>
      <c r="R2759" t="s">
        <v>8355</v>
      </c>
      <c r="S2759" s="17">
        <f t="shared" si="178"/>
        <v>42573.65662037037</v>
      </c>
      <c r="T2759" s="17">
        <f t="shared" si="179"/>
        <v>42588.65662037037</v>
      </c>
      <c r="U2759">
        <f>MONTH(Table1[[#This Row],[Launched]])</f>
        <v>7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8220</v>
      </c>
      <c r="G2760" t="s">
        <v>8225</v>
      </c>
      <c r="H2760" t="s">
        <v>8247</v>
      </c>
      <c r="I2760" s="8">
        <v>1476095783</v>
      </c>
      <c r="J2760">
        <v>1474886183</v>
      </c>
      <c r="K2760" t="b">
        <v>0</v>
      </c>
      <c r="L2760" s="10">
        <v>6</v>
      </c>
      <c r="M2760" t="b">
        <v>0</v>
      </c>
      <c r="N2760" t="s">
        <v>8302</v>
      </c>
      <c r="O2760" s="11">
        <f t="shared" si="176"/>
        <v>12</v>
      </c>
      <c r="P2760" s="12">
        <f t="shared" si="177"/>
        <v>39</v>
      </c>
      <c r="Q2760" s="14" t="s">
        <v>8319</v>
      </c>
      <c r="R2760" t="s">
        <v>8355</v>
      </c>
      <c r="S2760" s="17">
        <f t="shared" si="178"/>
        <v>42639.441932870366</v>
      </c>
      <c r="T2760" s="17">
        <f t="shared" si="179"/>
        <v>42653.441932870366</v>
      </c>
      <c r="U2760">
        <f>MONTH(Table1[[#This Row],[Launched]])</f>
        <v>9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8220</v>
      </c>
      <c r="G2761" t="s">
        <v>8225</v>
      </c>
      <c r="H2761" t="s">
        <v>8247</v>
      </c>
      <c r="I2761" s="8">
        <v>1468658866</v>
      </c>
      <c r="J2761">
        <v>1464943666</v>
      </c>
      <c r="K2761" t="b">
        <v>0</v>
      </c>
      <c r="L2761" s="10">
        <v>2</v>
      </c>
      <c r="M2761" t="b">
        <v>0</v>
      </c>
      <c r="N2761" t="s">
        <v>8302</v>
      </c>
      <c r="O2761" s="11">
        <f t="shared" si="176"/>
        <v>11</v>
      </c>
      <c r="P2761" s="12">
        <f t="shared" si="177"/>
        <v>53</v>
      </c>
      <c r="Q2761" s="14" t="s">
        <v>8319</v>
      </c>
      <c r="R2761" t="s">
        <v>8355</v>
      </c>
      <c r="S2761" s="17">
        <f t="shared" si="178"/>
        <v>42524.36650462963</v>
      </c>
      <c r="T2761" s="17">
        <f t="shared" si="179"/>
        <v>42567.36650462963</v>
      </c>
      <c r="U2761">
        <f>MONTH(Table1[[#This Row],[Launched]])</f>
        <v>6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8220</v>
      </c>
      <c r="G2762" t="s">
        <v>8224</v>
      </c>
      <c r="H2762" t="s">
        <v>8246</v>
      </c>
      <c r="I2762" s="8">
        <v>1371726258</v>
      </c>
      <c r="J2762">
        <v>1369134258</v>
      </c>
      <c r="K2762" t="b">
        <v>0</v>
      </c>
      <c r="L2762" s="10">
        <v>0</v>
      </c>
      <c r="M2762" t="b">
        <v>0</v>
      </c>
      <c r="N2762" t="s">
        <v>8302</v>
      </c>
      <c r="O2762" s="11">
        <f t="shared" si="176"/>
        <v>0</v>
      </c>
      <c r="P2762" s="12" t="str">
        <f t="shared" si="177"/>
        <v>No Backers</v>
      </c>
      <c r="Q2762" s="14" t="s">
        <v>8319</v>
      </c>
      <c r="R2762" t="s">
        <v>8355</v>
      </c>
      <c r="S2762" s="17">
        <f t="shared" si="178"/>
        <v>41415.461319444446</v>
      </c>
      <c r="T2762" s="17">
        <f t="shared" si="179"/>
        <v>41445.461319444446</v>
      </c>
      <c r="U2762">
        <f>MONTH(Table1[[#This Row],[Launched]])</f>
        <v>5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8220</v>
      </c>
      <c r="G2763" t="s">
        <v>8223</v>
      </c>
      <c r="H2763" t="s">
        <v>8245</v>
      </c>
      <c r="I2763" s="8">
        <v>1357176693</v>
      </c>
      <c r="J2763">
        <v>1354584693</v>
      </c>
      <c r="K2763" t="b">
        <v>0</v>
      </c>
      <c r="L2763" s="10">
        <v>4</v>
      </c>
      <c r="M2763" t="b">
        <v>0</v>
      </c>
      <c r="N2763" t="s">
        <v>8302</v>
      </c>
      <c r="O2763" s="11">
        <f t="shared" si="176"/>
        <v>1</v>
      </c>
      <c r="P2763" s="12">
        <f t="shared" si="177"/>
        <v>9</v>
      </c>
      <c r="Q2763" s="14" t="s">
        <v>8319</v>
      </c>
      <c r="R2763" t="s">
        <v>8355</v>
      </c>
      <c r="S2763" s="17">
        <f t="shared" si="178"/>
        <v>41247.063576388886</v>
      </c>
      <c r="T2763" s="17">
        <f t="shared" si="179"/>
        <v>41277.063576388886</v>
      </c>
      <c r="U2763">
        <f>MONTH(Table1[[#This Row],[Launched]])</f>
        <v>12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8220</v>
      </c>
      <c r="G2764" t="s">
        <v>8223</v>
      </c>
      <c r="H2764" t="s">
        <v>8245</v>
      </c>
      <c r="I2764" s="8">
        <v>1332114795</v>
      </c>
      <c r="J2764">
        <v>1326934395</v>
      </c>
      <c r="K2764" t="b">
        <v>0</v>
      </c>
      <c r="L2764" s="10">
        <v>1</v>
      </c>
      <c r="M2764" t="b">
        <v>0</v>
      </c>
      <c r="N2764" t="s">
        <v>8302</v>
      </c>
      <c r="O2764" s="11">
        <f t="shared" si="176"/>
        <v>1</v>
      </c>
      <c r="P2764" s="12">
        <f t="shared" si="177"/>
        <v>25</v>
      </c>
      <c r="Q2764" s="14" t="s">
        <v>8319</v>
      </c>
      <c r="R2764" t="s">
        <v>8355</v>
      </c>
      <c r="S2764" s="17">
        <f t="shared" si="178"/>
        <v>40927.036979166667</v>
      </c>
      <c r="T2764" s="17">
        <f t="shared" si="179"/>
        <v>40986.995312500003</v>
      </c>
      <c r="U2764">
        <f>MONTH(Table1[[#This Row],[Launched]])</f>
        <v>1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8220</v>
      </c>
      <c r="G2765" t="s">
        <v>8223</v>
      </c>
      <c r="H2765" t="s">
        <v>8245</v>
      </c>
      <c r="I2765" s="8">
        <v>1369403684</v>
      </c>
      <c r="J2765">
        <v>1365515684</v>
      </c>
      <c r="K2765" t="b">
        <v>0</v>
      </c>
      <c r="L2765" s="10">
        <v>3</v>
      </c>
      <c r="M2765" t="b">
        <v>0</v>
      </c>
      <c r="N2765" t="s">
        <v>8302</v>
      </c>
      <c r="O2765" s="11">
        <f t="shared" si="176"/>
        <v>0</v>
      </c>
      <c r="P2765" s="12">
        <f t="shared" si="177"/>
        <v>30</v>
      </c>
      <c r="Q2765" s="14" t="s">
        <v>8319</v>
      </c>
      <c r="R2765" t="s">
        <v>8355</v>
      </c>
      <c r="S2765" s="17">
        <f t="shared" si="178"/>
        <v>41373.579675925925</v>
      </c>
      <c r="T2765" s="17">
        <f t="shared" si="179"/>
        <v>41418.579675925925</v>
      </c>
      <c r="U2765">
        <f>MONTH(Table1[[#This Row],[Launched]])</f>
        <v>4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8220</v>
      </c>
      <c r="G2766" t="s">
        <v>8223</v>
      </c>
      <c r="H2766" t="s">
        <v>8245</v>
      </c>
      <c r="I2766" s="8">
        <v>1338404400</v>
      </c>
      <c r="J2766">
        <v>1335855631</v>
      </c>
      <c r="K2766" t="b">
        <v>0</v>
      </c>
      <c r="L2766" s="10">
        <v>4</v>
      </c>
      <c r="M2766" t="b">
        <v>0</v>
      </c>
      <c r="N2766" t="s">
        <v>8302</v>
      </c>
      <c r="O2766" s="11">
        <f t="shared" si="176"/>
        <v>1</v>
      </c>
      <c r="P2766" s="12">
        <f t="shared" si="177"/>
        <v>11</v>
      </c>
      <c r="Q2766" s="14" t="s">
        <v>8319</v>
      </c>
      <c r="R2766" t="s">
        <v>8355</v>
      </c>
      <c r="S2766" s="17">
        <f t="shared" si="178"/>
        <v>41030.292025462964</v>
      </c>
      <c r="T2766" s="17">
        <f t="shared" si="179"/>
        <v>41059.791666666664</v>
      </c>
      <c r="U2766">
        <f>MONTH(Table1[[#This Row],[Launched]])</f>
        <v>5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8220</v>
      </c>
      <c r="G2767" t="s">
        <v>8223</v>
      </c>
      <c r="H2767" t="s">
        <v>8245</v>
      </c>
      <c r="I2767" s="8">
        <v>1351432428</v>
      </c>
      <c r="J2767">
        <v>1350050028</v>
      </c>
      <c r="K2767" t="b">
        <v>0</v>
      </c>
      <c r="L2767" s="10">
        <v>0</v>
      </c>
      <c r="M2767" t="b">
        <v>0</v>
      </c>
      <c r="N2767" t="s">
        <v>8302</v>
      </c>
      <c r="O2767" s="11">
        <f t="shared" si="176"/>
        <v>0</v>
      </c>
      <c r="P2767" s="12" t="str">
        <f t="shared" si="177"/>
        <v>No Backers</v>
      </c>
      <c r="Q2767" s="14" t="s">
        <v>8319</v>
      </c>
      <c r="R2767" t="s">
        <v>8355</v>
      </c>
      <c r="S2767" s="17">
        <f t="shared" si="178"/>
        <v>41194.579027777778</v>
      </c>
      <c r="T2767" s="17">
        <f t="shared" si="179"/>
        <v>41210.579027777778</v>
      </c>
      <c r="U2767">
        <f>MONTH(Table1[[#This Row],[Launched]])</f>
        <v>10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8220</v>
      </c>
      <c r="G2768" t="s">
        <v>8223</v>
      </c>
      <c r="H2768" t="s">
        <v>8245</v>
      </c>
      <c r="I2768" s="8">
        <v>1313078518</v>
      </c>
      <c r="J2768">
        <v>1310486518</v>
      </c>
      <c r="K2768" t="b">
        <v>0</v>
      </c>
      <c r="L2768" s="10">
        <v>4</v>
      </c>
      <c r="M2768" t="b">
        <v>0</v>
      </c>
      <c r="N2768" t="s">
        <v>8302</v>
      </c>
      <c r="O2768" s="11">
        <f t="shared" si="176"/>
        <v>2</v>
      </c>
      <c r="P2768" s="12">
        <f t="shared" si="177"/>
        <v>25</v>
      </c>
      <c r="Q2768" s="14" t="s">
        <v>8319</v>
      </c>
      <c r="R2768" t="s">
        <v>8355</v>
      </c>
      <c r="S2768" s="17">
        <f t="shared" si="178"/>
        <v>40736.668032407404</v>
      </c>
      <c r="T2768" s="17">
        <f t="shared" si="179"/>
        <v>40766.668032407404</v>
      </c>
      <c r="U2768">
        <f>MONTH(Table1[[#This Row],[Launched]])</f>
        <v>7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8220</v>
      </c>
      <c r="G2769" t="s">
        <v>8228</v>
      </c>
      <c r="H2769" t="s">
        <v>8250</v>
      </c>
      <c r="I2769" s="8">
        <v>1439766050</v>
      </c>
      <c r="J2769">
        <v>1434582050</v>
      </c>
      <c r="K2769" t="b">
        <v>0</v>
      </c>
      <c r="L2769" s="10">
        <v>3</v>
      </c>
      <c r="M2769" t="b">
        <v>0</v>
      </c>
      <c r="N2769" t="s">
        <v>8302</v>
      </c>
      <c r="O2769" s="11">
        <f t="shared" si="176"/>
        <v>1</v>
      </c>
      <c r="P2769" s="12">
        <f t="shared" si="177"/>
        <v>11</v>
      </c>
      <c r="Q2769" s="14" t="s">
        <v>8319</v>
      </c>
      <c r="R2769" t="s">
        <v>8355</v>
      </c>
      <c r="S2769" s="17">
        <f t="shared" si="178"/>
        <v>42172.958912037036</v>
      </c>
      <c r="T2769" s="17">
        <f t="shared" si="179"/>
        <v>42232.958912037036</v>
      </c>
      <c r="U2769">
        <f>MONTH(Table1[[#This Row],[Launched]])</f>
        <v>6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 s="8">
        <v>1333028723</v>
      </c>
      <c r="J2770">
        <v>1330440323</v>
      </c>
      <c r="K2770" t="b">
        <v>0</v>
      </c>
      <c r="L2770" s="10">
        <v>34</v>
      </c>
      <c r="M2770" t="b">
        <v>0</v>
      </c>
      <c r="N2770" t="s">
        <v>8302</v>
      </c>
      <c r="O2770" s="11">
        <f t="shared" si="176"/>
        <v>14</v>
      </c>
      <c r="P2770" s="12">
        <f t="shared" si="177"/>
        <v>29</v>
      </c>
      <c r="Q2770" s="14" t="s">
        <v>8319</v>
      </c>
      <c r="R2770" t="s">
        <v>8355</v>
      </c>
      <c r="S2770" s="17">
        <f t="shared" si="178"/>
        <v>40967.614849537036</v>
      </c>
      <c r="T2770" s="17">
        <f t="shared" si="179"/>
        <v>40997.573182870372</v>
      </c>
      <c r="U2770">
        <f>MONTH(Table1[[#This Row],[Launched]])</f>
        <v>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8220</v>
      </c>
      <c r="G2771" t="s">
        <v>8224</v>
      </c>
      <c r="H2771" t="s">
        <v>8246</v>
      </c>
      <c r="I2771" s="8">
        <v>1401997790</v>
      </c>
      <c r="J2771">
        <v>1397677790</v>
      </c>
      <c r="K2771" t="b">
        <v>0</v>
      </c>
      <c r="L2771" s="10">
        <v>2</v>
      </c>
      <c r="M2771" t="b">
        <v>0</v>
      </c>
      <c r="N2771" t="s">
        <v>8302</v>
      </c>
      <c r="O2771" s="11">
        <f t="shared" si="176"/>
        <v>0</v>
      </c>
      <c r="P2771" s="12">
        <f t="shared" si="177"/>
        <v>1</v>
      </c>
      <c r="Q2771" s="14" t="s">
        <v>8319</v>
      </c>
      <c r="R2771" t="s">
        <v>8355</v>
      </c>
      <c r="S2771" s="17">
        <f t="shared" si="178"/>
        <v>41745.826273148145</v>
      </c>
      <c r="T2771" s="17">
        <f t="shared" si="179"/>
        <v>41795.826273148145</v>
      </c>
      <c r="U2771">
        <f>MONTH(Table1[[#This Row],[Launched]])</f>
        <v>4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 s="8">
        <v>1395158130</v>
      </c>
      <c r="J2772">
        <v>1392569730</v>
      </c>
      <c r="K2772" t="b">
        <v>0</v>
      </c>
      <c r="L2772" s="10">
        <v>33</v>
      </c>
      <c r="M2772" t="b">
        <v>0</v>
      </c>
      <c r="N2772" t="s">
        <v>8302</v>
      </c>
      <c r="O2772" s="11">
        <f t="shared" si="176"/>
        <v>10</v>
      </c>
      <c r="P2772" s="12">
        <f t="shared" si="177"/>
        <v>63</v>
      </c>
      <c r="Q2772" s="14" t="s">
        <v>8319</v>
      </c>
      <c r="R2772" t="s">
        <v>8355</v>
      </c>
      <c r="S2772" s="17">
        <f t="shared" si="178"/>
        <v>41686.705208333333</v>
      </c>
      <c r="T2772" s="17">
        <f t="shared" si="179"/>
        <v>41716.663541666669</v>
      </c>
      <c r="U2772">
        <f>MONTH(Table1[[#This Row],[Launched]])</f>
        <v>2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8220</v>
      </c>
      <c r="G2773" t="s">
        <v>8223</v>
      </c>
      <c r="H2773" t="s">
        <v>8245</v>
      </c>
      <c r="I2773" s="8">
        <v>1359738000</v>
      </c>
      <c r="J2773">
        <v>1355489140</v>
      </c>
      <c r="K2773" t="b">
        <v>0</v>
      </c>
      <c r="L2773" s="10">
        <v>0</v>
      </c>
      <c r="M2773" t="b">
        <v>0</v>
      </c>
      <c r="N2773" t="s">
        <v>8302</v>
      </c>
      <c r="O2773" s="11">
        <f t="shared" si="176"/>
        <v>0</v>
      </c>
      <c r="P2773" s="12" t="str">
        <f t="shared" si="177"/>
        <v>No Backers</v>
      </c>
      <c r="Q2773" s="14" t="s">
        <v>8319</v>
      </c>
      <c r="R2773" t="s">
        <v>8355</v>
      </c>
      <c r="S2773" s="17">
        <f t="shared" si="178"/>
        <v>41257.531712962962</v>
      </c>
      <c r="T2773" s="17">
        <f t="shared" si="179"/>
        <v>41306.708333333336</v>
      </c>
      <c r="U2773">
        <f>MONTH(Table1[[#This Row],[Launched]])</f>
        <v>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8220</v>
      </c>
      <c r="G2774" t="s">
        <v>8223</v>
      </c>
      <c r="H2774" t="s">
        <v>8245</v>
      </c>
      <c r="I2774" s="8">
        <v>1381006294</v>
      </c>
      <c r="J2774">
        <v>1379710294</v>
      </c>
      <c r="K2774" t="b">
        <v>0</v>
      </c>
      <c r="L2774" s="10">
        <v>0</v>
      </c>
      <c r="M2774" t="b">
        <v>0</v>
      </c>
      <c r="N2774" t="s">
        <v>8302</v>
      </c>
      <c r="O2774" s="11">
        <f t="shared" si="176"/>
        <v>0</v>
      </c>
      <c r="P2774" s="12" t="str">
        <f t="shared" si="177"/>
        <v>No Backers</v>
      </c>
      <c r="Q2774" s="14" t="s">
        <v>8319</v>
      </c>
      <c r="R2774" t="s">
        <v>8355</v>
      </c>
      <c r="S2774" s="17">
        <f t="shared" si="178"/>
        <v>41537.869143518517</v>
      </c>
      <c r="T2774" s="17">
        <f t="shared" si="179"/>
        <v>41552.869143518517</v>
      </c>
      <c r="U2774">
        <f>MONTH(Table1[[#This Row],[Launched]])</f>
        <v>9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8220</v>
      </c>
      <c r="G2775" t="s">
        <v>8228</v>
      </c>
      <c r="H2775" t="s">
        <v>8250</v>
      </c>
      <c r="I2775" s="8">
        <v>1461530721</v>
      </c>
      <c r="J2775">
        <v>1460666721</v>
      </c>
      <c r="K2775" t="b">
        <v>0</v>
      </c>
      <c r="L2775" s="10">
        <v>1</v>
      </c>
      <c r="M2775" t="b">
        <v>0</v>
      </c>
      <c r="N2775" t="s">
        <v>8302</v>
      </c>
      <c r="O2775" s="11">
        <f t="shared" si="176"/>
        <v>0</v>
      </c>
      <c r="P2775" s="12">
        <f t="shared" si="177"/>
        <v>1</v>
      </c>
      <c r="Q2775" s="14" t="s">
        <v>8319</v>
      </c>
      <c r="R2775" t="s">
        <v>8355</v>
      </c>
      <c r="S2775" s="17">
        <f t="shared" si="178"/>
        <v>42474.86482638889</v>
      </c>
      <c r="T2775" s="17">
        <f t="shared" si="179"/>
        <v>42484.86482638889</v>
      </c>
      <c r="U2775">
        <f>MONTH(Table1[[#This Row],[Launched]])</f>
        <v>4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8220</v>
      </c>
      <c r="G2776" t="s">
        <v>8223</v>
      </c>
      <c r="H2776" t="s">
        <v>8245</v>
      </c>
      <c r="I2776" s="8">
        <v>1362711728</v>
      </c>
      <c r="J2776">
        <v>1360119728</v>
      </c>
      <c r="K2776" t="b">
        <v>0</v>
      </c>
      <c r="L2776" s="10">
        <v>13</v>
      </c>
      <c r="M2776" t="b">
        <v>0</v>
      </c>
      <c r="N2776" t="s">
        <v>8302</v>
      </c>
      <c r="O2776" s="11">
        <f t="shared" si="176"/>
        <v>14</v>
      </c>
      <c r="P2776" s="12">
        <f t="shared" si="177"/>
        <v>44</v>
      </c>
      <c r="Q2776" s="14" t="s">
        <v>8319</v>
      </c>
      <c r="R2776" t="s">
        <v>8355</v>
      </c>
      <c r="S2776" s="17">
        <f t="shared" si="178"/>
        <v>41311.126481481479</v>
      </c>
      <c r="T2776" s="17">
        <f t="shared" si="179"/>
        <v>41341.126481481479</v>
      </c>
      <c r="U2776">
        <f>MONTH(Table1[[#This Row],[Launched]])</f>
        <v>2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8220</v>
      </c>
      <c r="G2777" t="s">
        <v>8223</v>
      </c>
      <c r="H2777" t="s">
        <v>8245</v>
      </c>
      <c r="I2777" s="8">
        <v>1323994754</v>
      </c>
      <c r="J2777">
        <v>1321402754</v>
      </c>
      <c r="K2777" t="b">
        <v>0</v>
      </c>
      <c r="L2777" s="10">
        <v>2</v>
      </c>
      <c r="M2777" t="b">
        <v>0</v>
      </c>
      <c r="N2777" t="s">
        <v>8302</v>
      </c>
      <c r="O2777" s="11">
        <f t="shared" si="176"/>
        <v>3</v>
      </c>
      <c r="P2777" s="12">
        <f t="shared" si="177"/>
        <v>75</v>
      </c>
      <c r="Q2777" s="14" t="s">
        <v>8319</v>
      </c>
      <c r="R2777" t="s">
        <v>8355</v>
      </c>
      <c r="S2777" s="17">
        <f t="shared" si="178"/>
        <v>40863.013356481482</v>
      </c>
      <c r="T2777" s="17">
        <f t="shared" si="179"/>
        <v>40893.013356481482</v>
      </c>
      <c r="U2777">
        <f>MONTH(Table1[[#This Row],[Launched]])</f>
        <v>11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 s="8">
        <v>1434092876</v>
      </c>
      <c r="J2778">
        <v>1431414476</v>
      </c>
      <c r="K2778" t="b">
        <v>0</v>
      </c>
      <c r="L2778" s="10">
        <v>36</v>
      </c>
      <c r="M2778" t="b">
        <v>0</v>
      </c>
      <c r="N2778" t="s">
        <v>8302</v>
      </c>
      <c r="O2778" s="11">
        <f t="shared" si="176"/>
        <v>8</v>
      </c>
      <c r="P2778" s="12">
        <f t="shared" si="177"/>
        <v>46</v>
      </c>
      <c r="Q2778" s="14" t="s">
        <v>8319</v>
      </c>
      <c r="R2778" t="s">
        <v>8355</v>
      </c>
      <c r="S2778" s="17">
        <f t="shared" si="178"/>
        <v>42136.297175925924</v>
      </c>
      <c r="T2778" s="17">
        <f t="shared" si="179"/>
        <v>42167.297175925924</v>
      </c>
      <c r="U2778">
        <f>MONTH(Table1[[#This Row],[Launched]])</f>
        <v>5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8220</v>
      </c>
      <c r="G2779" t="s">
        <v>8223</v>
      </c>
      <c r="H2779" t="s">
        <v>8245</v>
      </c>
      <c r="I2779" s="8">
        <v>1437149004</v>
      </c>
      <c r="J2779">
        <v>1434557004</v>
      </c>
      <c r="K2779" t="b">
        <v>0</v>
      </c>
      <c r="L2779" s="10">
        <v>1</v>
      </c>
      <c r="M2779" t="b">
        <v>0</v>
      </c>
      <c r="N2779" t="s">
        <v>8302</v>
      </c>
      <c r="O2779" s="11">
        <f t="shared" si="176"/>
        <v>0</v>
      </c>
      <c r="P2779" s="12">
        <f t="shared" si="177"/>
        <v>10</v>
      </c>
      <c r="Q2779" s="14" t="s">
        <v>8319</v>
      </c>
      <c r="R2779" t="s">
        <v>8355</v>
      </c>
      <c r="S2779" s="17">
        <f t="shared" si="178"/>
        <v>42172.669027777782</v>
      </c>
      <c r="T2779" s="17">
        <f t="shared" si="179"/>
        <v>42202.669027777782</v>
      </c>
      <c r="U2779">
        <f>MONTH(Table1[[#This Row],[Launched]])</f>
        <v>6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 s="8">
        <v>1409009306</v>
      </c>
      <c r="J2780">
        <v>1406417306</v>
      </c>
      <c r="K2780" t="b">
        <v>0</v>
      </c>
      <c r="L2780" s="10">
        <v>15</v>
      </c>
      <c r="M2780" t="b">
        <v>0</v>
      </c>
      <c r="N2780" t="s">
        <v>8302</v>
      </c>
      <c r="O2780" s="11">
        <f t="shared" si="176"/>
        <v>26</v>
      </c>
      <c r="P2780" s="12">
        <f t="shared" si="177"/>
        <v>94</v>
      </c>
      <c r="Q2780" s="14" t="s">
        <v>8319</v>
      </c>
      <c r="R2780" t="s">
        <v>8355</v>
      </c>
      <c r="S2780" s="17">
        <f t="shared" si="178"/>
        <v>41846.978078703702</v>
      </c>
      <c r="T2780" s="17">
        <f t="shared" si="179"/>
        <v>41876.978078703702</v>
      </c>
      <c r="U2780">
        <f>MONTH(Table1[[#This Row],[Launched]])</f>
        <v>7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8220</v>
      </c>
      <c r="G2781" t="s">
        <v>8223</v>
      </c>
      <c r="H2781" t="s">
        <v>8245</v>
      </c>
      <c r="I2781" s="8">
        <v>1448204621</v>
      </c>
      <c r="J2781">
        <v>1445609021</v>
      </c>
      <c r="K2781" t="b">
        <v>0</v>
      </c>
      <c r="L2781" s="10">
        <v>1</v>
      </c>
      <c r="M2781" t="b">
        <v>0</v>
      </c>
      <c r="N2781" t="s">
        <v>8302</v>
      </c>
      <c r="O2781" s="11">
        <f t="shared" si="176"/>
        <v>2</v>
      </c>
      <c r="P2781" s="12">
        <f t="shared" si="177"/>
        <v>53</v>
      </c>
      <c r="Q2781" s="14" t="s">
        <v>8319</v>
      </c>
      <c r="R2781" t="s">
        <v>8355</v>
      </c>
      <c r="S2781" s="17">
        <f t="shared" si="178"/>
        <v>42300.585891203707</v>
      </c>
      <c r="T2781" s="17">
        <f t="shared" si="179"/>
        <v>42330.627557870372</v>
      </c>
      <c r="U2781">
        <f>MONTH(Table1[[#This Row],[Launched]])</f>
        <v>10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8220</v>
      </c>
      <c r="G2782" t="s">
        <v>8236</v>
      </c>
      <c r="H2782" t="s">
        <v>8248</v>
      </c>
      <c r="I2782" s="8">
        <v>1489142688</v>
      </c>
      <c r="J2782">
        <v>1486550688</v>
      </c>
      <c r="K2782" t="b">
        <v>0</v>
      </c>
      <c r="L2782" s="10">
        <v>0</v>
      </c>
      <c r="M2782" t="b">
        <v>0</v>
      </c>
      <c r="N2782" t="s">
        <v>8302</v>
      </c>
      <c r="O2782" s="11">
        <f t="shared" si="176"/>
        <v>0</v>
      </c>
      <c r="P2782" s="12" t="str">
        <f t="shared" si="177"/>
        <v>No Backers</v>
      </c>
      <c r="Q2782" s="14" t="s">
        <v>8319</v>
      </c>
      <c r="R2782" t="s">
        <v>8355</v>
      </c>
      <c r="S2782" s="17">
        <f t="shared" si="178"/>
        <v>42774.447777777779</v>
      </c>
      <c r="T2782" s="17">
        <f t="shared" si="179"/>
        <v>42804.447777777779</v>
      </c>
      <c r="U2782">
        <f>MONTH(Table1[[#This Row],[Launched]])</f>
        <v>2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 s="8">
        <v>1423724400</v>
      </c>
      <c r="J2783">
        <v>1421274954</v>
      </c>
      <c r="K2783" t="b">
        <v>0</v>
      </c>
      <c r="L2783" s="10">
        <v>28</v>
      </c>
      <c r="M2783" t="b">
        <v>1</v>
      </c>
      <c r="N2783" t="s">
        <v>8269</v>
      </c>
      <c r="O2783" s="11">
        <f t="shared" si="176"/>
        <v>105</v>
      </c>
      <c r="P2783" s="12">
        <f t="shared" si="177"/>
        <v>47</v>
      </c>
      <c r="Q2783" s="14" t="s">
        <v>8314</v>
      </c>
      <c r="R2783" t="s">
        <v>8315</v>
      </c>
      <c r="S2783" s="17">
        <f t="shared" si="178"/>
        <v>42018.94159722222</v>
      </c>
      <c r="T2783" s="17">
        <f t="shared" si="179"/>
        <v>42047.291666666672</v>
      </c>
      <c r="U2783">
        <f>MONTH(Table1[[#This Row],[Launched]])</f>
        <v>1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 s="8">
        <v>1424149140</v>
      </c>
      <c r="J2784">
        <v>1421964718</v>
      </c>
      <c r="K2784" t="b">
        <v>0</v>
      </c>
      <c r="L2784" s="10">
        <v>18</v>
      </c>
      <c r="M2784" t="b">
        <v>1</v>
      </c>
      <c r="N2784" t="s">
        <v>8269</v>
      </c>
      <c r="O2784" s="11">
        <f t="shared" si="176"/>
        <v>120</v>
      </c>
      <c r="P2784" s="12">
        <f t="shared" si="177"/>
        <v>67</v>
      </c>
      <c r="Q2784" s="14" t="s">
        <v>8314</v>
      </c>
      <c r="R2784" t="s">
        <v>8315</v>
      </c>
      <c r="S2784" s="17">
        <f t="shared" si="178"/>
        <v>42026.924976851849</v>
      </c>
      <c r="T2784" s="17">
        <f t="shared" si="179"/>
        <v>42052.207638888889</v>
      </c>
      <c r="U2784">
        <f>MONTH(Table1[[#This Row],[Launched]])</f>
        <v>1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 s="8">
        <v>1429793446</v>
      </c>
      <c r="J2785">
        <v>1428583846</v>
      </c>
      <c r="K2785" t="b">
        <v>0</v>
      </c>
      <c r="L2785" s="10">
        <v>61</v>
      </c>
      <c r="M2785" t="b">
        <v>1</v>
      </c>
      <c r="N2785" t="s">
        <v>8269</v>
      </c>
      <c r="O2785" s="11">
        <f t="shared" si="176"/>
        <v>115</v>
      </c>
      <c r="P2785" s="12">
        <f t="shared" si="177"/>
        <v>19</v>
      </c>
      <c r="Q2785" s="14" t="s">
        <v>8314</v>
      </c>
      <c r="R2785" t="s">
        <v>8315</v>
      </c>
      <c r="S2785" s="17">
        <f t="shared" si="178"/>
        <v>42103.535254629634</v>
      </c>
      <c r="T2785" s="17">
        <f t="shared" si="179"/>
        <v>42117.535254629634</v>
      </c>
      <c r="U2785">
        <f>MONTH(Table1[[#This Row],[Launched]])</f>
        <v>4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 s="8">
        <v>1414608843</v>
      </c>
      <c r="J2786">
        <v>1412794443</v>
      </c>
      <c r="K2786" t="b">
        <v>0</v>
      </c>
      <c r="L2786" s="10">
        <v>108</v>
      </c>
      <c r="M2786" t="b">
        <v>1</v>
      </c>
      <c r="N2786" t="s">
        <v>8269</v>
      </c>
      <c r="O2786" s="11">
        <f t="shared" si="176"/>
        <v>119</v>
      </c>
      <c r="P2786" s="12">
        <f t="shared" si="177"/>
        <v>66</v>
      </c>
      <c r="Q2786" s="14" t="s">
        <v>8314</v>
      </c>
      <c r="R2786" t="s">
        <v>8315</v>
      </c>
      <c r="S2786" s="17">
        <f t="shared" si="178"/>
        <v>41920.787534722222</v>
      </c>
      <c r="T2786" s="17">
        <f t="shared" si="179"/>
        <v>41941.787534722222</v>
      </c>
      <c r="U2786">
        <f>MONTH(Table1[[#This Row],[Launched]])</f>
        <v>10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 s="8">
        <v>1470430800</v>
      </c>
      <c r="J2787">
        <v>1467865967</v>
      </c>
      <c r="K2787" t="b">
        <v>0</v>
      </c>
      <c r="L2787" s="10">
        <v>142</v>
      </c>
      <c r="M2787" t="b">
        <v>1</v>
      </c>
      <c r="N2787" t="s">
        <v>8269</v>
      </c>
      <c r="O2787" s="11">
        <f t="shared" si="176"/>
        <v>105</v>
      </c>
      <c r="P2787" s="12">
        <f t="shared" si="177"/>
        <v>37</v>
      </c>
      <c r="Q2787" s="14" t="s">
        <v>8314</v>
      </c>
      <c r="R2787" t="s">
        <v>8315</v>
      </c>
      <c r="S2787" s="17">
        <f t="shared" si="178"/>
        <v>42558.189432870371</v>
      </c>
      <c r="T2787" s="17">
        <f t="shared" si="179"/>
        <v>42587.875</v>
      </c>
      <c r="U2787">
        <f>MONTH(Table1[[#This Row],[Launched]])</f>
        <v>7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 s="8">
        <v>1404913180</v>
      </c>
      <c r="J2788">
        <v>1403703580</v>
      </c>
      <c r="K2788" t="b">
        <v>0</v>
      </c>
      <c r="L2788" s="10">
        <v>74</v>
      </c>
      <c r="M2788" t="b">
        <v>1</v>
      </c>
      <c r="N2788" t="s">
        <v>8269</v>
      </c>
      <c r="O2788" s="11">
        <f t="shared" si="176"/>
        <v>118</v>
      </c>
      <c r="P2788" s="12">
        <f t="shared" si="177"/>
        <v>40</v>
      </c>
      <c r="Q2788" s="14" t="s">
        <v>8314</v>
      </c>
      <c r="R2788" t="s">
        <v>8315</v>
      </c>
      <c r="S2788" s="17">
        <f t="shared" si="178"/>
        <v>41815.569212962961</v>
      </c>
      <c r="T2788" s="17">
        <f t="shared" si="179"/>
        <v>41829.569212962961</v>
      </c>
      <c r="U2788">
        <f>MONTH(Table1[[#This Row],[Launched]])</f>
        <v>6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 s="8">
        <v>1405658752</v>
      </c>
      <c r="J2789">
        <v>1403066752</v>
      </c>
      <c r="K2789" t="b">
        <v>0</v>
      </c>
      <c r="L2789" s="10">
        <v>38</v>
      </c>
      <c r="M2789" t="b">
        <v>1</v>
      </c>
      <c r="N2789" t="s">
        <v>8269</v>
      </c>
      <c r="O2789" s="11">
        <f t="shared" si="176"/>
        <v>120</v>
      </c>
      <c r="P2789" s="12">
        <f t="shared" si="177"/>
        <v>32</v>
      </c>
      <c r="Q2789" s="14" t="s">
        <v>8314</v>
      </c>
      <c r="R2789" t="s">
        <v>8315</v>
      </c>
      <c r="S2789" s="17">
        <f t="shared" si="178"/>
        <v>41808.198518518519</v>
      </c>
      <c r="T2789" s="17">
        <f t="shared" si="179"/>
        <v>41838.198518518519</v>
      </c>
      <c r="U2789">
        <f>MONTH(Table1[[#This Row],[Launched]])</f>
        <v>6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 s="8">
        <v>1469811043</v>
      </c>
      <c r="J2790">
        <v>1467219043</v>
      </c>
      <c r="K2790" t="b">
        <v>0</v>
      </c>
      <c r="L2790" s="10">
        <v>20</v>
      </c>
      <c r="M2790" t="b">
        <v>1</v>
      </c>
      <c r="N2790" t="s">
        <v>8269</v>
      </c>
      <c r="O2790" s="11">
        <f t="shared" si="176"/>
        <v>103</v>
      </c>
      <c r="P2790" s="12">
        <f t="shared" si="177"/>
        <v>103</v>
      </c>
      <c r="Q2790" s="14" t="s">
        <v>8314</v>
      </c>
      <c r="R2790" t="s">
        <v>8315</v>
      </c>
      <c r="S2790" s="17">
        <f t="shared" si="178"/>
        <v>42550.701886574068</v>
      </c>
      <c r="T2790" s="17">
        <f t="shared" si="179"/>
        <v>42580.701886574068</v>
      </c>
      <c r="U2790">
        <f>MONTH(Table1[[#This Row],[Launched]])</f>
        <v>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 s="8">
        <v>1426132800</v>
      </c>
      <c r="J2791">
        <v>1424477934</v>
      </c>
      <c r="K2791" t="b">
        <v>0</v>
      </c>
      <c r="L2791" s="10">
        <v>24</v>
      </c>
      <c r="M2791" t="b">
        <v>1</v>
      </c>
      <c r="N2791" t="s">
        <v>8269</v>
      </c>
      <c r="O2791" s="11">
        <f t="shared" si="176"/>
        <v>101</v>
      </c>
      <c r="P2791" s="12">
        <f t="shared" si="177"/>
        <v>126</v>
      </c>
      <c r="Q2791" s="14" t="s">
        <v>8314</v>
      </c>
      <c r="R2791" t="s">
        <v>8315</v>
      </c>
      <c r="S2791" s="17">
        <f t="shared" si="178"/>
        <v>42056.013124999998</v>
      </c>
      <c r="T2791" s="17">
        <f t="shared" si="179"/>
        <v>42075.166666666672</v>
      </c>
      <c r="U2791">
        <f>MONTH(Table1[[#This Row],[Launched]])</f>
        <v>2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 s="8">
        <v>1423693903</v>
      </c>
      <c r="J2792">
        <v>1421101903</v>
      </c>
      <c r="K2792" t="b">
        <v>0</v>
      </c>
      <c r="L2792" s="10">
        <v>66</v>
      </c>
      <c r="M2792" t="b">
        <v>1</v>
      </c>
      <c r="N2792" t="s">
        <v>8269</v>
      </c>
      <c r="O2792" s="11">
        <f t="shared" si="176"/>
        <v>105</v>
      </c>
      <c r="P2792" s="12">
        <f t="shared" si="177"/>
        <v>48</v>
      </c>
      <c r="Q2792" s="14" t="s">
        <v>8314</v>
      </c>
      <c r="R2792" t="s">
        <v>8315</v>
      </c>
      <c r="S2792" s="17">
        <f t="shared" si="178"/>
        <v>42016.938692129625</v>
      </c>
      <c r="T2792" s="17">
        <f t="shared" si="179"/>
        <v>42046.938692129625</v>
      </c>
      <c r="U2792">
        <f>MONTH(Table1[[#This Row],[Launched]])</f>
        <v>1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 s="8">
        <v>1473393600</v>
      </c>
      <c r="J2793">
        <v>1470778559</v>
      </c>
      <c r="K2793" t="b">
        <v>0</v>
      </c>
      <c r="L2793" s="10">
        <v>28</v>
      </c>
      <c r="M2793" t="b">
        <v>1</v>
      </c>
      <c r="N2793" t="s">
        <v>8269</v>
      </c>
      <c r="O2793" s="11">
        <f t="shared" si="176"/>
        <v>103</v>
      </c>
      <c r="P2793" s="12">
        <f t="shared" si="177"/>
        <v>73</v>
      </c>
      <c r="Q2793" s="14" t="s">
        <v>8314</v>
      </c>
      <c r="R2793" t="s">
        <v>8315</v>
      </c>
      <c r="S2793" s="17">
        <f t="shared" si="178"/>
        <v>42591.899988425925</v>
      </c>
      <c r="T2793" s="17">
        <f t="shared" si="179"/>
        <v>42622.166666666672</v>
      </c>
      <c r="U2793">
        <f>MONTH(Table1[[#This Row],[Launched]])</f>
        <v>8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 s="8">
        <v>1439357559</v>
      </c>
      <c r="J2794">
        <v>1435469559</v>
      </c>
      <c r="K2794" t="b">
        <v>0</v>
      </c>
      <c r="L2794" s="10">
        <v>24</v>
      </c>
      <c r="M2794" t="b">
        <v>1</v>
      </c>
      <c r="N2794" t="s">
        <v>8269</v>
      </c>
      <c r="O2794" s="11">
        <f t="shared" si="176"/>
        <v>108</v>
      </c>
      <c r="P2794" s="12">
        <f t="shared" si="177"/>
        <v>90</v>
      </c>
      <c r="Q2794" s="14" t="s">
        <v>8314</v>
      </c>
      <c r="R2794" t="s">
        <v>8315</v>
      </c>
      <c r="S2794" s="17">
        <f t="shared" si="178"/>
        <v>42183.231006944443</v>
      </c>
      <c r="T2794" s="17">
        <f t="shared" si="179"/>
        <v>42228.231006944443</v>
      </c>
      <c r="U2794">
        <f>MONTH(Table1[[#This Row],[Launched]])</f>
        <v>6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 s="8">
        <v>1437473005</v>
      </c>
      <c r="J2795">
        <v>1434881005</v>
      </c>
      <c r="K2795" t="b">
        <v>0</v>
      </c>
      <c r="L2795" s="10">
        <v>73</v>
      </c>
      <c r="M2795" t="b">
        <v>1</v>
      </c>
      <c r="N2795" t="s">
        <v>8269</v>
      </c>
      <c r="O2795" s="11">
        <f t="shared" si="176"/>
        <v>111</v>
      </c>
      <c r="P2795" s="12">
        <f t="shared" si="177"/>
        <v>151</v>
      </c>
      <c r="Q2795" s="14" t="s">
        <v>8314</v>
      </c>
      <c r="R2795" t="s">
        <v>8315</v>
      </c>
      <c r="S2795" s="17">
        <f t="shared" si="178"/>
        <v>42176.419039351851</v>
      </c>
      <c r="T2795" s="17">
        <f t="shared" si="179"/>
        <v>42206.419039351851</v>
      </c>
      <c r="U2795">
        <f>MONTH(Table1[[#This Row],[Launched]])</f>
        <v>6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8218</v>
      </c>
      <c r="G2796" t="s">
        <v>8224</v>
      </c>
      <c r="H2796" t="s">
        <v>8246</v>
      </c>
      <c r="I2796" s="8">
        <v>1457031600</v>
      </c>
      <c r="J2796">
        <v>1455640559</v>
      </c>
      <c r="K2796" t="b">
        <v>0</v>
      </c>
      <c r="L2796" s="10">
        <v>3</v>
      </c>
      <c r="M2796" t="b">
        <v>1</v>
      </c>
      <c r="N2796" t="s">
        <v>8269</v>
      </c>
      <c r="O2796" s="11">
        <f t="shared" si="176"/>
        <v>150</v>
      </c>
      <c r="P2796" s="12">
        <f t="shared" si="177"/>
        <v>25</v>
      </c>
      <c r="Q2796" s="14" t="s">
        <v>8314</v>
      </c>
      <c r="R2796" t="s">
        <v>8315</v>
      </c>
      <c r="S2796" s="17">
        <f t="shared" si="178"/>
        <v>42416.691655092596</v>
      </c>
      <c r="T2796" s="17">
        <f t="shared" si="179"/>
        <v>42432.791666666672</v>
      </c>
      <c r="U2796">
        <f>MONTH(Table1[[#This Row],[Launched]])</f>
        <v>2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8218</v>
      </c>
      <c r="G2797" t="s">
        <v>8223</v>
      </c>
      <c r="H2797" t="s">
        <v>8245</v>
      </c>
      <c r="I2797" s="8">
        <v>1402095600</v>
      </c>
      <c r="J2797">
        <v>1400675841</v>
      </c>
      <c r="K2797" t="b">
        <v>0</v>
      </c>
      <c r="L2797" s="10">
        <v>20</v>
      </c>
      <c r="M2797" t="b">
        <v>1</v>
      </c>
      <c r="N2797" t="s">
        <v>8269</v>
      </c>
      <c r="O2797" s="11">
        <f t="shared" si="176"/>
        <v>104</v>
      </c>
      <c r="P2797" s="12">
        <f t="shared" si="177"/>
        <v>37</v>
      </c>
      <c r="Q2797" s="14" t="s">
        <v>8314</v>
      </c>
      <c r="R2797" t="s">
        <v>8315</v>
      </c>
      <c r="S2797" s="17">
        <f t="shared" si="178"/>
        <v>41780.525937500002</v>
      </c>
      <c r="T2797" s="17">
        <f t="shared" si="179"/>
        <v>41796.958333333336</v>
      </c>
      <c r="U2797">
        <f>MONTH(Table1[[#This Row],[Launched]])</f>
        <v>5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8218</v>
      </c>
      <c r="G2798" t="s">
        <v>8224</v>
      </c>
      <c r="H2798" t="s">
        <v>8246</v>
      </c>
      <c r="I2798" s="8">
        <v>1404564028</v>
      </c>
      <c r="J2798">
        <v>1401972028</v>
      </c>
      <c r="K2798" t="b">
        <v>0</v>
      </c>
      <c r="L2798" s="10">
        <v>21</v>
      </c>
      <c r="M2798" t="b">
        <v>1</v>
      </c>
      <c r="N2798" t="s">
        <v>8269</v>
      </c>
      <c r="O2798" s="11">
        <f t="shared" si="176"/>
        <v>116</v>
      </c>
      <c r="P2798" s="12">
        <f t="shared" si="177"/>
        <v>44</v>
      </c>
      <c r="Q2798" s="14" t="s">
        <v>8314</v>
      </c>
      <c r="R2798" t="s">
        <v>8315</v>
      </c>
      <c r="S2798" s="17">
        <f t="shared" si="178"/>
        <v>41795.528101851851</v>
      </c>
      <c r="T2798" s="17">
        <f t="shared" si="179"/>
        <v>41825.528101851851</v>
      </c>
      <c r="U2798">
        <f>MONTH(Table1[[#This Row],[Launched]])</f>
        <v>6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 s="8">
        <v>1404858840</v>
      </c>
      <c r="J2799">
        <v>1402266840</v>
      </c>
      <c r="K2799" t="b">
        <v>0</v>
      </c>
      <c r="L2799" s="10">
        <v>94</v>
      </c>
      <c r="M2799" t="b">
        <v>1</v>
      </c>
      <c r="N2799" t="s">
        <v>8269</v>
      </c>
      <c r="O2799" s="11">
        <f t="shared" si="176"/>
        <v>103</v>
      </c>
      <c r="P2799" s="12">
        <f t="shared" si="177"/>
        <v>87</v>
      </c>
      <c r="Q2799" s="14" t="s">
        <v>8314</v>
      </c>
      <c r="R2799" t="s">
        <v>8315</v>
      </c>
      <c r="S2799" s="17">
        <f t="shared" si="178"/>
        <v>41798.94027777778</v>
      </c>
      <c r="T2799" s="17">
        <f t="shared" si="179"/>
        <v>41828.94027777778</v>
      </c>
      <c r="U2799">
        <f>MONTH(Table1[[#This Row],[Launched]])</f>
        <v>6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 s="8">
        <v>1438358400</v>
      </c>
      <c r="J2800">
        <v>1437063121</v>
      </c>
      <c r="K2800" t="b">
        <v>0</v>
      </c>
      <c r="L2800" s="10">
        <v>139</v>
      </c>
      <c r="M2800" t="b">
        <v>1</v>
      </c>
      <c r="N2800" t="s">
        <v>8269</v>
      </c>
      <c r="O2800" s="11">
        <f t="shared" si="176"/>
        <v>101</v>
      </c>
      <c r="P2800" s="12">
        <f t="shared" si="177"/>
        <v>36</v>
      </c>
      <c r="Q2800" s="14" t="s">
        <v>8314</v>
      </c>
      <c r="R2800" t="s">
        <v>8315</v>
      </c>
      <c r="S2800" s="17">
        <f t="shared" si="178"/>
        <v>42201.675011574072</v>
      </c>
      <c r="T2800" s="17">
        <f t="shared" si="179"/>
        <v>42216.666666666672</v>
      </c>
      <c r="U2800">
        <f>MONTH(Table1[[#This Row],[Launched]])</f>
        <v>7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 s="8">
        <v>1466179200</v>
      </c>
      <c r="J2801">
        <v>1463466070</v>
      </c>
      <c r="K2801" t="b">
        <v>0</v>
      </c>
      <c r="L2801" s="10">
        <v>130</v>
      </c>
      <c r="M2801" t="b">
        <v>1</v>
      </c>
      <c r="N2801" t="s">
        <v>8269</v>
      </c>
      <c r="O2801" s="11">
        <f t="shared" si="176"/>
        <v>117</v>
      </c>
      <c r="P2801" s="12">
        <f t="shared" si="177"/>
        <v>45</v>
      </c>
      <c r="Q2801" s="14" t="s">
        <v>8314</v>
      </c>
      <c r="R2801" t="s">
        <v>8315</v>
      </c>
      <c r="S2801" s="17">
        <f t="shared" si="178"/>
        <v>42507.264699074076</v>
      </c>
      <c r="T2801" s="17">
        <f t="shared" si="179"/>
        <v>42538.666666666672</v>
      </c>
      <c r="U2801">
        <f>MONTH(Table1[[#This Row],[Launched]])</f>
        <v>5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 s="8">
        <v>1420377366</v>
      </c>
      <c r="J2802">
        <v>1415193366</v>
      </c>
      <c r="K2802" t="b">
        <v>0</v>
      </c>
      <c r="L2802" s="10">
        <v>31</v>
      </c>
      <c r="M2802" t="b">
        <v>1</v>
      </c>
      <c r="N2802" t="s">
        <v>8269</v>
      </c>
      <c r="O2802" s="11">
        <f t="shared" si="176"/>
        <v>133</v>
      </c>
      <c r="P2802" s="12">
        <f t="shared" si="177"/>
        <v>43</v>
      </c>
      <c r="Q2802" s="14" t="s">
        <v>8314</v>
      </c>
      <c r="R2802" t="s">
        <v>8315</v>
      </c>
      <c r="S2802" s="17">
        <f t="shared" si="178"/>
        <v>41948.552847222221</v>
      </c>
      <c r="T2802" s="17">
        <f t="shared" si="179"/>
        <v>42008.552847222221</v>
      </c>
      <c r="U2802">
        <f>MONTH(Table1[[#This Row],[Launched]])</f>
        <v>11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8218</v>
      </c>
      <c r="G2803" t="s">
        <v>8225</v>
      </c>
      <c r="H2803" t="s">
        <v>8247</v>
      </c>
      <c r="I2803" s="8">
        <v>1412938800</v>
      </c>
      <c r="J2803">
        <v>1411019409</v>
      </c>
      <c r="K2803" t="b">
        <v>0</v>
      </c>
      <c r="L2803" s="10">
        <v>13</v>
      </c>
      <c r="M2803" t="b">
        <v>1</v>
      </c>
      <c r="N2803" t="s">
        <v>8269</v>
      </c>
      <c r="O2803" s="11">
        <f t="shared" si="176"/>
        <v>133</v>
      </c>
      <c r="P2803" s="12">
        <f t="shared" si="177"/>
        <v>51</v>
      </c>
      <c r="Q2803" s="14" t="s">
        <v>8314</v>
      </c>
      <c r="R2803" t="s">
        <v>8315</v>
      </c>
      <c r="S2803" s="17">
        <f t="shared" si="178"/>
        <v>41900.243159722224</v>
      </c>
      <c r="T2803" s="17">
        <f t="shared" si="179"/>
        <v>41922.458333333336</v>
      </c>
      <c r="U2803">
        <f>MONTH(Table1[[#This Row],[Launched]])</f>
        <v>9</v>
      </c>
    </row>
    <row r="2804" spans="1:21" ht="57.6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 s="8">
        <v>1438875107</v>
      </c>
      <c r="J2804">
        <v>1436283107</v>
      </c>
      <c r="K2804" t="b">
        <v>0</v>
      </c>
      <c r="L2804" s="10">
        <v>90</v>
      </c>
      <c r="M2804" t="b">
        <v>1</v>
      </c>
      <c r="N2804" t="s">
        <v>8269</v>
      </c>
      <c r="O2804" s="11">
        <f t="shared" si="176"/>
        <v>102</v>
      </c>
      <c r="P2804" s="12">
        <f t="shared" si="177"/>
        <v>34</v>
      </c>
      <c r="Q2804" s="14" t="s">
        <v>8314</v>
      </c>
      <c r="R2804" t="s">
        <v>8315</v>
      </c>
      <c r="S2804" s="17">
        <f t="shared" si="178"/>
        <v>42192.64707175926</v>
      </c>
      <c r="T2804" s="17">
        <f t="shared" si="179"/>
        <v>42222.64707175926</v>
      </c>
      <c r="U2804">
        <f>MONTH(Table1[[#This Row],[Launched]])</f>
        <v>7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 s="8">
        <v>1437004800</v>
      </c>
      <c r="J2805">
        <v>1433295276</v>
      </c>
      <c r="K2805" t="b">
        <v>0</v>
      </c>
      <c r="L2805" s="10">
        <v>141</v>
      </c>
      <c r="M2805" t="b">
        <v>1</v>
      </c>
      <c r="N2805" t="s">
        <v>8269</v>
      </c>
      <c r="O2805" s="11">
        <f t="shared" si="176"/>
        <v>128</v>
      </c>
      <c r="P2805" s="12">
        <f t="shared" si="177"/>
        <v>91</v>
      </c>
      <c r="Q2805" s="14" t="s">
        <v>8314</v>
      </c>
      <c r="R2805" t="s">
        <v>8315</v>
      </c>
      <c r="S2805" s="17">
        <f t="shared" si="178"/>
        <v>42158.065694444449</v>
      </c>
      <c r="T2805" s="17">
        <f t="shared" si="179"/>
        <v>42201</v>
      </c>
      <c r="U2805">
        <f>MONTH(Table1[[#This Row],[Launched]])</f>
        <v>6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 s="8">
        <v>1411987990</v>
      </c>
      <c r="J2806">
        <v>1409395990</v>
      </c>
      <c r="K2806" t="b">
        <v>0</v>
      </c>
      <c r="L2806" s="10">
        <v>23</v>
      </c>
      <c r="M2806" t="b">
        <v>1</v>
      </c>
      <c r="N2806" t="s">
        <v>8269</v>
      </c>
      <c r="O2806" s="11">
        <f t="shared" si="176"/>
        <v>115</v>
      </c>
      <c r="P2806" s="12">
        <f t="shared" si="177"/>
        <v>50</v>
      </c>
      <c r="Q2806" s="14" t="s">
        <v>8314</v>
      </c>
      <c r="R2806" t="s">
        <v>8315</v>
      </c>
      <c r="S2806" s="17">
        <f t="shared" si="178"/>
        <v>41881.453587962962</v>
      </c>
      <c r="T2806" s="17">
        <f t="shared" si="179"/>
        <v>41911.453587962962</v>
      </c>
      <c r="U2806">
        <f>MONTH(Table1[[#This Row],[Launched]])</f>
        <v>8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8218</v>
      </c>
      <c r="G2807" t="s">
        <v>8224</v>
      </c>
      <c r="H2807" t="s">
        <v>8246</v>
      </c>
      <c r="I2807" s="8">
        <v>1440245273</v>
      </c>
      <c r="J2807">
        <v>1438085273</v>
      </c>
      <c r="K2807" t="b">
        <v>0</v>
      </c>
      <c r="L2807" s="10">
        <v>18</v>
      </c>
      <c r="M2807" t="b">
        <v>1</v>
      </c>
      <c r="N2807" t="s">
        <v>8269</v>
      </c>
      <c r="O2807" s="11">
        <f t="shared" si="176"/>
        <v>110</v>
      </c>
      <c r="P2807" s="12">
        <f t="shared" si="177"/>
        <v>24</v>
      </c>
      <c r="Q2807" s="14" t="s">
        <v>8314</v>
      </c>
      <c r="R2807" t="s">
        <v>8315</v>
      </c>
      <c r="S2807" s="17">
        <f t="shared" si="178"/>
        <v>42213.505474537036</v>
      </c>
      <c r="T2807" s="17">
        <f t="shared" si="179"/>
        <v>42238.505474537036</v>
      </c>
      <c r="U2807">
        <f>MONTH(Table1[[#This Row],[Launched]])</f>
        <v>7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 s="8">
        <v>1438772400</v>
      </c>
      <c r="J2808">
        <v>1435645490</v>
      </c>
      <c r="K2808" t="b">
        <v>0</v>
      </c>
      <c r="L2808" s="10">
        <v>76</v>
      </c>
      <c r="M2808" t="b">
        <v>1</v>
      </c>
      <c r="N2808" t="s">
        <v>8269</v>
      </c>
      <c r="O2808" s="11">
        <f t="shared" si="176"/>
        <v>112</v>
      </c>
      <c r="P2808" s="12">
        <f t="shared" si="177"/>
        <v>44</v>
      </c>
      <c r="Q2808" s="14" t="s">
        <v>8314</v>
      </c>
      <c r="R2808" t="s">
        <v>8315</v>
      </c>
      <c r="S2808" s="17">
        <f t="shared" si="178"/>
        <v>42185.267245370371</v>
      </c>
      <c r="T2808" s="17">
        <f t="shared" si="179"/>
        <v>42221.458333333328</v>
      </c>
      <c r="U2808">
        <f>MONTH(Table1[[#This Row],[Launched]])</f>
        <v>6</v>
      </c>
    </row>
    <row r="2809" spans="1:21" ht="15.6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 s="8">
        <v>1435611438</v>
      </c>
      <c r="J2809">
        <v>1433019438</v>
      </c>
      <c r="K2809" t="b">
        <v>0</v>
      </c>
      <c r="L2809" s="10">
        <v>93</v>
      </c>
      <c r="M2809" t="b">
        <v>1</v>
      </c>
      <c r="N2809" t="s">
        <v>8269</v>
      </c>
      <c r="O2809" s="11">
        <f t="shared" si="176"/>
        <v>126</v>
      </c>
      <c r="P2809" s="12">
        <f t="shared" si="177"/>
        <v>68</v>
      </c>
      <c r="Q2809" s="14" t="s">
        <v>8314</v>
      </c>
      <c r="R2809" t="s">
        <v>8315</v>
      </c>
      <c r="S2809" s="17">
        <f t="shared" si="178"/>
        <v>42154.873124999998</v>
      </c>
      <c r="T2809" s="17">
        <f t="shared" si="179"/>
        <v>42184.873124999998</v>
      </c>
      <c r="U2809">
        <f>MONTH(Table1[[#This Row],[Launched]])</f>
        <v>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 s="8">
        <v>1440274735</v>
      </c>
      <c r="J2810">
        <v>1437682735</v>
      </c>
      <c r="K2810" t="b">
        <v>0</v>
      </c>
      <c r="L2810" s="10">
        <v>69</v>
      </c>
      <c r="M2810" t="b">
        <v>1</v>
      </c>
      <c r="N2810" t="s">
        <v>8269</v>
      </c>
      <c r="O2810" s="11">
        <f t="shared" si="176"/>
        <v>100</v>
      </c>
      <c r="P2810" s="12">
        <f t="shared" si="177"/>
        <v>65</v>
      </c>
      <c r="Q2810" s="14" t="s">
        <v>8314</v>
      </c>
      <c r="R2810" t="s">
        <v>8315</v>
      </c>
      <c r="S2810" s="17">
        <f t="shared" si="178"/>
        <v>42208.84646990741</v>
      </c>
      <c r="T2810" s="17">
        <f t="shared" si="179"/>
        <v>42238.84646990741</v>
      </c>
      <c r="U2810">
        <f>MONTH(Table1[[#This Row],[Launched]])</f>
        <v>7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 s="8">
        <v>1459348740</v>
      </c>
      <c r="J2811">
        <v>1458647725</v>
      </c>
      <c r="K2811" t="b">
        <v>0</v>
      </c>
      <c r="L2811" s="10">
        <v>21</v>
      </c>
      <c r="M2811" t="b">
        <v>1</v>
      </c>
      <c r="N2811" t="s">
        <v>8269</v>
      </c>
      <c r="O2811" s="11">
        <f t="shared" si="176"/>
        <v>102</v>
      </c>
      <c r="P2811" s="12">
        <f t="shared" si="177"/>
        <v>122</v>
      </c>
      <c r="Q2811" s="14" t="s">
        <v>8314</v>
      </c>
      <c r="R2811" t="s">
        <v>8315</v>
      </c>
      <c r="S2811" s="17">
        <f t="shared" si="178"/>
        <v>42451.496817129635</v>
      </c>
      <c r="T2811" s="17">
        <f t="shared" si="179"/>
        <v>42459.610416666663</v>
      </c>
      <c r="U2811">
        <f>MONTH(Table1[[#This Row],[Launched]])</f>
        <v>3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 s="8">
        <v>1401595140</v>
      </c>
      <c r="J2812">
        <v>1398828064</v>
      </c>
      <c r="K2812" t="b">
        <v>0</v>
      </c>
      <c r="L2812" s="10">
        <v>57</v>
      </c>
      <c r="M2812" t="b">
        <v>1</v>
      </c>
      <c r="N2812" t="s">
        <v>8269</v>
      </c>
      <c r="O2812" s="11">
        <f t="shared" si="176"/>
        <v>108</v>
      </c>
      <c r="P2812" s="12">
        <f t="shared" si="177"/>
        <v>47</v>
      </c>
      <c r="Q2812" s="14" t="s">
        <v>8314</v>
      </c>
      <c r="R2812" t="s">
        <v>8315</v>
      </c>
      <c r="S2812" s="17">
        <f t="shared" si="178"/>
        <v>41759.13962962963</v>
      </c>
      <c r="T2812" s="17">
        <f t="shared" si="179"/>
        <v>41791.165972222225</v>
      </c>
      <c r="U2812">
        <f>MONTH(Table1[[#This Row],[Launched]])</f>
        <v>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 s="8">
        <v>1424692503</v>
      </c>
      <c r="J2813">
        <v>1422100503</v>
      </c>
      <c r="K2813" t="b">
        <v>0</v>
      </c>
      <c r="L2813" s="10">
        <v>108</v>
      </c>
      <c r="M2813" t="b">
        <v>1</v>
      </c>
      <c r="N2813" t="s">
        <v>8269</v>
      </c>
      <c r="O2813" s="11">
        <f t="shared" si="176"/>
        <v>100</v>
      </c>
      <c r="P2813" s="12">
        <f t="shared" si="177"/>
        <v>93</v>
      </c>
      <c r="Q2813" s="14" t="s">
        <v>8314</v>
      </c>
      <c r="R2813" t="s">
        <v>8315</v>
      </c>
      <c r="S2813" s="17">
        <f t="shared" si="178"/>
        <v>42028.496562500004</v>
      </c>
      <c r="T2813" s="17">
        <f t="shared" si="179"/>
        <v>42058.496562500004</v>
      </c>
      <c r="U2813">
        <f>MONTH(Table1[[#This Row],[Launched]])</f>
        <v>1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 s="8">
        <v>1428292800</v>
      </c>
      <c r="J2814">
        <v>1424368298</v>
      </c>
      <c r="K2814" t="b">
        <v>0</v>
      </c>
      <c r="L2814" s="10">
        <v>83</v>
      </c>
      <c r="M2814" t="b">
        <v>1</v>
      </c>
      <c r="N2814" t="s">
        <v>8269</v>
      </c>
      <c r="O2814" s="11">
        <f t="shared" si="176"/>
        <v>113</v>
      </c>
      <c r="P2814" s="12">
        <f t="shared" si="177"/>
        <v>68</v>
      </c>
      <c r="Q2814" s="14" t="s">
        <v>8314</v>
      </c>
      <c r="R2814" t="s">
        <v>8315</v>
      </c>
      <c r="S2814" s="17">
        <f t="shared" si="178"/>
        <v>42054.74418981481</v>
      </c>
      <c r="T2814" s="17">
        <f t="shared" si="179"/>
        <v>42100.166666666672</v>
      </c>
      <c r="U2814">
        <f>MONTH(Table1[[#This Row],[Launched]])</f>
        <v>2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 s="8">
        <v>1481737761</v>
      </c>
      <c r="J2815">
        <v>1479577761</v>
      </c>
      <c r="K2815" t="b">
        <v>0</v>
      </c>
      <c r="L2815" s="10">
        <v>96</v>
      </c>
      <c r="M2815" t="b">
        <v>1</v>
      </c>
      <c r="N2815" t="s">
        <v>8269</v>
      </c>
      <c r="O2815" s="11">
        <f t="shared" si="176"/>
        <v>128</v>
      </c>
      <c r="P2815" s="12">
        <f t="shared" si="177"/>
        <v>37</v>
      </c>
      <c r="Q2815" s="14" t="s">
        <v>8314</v>
      </c>
      <c r="R2815" t="s">
        <v>8315</v>
      </c>
      <c r="S2815" s="17">
        <f t="shared" si="178"/>
        <v>42693.742604166662</v>
      </c>
      <c r="T2815" s="17">
        <f t="shared" si="179"/>
        <v>42718.742604166662</v>
      </c>
      <c r="U2815">
        <f>MONTH(Table1[[#This Row],[Launched]])</f>
        <v>11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 s="8">
        <v>1431164115</v>
      </c>
      <c r="J2816">
        <v>1428572115</v>
      </c>
      <c r="K2816" t="b">
        <v>0</v>
      </c>
      <c r="L2816" s="10">
        <v>64</v>
      </c>
      <c r="M2816" t="b">
        <v>1</v>
      </c>
      <c r="N2816" t="s">
        <v>8269</v>
      </c>
      <c r="O2816" s="11">
        <f t="shared" si="176"/>
        <v>108</v>
      </c>
      <c r="P2816" s="12">
        <f t="shared" si="177"/>
        <v>25</v>
      </c>
      <c r="Q2816" s="14" t="s">
        <v>8314</v>
      </c>
      <c r="R2816" t="s">
        <v>8315</v>
      </c>
      <c r="S2816" s="17">
        <f t="shared" si="178"/>
        <v>42103.399479166663</v>
      </c>
      <c r="T2816" s="17">
        <f t="shared" si="179"/>
        <v>42133.399479166663</v>
      </c>
      <c r="U2816">
        <f>MONTH(Table1[[#This Row],[Launched]])</f>
        <v>4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8218</v>
      </c>
      <c r="G2817" t="s">
        <v>8228</v>
      </c>
      <c r="H2817" t="s">
        <v>8250</v>
      </c>
      <c r="I2817" s="8">
        <v>1470595109</v>
      </c>
      <c r="J2817">
        <v>1468003109</v>
      </c>
      <c r="K2817" t="b">
        <v>0</v>
      </c>
      <c r="L2817" s="10">
        <v>14</v>
      </c>
      <c r="M2817" t="b">
        <v>1</v>
      </c>
      <c r="N2817" t="s">
        <v>8269</v>
      </c>
      <c r="O2817" s="11">
        <f t="shared" si="176"/>
        <v>242</v>
      </c>
      <c r="P2817" s="12">
        <f t="shared" si="177"/>
        <v>43</v>
      </c>
      <c r="Q2817" s="14" t="s">
        <v>8314</v>
      </c>
      <c r="R2817" t="s">
        <v>8315</v>
      </c>
      <c r="S2817" s="17">
        <f t="shared" si="178"/>
        <v>42559.776724537034</v>
      </c>
      <c r="T2817" s="17">
        <f t="shared" si="179"/>
        <v>42589.776724537034</v>
      </c>
      <c r="U2817">
        <f>MONTH(Table1[[#This Row],[Launched]])</f>
        <v>7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 s="8">
        <v>1438531200</v>
      </c>
      <c r="J2818">
        <v>1435921992</v>
      </c>
      <c r="K2818" t="b">
        <v>0</v>
      </c>
      <c r="L2818" s="10">
        <v>169</v>
      </c>
      <c r="M2818" t="b">
        <v>1</v>
      </c>
      <c r="N2818" t="s">
        <v>8269</v>
      </c>
      <c r="O2818" s="11">
        <f t="shared" ref="O2818:O2881" si="180">ROUND(E2818/D2818*100,0)</f>
        <v>142</v>
      </c>
      <c r="P2818" s="12">
        <f t="shared" si="177"/>
        <v>25</v>
      </c>
      <c r="Q2818" s="14" t="s">
        <v>8314</v>
      </c>
      <c r="R2818" t="s">
        <v>8315</v>
      </c>
      <c r="S2818" s="17">
        <f t="shared" si="178"/>
        <v>42188.467499999999</v>
      </c>
      <c r="T2818" s="17">
        <f t="shared" si="179"/>
        <v>42218.666666666672</v>
      </c>
      <c r="U2818">
        <f>MONTH(Table1[[#This Row],[Launched]])</f>
        <v>7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8218</v>
      </c>
      <c r="G2819" t="s">
        <v>8224</v>
      </c>
      <c r="H2819" t="s">
        <v>8246</v>
      </c>
      <c r="I2819" s="8">
        <v>1425136462</v>
      </c>
      <c r="J2819">
        <v>1421680462</v>
      </c>
      <c r="K2819" t="b">
        <v>0</v>
      </c>
      <c r="L2819" s="10">
        <v>33</v>
      </c>
      <c r="M2819" t="b">
        <v>1</v>
      </c>
      <c r="N2819" t="s">
        <v>8269</v>
      </c>
      <c r="O2819" s="11">
        <f t="shared" si="180"/>
        <v>130</v>
      </c>
      <c r="P2819" s="12">
        <f t="shared" ref="P2819:P2882" si="181">IFERROR(ROUND(E2819/L2819,),"No Backers")</f>
        <v>24</v>
      </c>
      <c r="Q2819" s="14" t="s">
        <v>8314</v>
      </c>
      <c r="R2819" t="s">
        <v>8315</v>
      </c>
      <c r="S2819" s="17">
        <f t="shared" ref="S2819:S2882" si="182">(((J2819/60)/60)/24)+DATE(1970,1,1)</f>
        <v>42023.634976851856</v>
      </c>
      <c r="T2819" s="17">
        <f t="shared" ref="T2819:T2882" si="183">(((I2819/60)/60)/24)+DATE(1970,1,1)</f>
        <v>42063.634976851856</v>
      </c>
      <c r="U2819">
        <f>MONTH(Table1[[#This Row],[Launched]])</f>
        <v>1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 s="8">
        <v>1443018086</v>
      </c>
      <c r="J2820">
        <v>1441290086</v>
      </c>
      <c r="K2820" t="b">
        <v>0</v>
      </c>
      <c r="L2820" s="10">
        <v>102</v>
      </c>
      <c r="M2820" t="b">
        <v>1</v>
      </c>
      <c r="N2820" t="s">
        <v>8269</v>
      </c>
      <c r="O2820" s="11">
        <f t="shared" si="180"/>
        <v>106</v>
      </c>
      <c r="P2820" s="12">
        <f t="shared" si="181"/>
        <v>104</v>
      </c>
      <c r="Q2820" s="14" t="s">
        <v>8314</v>
      </c>
      <c r="R2820" t="s">
        <v>8315</v>
      </c>
      <c r="S2820" s="17">
        <f t="shared" si="182"/>
        <v>42250.598217592589</v>
      </c>
      <c r="T2820" s="17">
        <f t="shared" si="183"/>
        <v>42270.598217592589</v>
      </c>
      <c r="U2820">
        <f>MONTH(Table1[[#This Row],[Launched]])</f>
        <v>9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 s="8">
        <v>1434285409</v>
      </c>
      <c r="J2821">
        <v>1431693409</v>
      </c>
      <c r="K2821" t="b">
        <v>0</v>
      </c>
      <c r="L2821" s="10">
        <v>104</v>
      </c>
      <c r="M2821" t="b">
        <v>1</v>
      </c>
      <c r="N2821" t="s">
        <v>8269</v>
      </c>
      <c r="O2821" s="11">
        <f t="shared" si="180"/>
        <v>105</v>
      </c>
      <c r="P2821" s="12">
        <f t="shared" si="181"/>
        <v>50</v>
      </c>
      <c r="Q2821" s="14" t="s">
        <v>8314</v>
      </c>
      <c r="R2821" t="s">
        <v>8315</v>
      </c>
      <c r="S2821" s="17">
        <f t="shared" si="182"/>
        <v>42139.525567129633</v>
      </c>
      <c r="T2821" s="17">
        <f t="shared" si="183"/>
        <v>42169.525567129633</v>
      </c>
      <c r="U2821">
        <f>MONTH(Table1[[#This Row],[Launched]])</f>
        <v>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8218</v>
      </c>
      <c r="G2822" t="s">
        <v>8224</v>
      </c>
      <c r="H2822" t="s">
        <v>8246</v>
      </c>
      <c r="I2822" s="8">
        <v>1456444800</v>
      </c>
      <c r="J2822">
        <v>1454337589</v>
      </c>
      <c r="K2822" t="b">
        <v>0</v>
      </c>
      <c r="L2822" s="10">
        <v>20</v>
      </c>
      <c r="M2822" t="b">
        <v>1</v>
      </c>
      <c r="N2822" t="s">
        <v>8269</v>
      </c>
      <c r="O2822" s="11">
        <f t="shared" si="180"/>
        <v>136</v>
      </c>
      <c r="P2822" s="12">
        <f t="shared" si="181"/>
        <v>14</v>
      </c>
      <c r="Q2822" s="14" t="s">
        <v>8314</v>
      </c>
      <c r="R2822" t="s">
        <v>8315</v>
      </c>
      <c r="S2822" s="17">
        <f t="shared" si="182"/>
        <v>42401.610983796301</v>
      </c>
      <c r="T2822" s="17">
        <f t="shared" si="183"/>
        <v>42426</v>
      </c>
      <c r="U2822">
        <f>MONTH(Table1[[#This Row],[Launched]])</f>
        <v>2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 s="8">
        <v>1411510135</v>
      </c>
      <c r="J2823">
        <v>1408918135</v>
      </c>
      <c r="K2823" t="b">
        <v>0</v>
      </c>
      <c r="L2823" s="10">
        <v>35</v>
      </c>
      <c r="M2823" t="b">
        <v>1</v>
      </c>
      <c r="N2823" t="s">
        <v>8269</v>
      </c>
      <c r="O2823" s="11">
        <f t="shared" si="180"/>
        <v>100</v>
      </c>
      <c r="P2823" s="12">
        <f t="shared" si="181"/>
        <v>29</v>
      </c>
      <c r="Q2823" s="14" t="s">
        <v>8314</v>
      </c>
      <c r="R2823" t="s">
        <v>8315</v>
      </c>
      <c r="S2823" s="17">
        <f t="shared" si="182"/>
        <v>41875.922858796301</v>
      </c>
      <c r="T2823" s="17">
        <f t="shared" si="183"/>
        <v>41905.922858796301</v>
      </c>
      <c r="U2823">
        <f>MONTH(Table1[[#This Row],[Launched]])</f>
        <v>8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 s="8">
        <v>1427469892</v>
      </c>
      <c r="J2824">
        <v>1424881492</v>
      </c>
      <c r="K2824" t="b">
        <v>0</v>
      </c>
      <c r="L2824" s="10">
        <v>94</v>
      </c>
      <c r="M2824" t="b">
        <v>1</v>
      </c>
      <c r="N2824" t="s">
        <v>8269</v>
      </c>
      <c r="O2824" s="11">
        <f t="shared" si="180"/>
        <v>100</v>
      </c>
      <c r="P2824" s="12">
        <f t="shared" si="181"/>
        <v>64</v>
      </c>
      <c r="Q2824" s="14" t="s">
        <v>8314</v>
      </c>
      <c r="R2824" t="s">
        <v>8315</v>
      </c>
      <c r="S2824" s="17">
        <f t="shared" si="182"/>
        <v>42060.683935185181</v>
      </c>
      <c r="T2824" s="17">
        <f t="shared" si="183"/>
        <v>42090.642268518524</v>
      </c>
      <c r="U2824">
        <f>MONTH(Table1[[#This Row],[Launched]])</f>
        <v>2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8218</v>
      </c>
      <c r="G2825" t="s">
        <v>8224</v>
      </c>
      <c r="H2825" t="s">
        <v>8246</v>
      </c>
      <c r="I2825" s="8">
        <v>1427842740</v>
      </c>
      <c r="J2825">
        <v>1425428206</v>
      </c>
      <c r="K2825" t="b">
        <v>0</v>
      </c>
      <c r="L2825" s="10">
        <v>14</v>
      </c>
      <c r="M2825" t="b">
        <v>1</v>
      </c>
      <c r="N2825" t="s">
        <v>8269</v>
      </c>
      <c r="O2825" s="11">
        <f t="shared" si="180"/>
        <v>124</v>
      </c>
      <c r="P2825" s="12">
        <f t="shared" si="181"/>
        <v>9</v>
      </c>
      <c r="Q2825" s="14" t="s">
        <v>8314</v>
      </c>
      <c r="R2825" t="s">
        <v>8315</v>
      </c>
      <c r="S2825" s="17">
        <f t="shared" si="182"/>
        <v>42067.011643518519</v>
      </c>
      <c r="T2825" s="17">
        <f t="shared" si="183"/>
        <v>42094.957638888889</v>
      </c>
      <c r="U2825">
        <f>MONTH(Table1[[#This Row],[Launched]])</f>
        <v>3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8218</v>
      </c>
      <c r="G2826" t="s">
        <v>8223</v>
      </c>
      <c r="H2826" t="s">
        <v>8245</v>
      </c>
      <c r="I2826" s="8">
        <v>1434159780</v>
      </c>
      <c r="J2826">
        <v>1431412196</v>
      </c>
      <c r="K2826" t="b">
        <v>0</v>
      </c>
      <c r="L2826" s="10">
        <v>15</v>
      </c>
      <c r="M2826" t="b">
        <v>1</v>
      </c>
      <c r="N2826" t="s">
        <v>8269</v>
      </c>
      <c r="O2826" s="11">
        <f t="shared" si="180"/>
        <v>117</v>
      </c>
      <c r="P2826" s="12">
        <f t="shared" si="181"/>
        <v>51</v>
      </c>
      <c r="Q2826" s="14" t="s">
        <v>8314</v>
      </c>
      <c r="R2826" t="s">
        <v>8315</v>
      </c>
      <c r="S2826" s="17">
        <f t="shared" si="182"/>
        <v>42136.270787037036</v>
      </c>
      <c r="T2826" s="17">
        <f t="shared" si="183"/>
        <v>42168.071527777778</v>
      </c>
      <c r="U2826">
        <f>MONTH(Table1[[#This Row],[Launched]])</f>
        <v>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 s="8">
        <v>1449255686</v>
      </c>
      <c r="J2827">
        <v>1446663686</v>
      </c>
      <c r="K2827" t="b">
        <v>0</v>
      </c>
      <c r="L2827" s="10">
        <v>51</v>
      </c>
      <c r="M2827" t="b">
        <v>1</v>
      </c>
      <c r="N2827" t="s">
        <v>8269</v>
      </c>
      <c r="O2827" s="11">
        <f t="shared" si="180"/>
        <v>103</v>
      </c>
      <c r="P2827" s="12">
        <f t="shared" si="181"/>
        <v>61</v>
      </c>
      <c r="Q2827" s="14" t="s">
        <v>8314</v>
      </c>
      <c r="R2827" t="s">
        <v>8315</v>
      </c>
      <c r="S2827" s="17">
        <f t="shared" si="182"/>
        <v>42312.792662037042</v>
      </c>
      <c r="T2827" s="17">
        <f t="shared" si="183"/>
        <v>42342.792662037042</v>
      </c>
      <c r="U2827">
        <f>MONTH(Table1[[#This Row],[Launched]])</f>
        <v>11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 s="8">
        <v>1436511600</v>
      </c>
      <c r="J2828">
        <v>1434415812</v>
      </c>
      <c r="K2828" t="b">
        <v>0</v>
      </c>
      <c r="L2828" s="10">
        <v>19</v>
      </c>
      <c r="M2828" t="b">
        <v>1</v>
      </c>
      <c r="N2828" t="s">
        <v>8269</v>
      </c>
      <c r="O2828" s="11">
        <f t="shared" si="180"/>
        <v>108</v>
      </c>
      <c r="P2828" s="12">
        <f t="shared" si="181"/>
        <v>113</v>
      </c>
      <c r="Q2828" s="14" t="s">
        <v>8314</v>
      </c>
      <c r="R2828" t="s">
        <v>8315</v>
      </c>
      <c r="S2828" s="17">
        <f t="shared" si="182"/>
        <v>42171.034861111111</v>
      </c>
      <c r="T2828" s="17">
        <f t="shared" si="183"/>
        <v>42195.291666666672</v>
      </c>
      <c r="U2828">
        <f>MONTH(Table1[[#This Row],[Launched]])</f>
        <v>6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 s="8">
        <v>1464971400</v>
      </c>
      <c r="J2829">
        <v>1462379066</v>
      </c>
      <c r="K2829" t="b">
        <v>0</v>
      </c>
      <c r="L2829" s="10">
        <v>23</v>
      </c>
      <c r="M2829" t="b">
        <v>1</v>
      </c>
      <c r="N2829" t="s">
        <v>8269</v>
      </c>
      <c r="O2829" s="11">
        <f t="shared" si="180"/>
        <v>120</v>
      </c>
      <c r="P2829" s="12">
        <f t="shared" si="181"/>
        <v>105</v>
      </c>
      <c r="Q2829" s="14" t="s">
        <v>8314</v>
      </c>
      <c r="R2829" t="s">
        <v>8315</v>
      </c>
      <c r="S2829" s="17">
        <f t="shared" si="182"/>
        <v>42494.683634259258</v>
      </c>
      <c r="T2829" s="17">
        <f t="shared" si="183"/>
        <v>42524.6875</v>
      </c>
      <c r="U2829">
        <f>MONTH(Table1[[#This Row],[Launched]])</f>
        <v>5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 s="8">
        <v>1443826800</v>
      </c>
      <c r="J2830">
        <v>1441606869</v>
      </c>
      <c r="K2830" t="b">
        <v>0</v>
      </c>
      <c r="L2830" s="10">
        <v>97</v>
      </c>
      <c r="M2830" t="b">
        <v>1</v>
      </c>
      <c r="N2830" t="s">
        <v>8269</v>
      </c>
      <c r="O2830" s="11">
        <f t="shared" si="180"/>
        <v>100</v>
      </c>
      <c r="P2830" s="12">
        <f t="shared" si="181"/>
        <v>98</v>
      </c>
      <c r="Q2830" s="14" t="s">
        <v>8314</v>
      </c>
      <c r="R2830" t="s">
        <v>8315</v>
      </c>
      <c r="S2830" s="17">
        <f t="shared" si="182"/>
        <v>42254.264687499999</v>
      </c>
      <c r="T2830" s="17">
        <f t="shared" si="183"/>
        <v>42279.958333333328</v>
      </c>
      <c r="U2830">
        <f>MONTH(Table1[[#This Row],[Launched]])</f>
        <v>9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 s="8">
        <v>1464863118</v>
      </c>
      <c r="J2831">
        <v>1462443918</v>
      </c>
      <c r="K2831" t="b">
        <v>0</v>
      </c>
      <c r="L2831" s="10">
        <v>76</v>
      </c>
      <c r="M2831" t="b">
        <v>1</v>
      </c>
      <c r="N2831" t="s">
        <v>8269</v>
      </c>
      <c r="O2831" s="11">
        <f t="shared" si="180"/>
        <v>107</v>
      </c>
      <c r="P2831" s="12">
        <f t="shared" si="181"/>
        <v>35</v>
      </c>
      <c r="Q2831" s="14" t="s">
        <v>8314</v>
      </c>
      <c r="R2831" t="s">
        <v>8315</v>
      </c>
      <c r="S2831" s="17">
        <f t="shared" si="182"/>
        <v>42495.434236111112</v>
      </c>
      <c r="T2831" s="17">
        <f t="shared" si="183"/>
        <v>42523.434236111112</v>
      </c>
      <c r="U2831">
        <f>MONTH(Table1[[#This Row],[Launched]])</f>
        <v>5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 s="8">
        <v>1399867140</v>
      </c>
      <c r="J2832">
        <v>1398802148</v>
      </c>
      <c r="K2832" t="b">
        <v>0</v>
      </c>
      <c r="L2832" s="10">
        <v>11</v>
      </c>
      <c r="M2832" t="b">
        <v>1</v>
      </c>
      <c r="N2832" t="s">
        <v>8269</v>
      </c>
      <c r="O2832" s="11">
        <f t="shared" si="180"/>
        <v>100</v>
      </c>
      <c r="P2832" s="12">
        <f t="shared" si="181"/>
        <v>273</v>
      </c>
      <c r="Q2832" s="14" t="s">
        <v>8314</v>
      </c>
      <c r="R2832" t="s">
        <v>8315</v>
      </c>
      <c r="S2832" s="17">
        <f t="shared" si="182"/>
        <v>41758.839675925927</v>
      </c>
      <c r="T2832" s="17">
        <f t="shared" si="183"/>
        <v>41771.165972222225</v>
      </c>
      <c r="U2832">
        <f>MONTH(Table1[[#This Row],[Launched]])</f>
        <v>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 s="8">
        <v>1437076070</v>
      </c>
      <c r="J2833">
        <v>1434484070</v>
      </c>
      <c r="K2833" t="b">
        <v>0</v>
      </c>
      <c r="L2833" s="10">
        <v>52</v>
      </c>
      <c r="M2833" t="b">
        <v>1</v>
      </c>
      <c r="N2833" t="s">
        <v>8269</v>
      </c>
      <c r="O2833" s="11">
        <f t="shared" si="180"/>
        <v>111</v>
      </c>
      <c r="P2833" s="12">
        <f t="shared" si="181"/>
        <v>64</v>
      </c>
      <c r="Q2833" s="14" t="s">
        <v>8314</v>
      </c>
      <c r="R2833" t="s">
        <v>8315</v>
      </c>
      <c r="S2833" s="17">
        <f t="shared" si="182"/>
        <v>42171.824884259258</v>
      </c>
      <c r="T2833" s="17">
        <f t="shared" si="183"/>
        <v>42201.824884259258</v>
      </c>
      <c r="U2833">
        <f>MONTH(Table1[[#This Row],[Launched]])</f>
        <v>6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 s="8">
        <v>1416780000</v>
      </c>
      <c r="J2834">
        <v>1414342894</v>
      </c>
      <c r="K2834" t="b">
        <v>0</v>
      </c>
      <c r="L2834" s="10">
        <v>95</v>
      </c>
      <c r="M2834" t="b">
        <v>1</v>
      </c>
      <c r="N2834" t="s">
        <v>8269</v>
      </c>
      <c r="O2834" s="11">
        <f t="shared" si="180"/>
        <v>115</v>
      </c>
      <c r="P2834" s="12">
        <f t="shared" si="181"/>
        <v>30</v>
      </c>
      <c r="Q2834" s="14" t="s">
        <v>8314</v>
      </c>
      <c r="R2834" t="s">
        <v>8315</v>
      </c>
      <c r="S2834" s="17">
        <f t="shared" si="182"/>
        <v>41938.709421296298</v>
      </c>
      <c r="T2834" s="17">
        <f t="shared" si="183"/>
        <v>41966.916666666672</v>
      </c>
      <c r="U2834">
        <f>MONTH(Table1[[#This Row],[Launched]])</f>
        <v>10</v>
      </c>
    </row>
    <row r="2835" spans="1:21" ht="15.6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 s="8">
        <v>1444528800</v>
      </c>
      <c r="J2835">
        <v>1442804633</v>
      </c>
      <c r="K2835" t="b">
        <v>0</v>
      </c>
      <c r="L2835" s="10">
        <v>35</v>
      </c>
      <c r="M2835" t="b">
        <v>1</v>
      </c>
      <c r="N2835" t="s">
        <v>8269</v>
      </c>
      <c r="O2835" s="11">
        <f t="shared" si="180"/>
        <v>108</v>
      </c>
      <c r="P2835" s="12">
        <f t="shared" si="181"/>
        <v>84</v>
      </c>
      <c r="Q2835" s="14" t="s">
        <v>8314</v>
      </c>
      <c r="R2835" t="s">
        <v>8315</v>
      </c>
      <c r="S2835" s="17">
        <f t="shared" si="182"/>
        <v>42268.127696759257</v>
      </c>
      <c r="T2835" s="17">
        <f t="shared" si="183"/>
        <v>42288.083333333328</v>
      </c>
      <c r="U2835">
        <f>MONTH(Table1[[#This Row],[Launched]])</f>
        <v>9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8218</v>
      </c>
      <c r="G2836" t="s">
        <v>8224</v>
      </c>
      <c r="H2836" t="s">
        <v>8246</v>
      </c>
      <c r="I2836" s="8">
        <v>1422658930</v>
      </c>
      <c r="J2836">
        <v>1421362930</v>
      </c>
      <c r="K2836" t="b">
        <v>0</v>
      </c>
      <c r="L2836" s="10">
        <v>21</v>
      </c>
      <c r="M2836" t="b">
        <v>1</v>
      </c>
      <c r="N2836" t="s">
        <v>8269</v>
      </c>
      <c r="O2836" s="11">
        <f t="shared" si="180"/>
        <v>170</v>
      </c>
      <c r="P2836" s="12">
        <f t="shared" si="181"/>
        <v>65</v>
      </c>
      <c r="Q2836" s="14" t="s">
        <v>8314</v>
      </c>
      <c r="R2836" t="s">
        <v>8315</v>
      </c>
      <c r="S2836" s="17">
        <f t="shared" si="182"/>
        <v>42019.959837962961</v>
      </c>
      <c r="T2836" s="17">
        <f t="shared" si="183"/>
        <v>42034.959837962961</v>
      </c>
      <c r="U2836">
        <f>MONTH(Table1[[#This Row],[Launched]])</f>
        <v>1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 s="8">
        <v>1449273600</v>
      </c>
      <c r="J2837">
        <v>1446742417</v>
      </c>
      <c r="K2837" t="b">
        <v>0</v>
      </c>
      <c r="L2837" s="10">
        <v>93</v>
      </c>
      <c r="M2837" t="b">
        <v>1</v>
      </c>
      <c r="N2837" t="s">
        <v>8269</v>
      </c>
      <c r="O2837" s="11">
        <f t="shared" si="180"/>
        <v>187</v>
      </c>
      <c r="P2837" s="12">
        <f t="shared" si="181"/>
        <v>20</v>
      </c>
      <c r="Q2837" s="14" t="s">
        <v>8314</v>
      </c>
      <c r="R2837" t="s">
        <v>8315</v>
      </c>
      <c r="S2837" s="17">
        <f t="shared" si="182"/>
        <v>42313.703900462962</v>
      </c>
      <c r="T2837" s="17">
        <f t="shared" si="183"/>
        <v>42343</v>
      </c>
      <c r="U2837">
        <f>MONTH(Table1[[#This Row],[Launched]])</f>
        <v>11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8218</v>
      </c>
      <c r="G2838" t="s">
        <v>8223</v>
      </c>
      <c r="H2838" t="s">
        <v>8245</v>
      </c>
      <c r="I2838" s="8">
        <v>1487393940</v>
      </c>
      <c r="J2838">
        <v>1484115418</v>
      </c>
      <c r="K2838" t="b">
        <v>0</v>
      </c>
      <c r="L2838" s="10">
        <v>11</v>
      </c>
      <c r="M2838" t="b">
        <v>1</v>
      </c>
      <c r="N2838" t="s">
        <v>8269</v>
      </c>
      <c r="O2838" s="11">
        <f t="shared" si="180"/>
        <v>108</v>
      </c>
      <c r="P2838" s="12">
        <f t="shared" si="181"/>
        <v>44</v>
      </c>
      <c r="Q2838" s="14" t="s">
        <v>8314</v>
      </c>
      <c r="R2838" t="s">
        <v>8315</v>
      </c>
      <c r="S2838" s="17">
        <f t="shared" si="182"/>
        <v>42746.261782407411</v>
      </c>
      <c r="T2838" s="17">
        <f t="shared" si="183"/>
        <v>42784.207638888889</v>
      </c>
      <c r="U2838">
        <f>MONTH(Table1[[#This Row],[Launched]])</f>
        <v>1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8218</v>
      </c>
      <c r="G2839" t="s">
        <v>8228</v>
      </c>
      <c r="H2839" t="s">
        <v>8250</v>
      </c>
      <c r="I2839" s="8">
        <v>1449701284</v>
      </c>
      <c r="J2839">
        <v>1446241684</v>
      </c>
      <c r="K2839" t="b">
        <v>0</v>
      </c>
      <c r="L2839" s="10">
        <v>21</v>
      </c>
      <c r="M2839" t="b">
        <v>1</v>
      </c>
      <c r="N2839" t="s">
        <v>8269</v>
      </c>
      <c r="O2839" s="11">
        <f t="shared" si="180"/>
        <v>100</v>
      </c>
      <c r="P2839" s="12">
        <f t="shared" si="181"/>
        <v>40</v>
      </c>
      <c r="Q2839" s="14" t="s">
        <v>8314</v>
      </c>
      <c r="R2839" t="s">
        <v>8315</v>
      </c>
      <c r="S2839" s="17">
        <f t="shared" si="182"/>
        <v>42307.908379629633</v>
      </c>
      <c r="T2839" s="17">
        <f t="shared" si="183"/>
        <v>42347.950046296297</v>
      </c>
      <c r="U2839">
        <f>MONTH(Table1[[#This Row],[Launched]])</f>
        <v>10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 s="8">
        <v>1407967200</v>
      </c>
      <c r="J2840">
        <v>1406039696</v>
      </c>
      <c r="K2840" t="b">
        <v>0</v>
      </c>
      <c r="L2840" s="10">
        <v>54</v>
      </c>
      <c r="M2840" t="b">
        <v>1</v>
      </c>
      <c r="N2840" t="s">
        <v>8269</v>
      </c>
      <c r="O2840" s="11">
        <f t="shared" si="180"/>
        <v>120</v>
      </c>
      <c r="P2840" s="12">
        <f t="shared" si="181"/>
        <v>45</v>
      </c>
      <c r="Q2840" s="14" t="s">
        <v>8314</v>
      </c>
      <c r="R2840" t="s">
        <v>8315</v>
      </c>
      <c r="S2840" s="17">
        <f t="shared" si="182"/>
        <v>41842.607592592591</v>
      </c>
      <c r="T2840" s="17">
        <f t="shared" si="183"/>
        <v>41864.916666666664</v>
      </c>
      <c r="U2840">
        <f>MONTH(Table1[[#This Row],[Launched]])</f>
        <v>7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 s="8">
        <v>1408942740</v>
      </c>
      <c r="J2841">
        <v>1406958354</v>
      </c>
      <c r="K2841" t="b">
        <v>0</v>
      </c>
      <c r="L2841" s="10">
        <v>31</v>
      </c>
      <c r="M2841" t="b">
        <v>1</v>
      </c>
      <c r="N2841" t="s">
        <v>8269</v>
      </c>
      <c r="O2841" s="11">
        <f t="shared" si="180"/>
        <v>111</v>
      </c>
      <c r="P2841" s="12">
        <f t="shared" si="181"/>
        <v>126</v>
      </c>
      <c r="Q2841" s="14" t="s">
        <v>8314</v>
      </c>
      <c r="R2841" t="s">
        <v>8315</v>
      </c>
      <c r="S2841" s="17">
        <f t="shared" si="182"/>
        <v>41853.240208333329</v>
      </c>
      <c r="T2841" s="17">
        <f t="shared" si="183"/>
        <v>41876.207638888889</v>
      </c>
      <c r="U2841">
        <f>MONTH(Table1[[#This Row],[Launched]])</f>
        <v>8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 s="8">
        <v>1426698000</v>
      </c>
      <c r="J2842">
        <v>1424825479</v>
      </c>
      <c r="K2842" t="b">
        <v>0</v>
      </c>
      <c r="L2842" s="10">
        <v>132</v>
      </c>
      <c r="M2842" t="b">
        <v>1</v>
      </c>
      <c r="N2842" t="s">
        <v>8269</v>
      </c>
      <c r="O2842" s="11">
        <f t="shared" si="180"/>
        <v>104</v>
      </c>
      <c r="P2842" s="12">
        <f t="shared" si="181"/>
        <v>20</v>
      </c>
      <c r="Q2842" s="14" t="s">
        <v>8314</v>
      </c>
      <c r="R2842" t="s">
        <v>8315</v>
      </c>
      <c r="S2842" s="17">
        <f t="shared" si="182"/>
        <v>42060.035636574074</v>
      </c>
      <c r="T2842" s="17">
        <f t="shared" si="183"/>
        <v>42081.708333333328</v>
      </c>
      <c r="U2842">
        <f>MONTH(Table1[[#This Row],[Launched]])</f>
        <v>2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8220</v>
      </c>
      <c r="G2843" t="s">
        <v>8224</v>
      </c>
      <c r="H2843" t="s">
        <v>8246</v>
      </c>
      <c r="I2843" s="8">
        <v>1450032297</v>
      </c>
      <c r="J2843">
        <v>1444844697</v>
      </c>
      <c r="K2843" t="b">
        <v>0</v>
      </c>
      <c r="L2843" s="10">
        <v>1</v>
      </c>
      <c r="M2843" t="b">
        <v>0</v>
      </c>
      <c r="N2843" t="s">
        <v>8269</v>
      </c>
      <c r="O2843" s="11">
        <f t="shared" si="180"/>
        <v>1</v>
      </c>
      <c r="P2843" s="12">
        <f t="shared" si="181"/>
        <v>10</v>
      </c>
      <c r="Q2843" s="14" t="s">
        <v>8314</v>
      </c>
      <c r="R2843" t="s">
        <v>8315</v>
      </c>
      <c r="S2843" s="17">
        <f t="shared" si="182"/>
        <v>42291.739548611105</v>
      </c>
      <c r="T2843" s="17">
        <f t="shared" si="183"/>
        <v>42351.781215277777</v>
      </c>
      <c r="U2843">
        <f>MONTH(Table1[[#This Row],[Launched]])</f>
        <v>10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8220</v>
      </c>
      <c r="G2844" t="s">
        <v>8224</v>
      </c>
      <c r="H2844" t="s">
        <v>8246</v>
      </c>
      <c r="I2844" s="8">
        <v>1403348400</v>
      </c>
      <c r="J2844">
        <v>1401058295</v>
      </c>
      <c r="K2844" t="b">
        <v>0</v>
      </c>
      <c r="L2844" s="10">
        <v>0</v>
      </c>
      <c r="M2844" t="b">
        <v>0</v>
      </c>
      <c r="N2844" t="s">
        <v>8269</v>
      </c>
      <c r="O2844" s="11">
        <f t="shared" si="180"/>
        <v>0</v>
      </c>
      <c r="P2844" s="12" t="str">
        <f t="shared" si="181"/>
        <v>No Backers</v>
      </c>
      <c r="Q2844" s="14" t="s">
        <v>8314</v>
      </c>
      <c r="R2844" t="s">
        <v>8315</v>
      </c>
      <c r="S2844" s="17">
        <f t="shared" si="182"/>
        <v>41784.952488425923</v>
      </c>
      <c r="T2844" s="17">
        <f t="shared" si="183"/>
        <v>41811.458333333336</v>
      </c>
      <c r="U2844">
        <f>MONTH(Table1[[#This Row],[Launched]])</f>
        <v>5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8220</v>
      </c>
      <c r="G2845" t="s">
        <v>8223</v>
      </c>
      <c r="H2845" t="s">
        <v>8245</v>
      </c>
      <c r="I2845" s="8">
        <v>1465790400</v>
      </c>
      <c r="J2845">
        <v>1462210950</v>
      </c>
      <c r="K2845" t="b">
        <v>0</v>
      </c>
      <c r="L2845" s="10">
        <v>0</v>
      </c>
      <c r="M2845" t="b">
        <v>0</v>
      </c>
      <c r="N2845" t="s">
        <v>8269</v>
      </c>
      <c r="O2845" s="11">
        <f t="shared" si="180"/>
        <v>0</v>
      </c>
      <c r="P2845" s="12" t="str">
        <f t="shared" si="181"/>
        <v>No Backers</v>
      </c>
      <c r="Q2845" s="14" t="s">
        <v>8314</v>
      </c>
      <c r="R2845" t="s">
        <v>8315</v>
      </c>
      <c r="S2845" s="17">
        <f t="shared" si="182"/>
        <v>42492.737847222219</v>
      </c>
      <c r="T2845" s="17">
        <f t="shared" si="183"/>
        <v>42534.166666666672</v>
      </c>
      <c r="U2845">
        <f>MONTH(Table1[[#This Row],[Launched]])</f>
        <v>5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8220</v>
      </c>
      <c r="G2846" t="s">
        <v>8238</v>
      </c>
      <c r="H2846" t="s">
        <v>8248</v>
      </c>
      <c r="I2846" s="8">
        <v>1483535180</v>
      </c>
      <c r="J2846">
        <v>1480943180</v>
      </c>
      <c r="K2846" t="b">
        <v>0</v>
      </c>
      <c r="L2846" s="10">
        <v>1</v>
      </c>
      <c r="M2846" t="b">
        <v>0</v>
      </c>
      <c r="N2846" t="s">
        <v>8269</v>
      </c>
      <c r="O2846" s="11">
        <f t="shared" si="180"/>
        <v>5</v>
      </c>
      <c r="P2846" s="12">
        <f t="shared" si="181"/>
        <v>30</v>
      </c>
      <c r="Q2846" s="14" t="s">
        <v>8314</v>
      </c>
      <c r="R2846" t="s">
        <v>8315</v>
      </c>
      <c r="S2846" s="17">
        <f t="shared" si="182"/>
        <v>42709.546064814815</v>
      </c>
      <c r="T2846" s="17">
        <f t="shared" si="183"/>
        <v>42739.546064814815</v>
      </c>
      <c r="U2846">
        <f>MONTH(Table1[[#This Row],[Launched]])</f>
        <v>12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 s="8">
        <v>1433723033</v>
      </c>
      <c r="J2847">
        <v>1428539033</v>
      </c>
      <c r="K2847" t="b">
        <v>0</v>
      </c>
      <c r="L2847" s="10">
        <v>39</v>
      </c>
      <c r="M2847" t="b">
        <v>0</v>
      </c>
      <c r="N2847" t="s">
        <v>8269</v>
      </c>
      <c r="O2847" s="11">
        <f t="shared" si="180"/>
        <v>32</v>
      </c>
      <c r="P2847" s="12">
        <f t="shared" si="181"/>
        <v>61</v>
      </c>
      <c r="Q2847" s="14" t="s">
        <v>8314</v>
      </c>
      <c r="R2847" t="s">
        <v>8315</v>
      </c>
      <c r="S2847" s="17">
        <f t="shared" si="182"/>
        <v>42103.016585648147</v>
      </c>
      <c r="T2847" s="17">
        <f t="shared" si="183"/>
        <v>42163.016585648147</v>
      </c>
      <c r="U2847">
        <f>MONTH(Table1[[#This Row],[Launched]])</f>
        <v>4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8220</v>
      </c>
      <c r="G2848" t="s">
        <v>8223</v>
      </c>
      <c r="H2848" t="s">
        <v>8245</v>
      </c>
      <c r="I2848" s="8">
        <v>1432917394</v>
      </c>
      <c r="J2848">
        <v>1429029394</v>
      </c>
      <c r="K2848" t="b">
        <v>0</v>
      </c>
      <c r="L2848" s="10">
        <v>0</v>
      </c>
      <c r="M2848" t="b">
        <v>0</v>
      </c>
      <c r="N2848" t="s">
        <v>8269</v>
      </c>
      <c r="O2848" s="11">
        <f t="shared" si="180"/>
        <v>0</v>
      </c>
      <c r="P2848" s="12" t="str">
        <f t="shared" si="181"/>
        <v>No Backers</v>
      </c>
      <c r="Q2848" s="14" t="s">
        <v>8314</v>
      </c>
      <c r="R2848" t="s">
        <v>8315</v>
      </c>
      <c r="S2848" s="17">
        <f t="shared" si="182"/>
        <v>42108.692060185189</v>
      </c>
      <c r="T2848" s="17">
        <f t="shared" si="183"/>
        <v>42153.692060185189</v>
      </c>
      <c r="U2848">
        <f>MONTH(Table1[[#This Row],[Launched]])</f>
        <v>4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8220</v>
      </c>
      <c r="G2849" t="s">
        <v>8223</v>
      </c>
      <c r="H2849" t="s">
        <v>8245</v>
      </c>
      <c r="I2849" s="8">
        <v>1464031265</v>
      </c>
      <c r="J2849">
        <v>1458847265</v>
      </c>
      <c r="K2849" t="b">
        <v>0</v>
      </c>
      <c r="L2849" s="10">
        <v>0</v>
      </c>
      <c r="M2849" t="b">
        <v>0</v>
      </c>
      <c r="N2849" t="s">
        <v>8269</v>
      </c>
      <c r="O2849" s="11">
        <f t="shared" si="180"/>
        <v>0</v>
      </c>
      <c r="P2849" s="12" t="str">
        <f t="shared" si="181"/>
        <v>No Backers</v>
      </c>
      <c r="Q2849" s="14" t="s">
        <v>8314</v>
      </c>
      <c r="R2849" t="s">
        <v>8315</v>
      </c>
      <c r="S2849" s="17">
        <f t="shared" si="182"/>
        <v>42453.806307870371</v>
      </c>
      <c r="T2849" s="17">
        <f t="shared" si="183"/>
        <v>42513.806307870371</v>
      </c>
      <c r="U2849">
        <f>MONTH(Table1[[#This Row],[Launched]])</f>
        <v>3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8220</v>
      </c>
      <c r="G2850" t="s">
        <v>8223</v>
      </c>
      <c r="H2850" t="s">
        <v>8245</v>
      </c>
      <c r="I2850" s="8">
        <v>1432913659</v>
      </c>
      <c r="J2850">
        <v>1430321659</v>
      </c>
      <c r="K2850" t="b">
        <v>0</v>
      </c>
      <c r="L2850" s="10">
        <v>3</v>
      </c>
      <c r="M2850" t="b">
        <v>0</v>
      </c>
      <c r="N2850" t="s">
        <v>8269</v>
      </c>
      <c r="O2850" s="11">
        <f t="shared" si="180"/>
        <v>0</v>
      </c>
      <c r="P2850" s="12">
        <f t="shared" si="181"/>
        <v>23</v>
      </c>
      <c r="Q2850" s="14" t="s">
        <v>8314</v>
      </c>
      <c r="R2850" t="s">
        <v>8315</v>
      </c>
      <c r="S2850" s="17">
        <f t="shared" si="182"/>
        <v>42123.648831018523</v>
      </c>
      <c r="T2850" s="17">
        <f t="shared" si="183"/>
        <v>42153.648831018523</v>
      </c>
      <c r="U2850">
        <f>MONTH(Table1[[#This Row],[Launched]])</f>
        <v>4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8220</v>
      </c>
      <c r="G2851" t="s">
        <v>8224</v>
      </c>
      <c r="H2851" t="s">
        <v>8246</v>
      </c>
      <c r="I2851" s="8">
        <v>1461406600</v>
      </c>
      <c r="J2851">
        <v>1458814600</v>
      </c>
      <c r="K2851" t="b">
        <v>0</v>
      </c>
      <c r="L2851" s="10">
        <v>1</v>
      </c>
      <c r="M2851" t="b">
        <v>0</v>
      </c>
      <c r="N2851" t="s">
        <v>8269</v>
      </c>
      <c r="O2851" s="11">
        <f t="shared" si="180"/>
        <v>1</v>
      </c>
      <c r="P2851" s="12">
        <f t="shared" si="181"/>
        <v>5</v>
      </c>
      <c r="Q2851" s="14" t="s">
        <v>8314</v>
      </c>
      <c r="R2851" t="s">
        <v>8315</v>
      </c>
      <c r="S2851" s="17">
        <f t="shared" si="182"/>
        <v>42453.428240740745</v>
      </c>
      <c r="T2851" s="17">
        <f t="shared" si="183"/>
        <v>42483.428240740745</v>
      </c>
      <c r="U2851">
        <f>MONTH(Table1[[#This Row],[Launched]])</f>
        <v>3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8220</v>
      </c>
      <c r="G2852" t="s">
        <v>8223</v>
      </c>
      <c r="H2852" t="s">
        <v>8245</v>
      </c>
      <c r="I2852" s="8">
        <v>1409962211</v>
      </c>
      <c r="J2852">
        <v>1407370211</v>
      </c>
      <c r="K2852" t="b">
        <v>0</v>
      </c>
      <c r="L2852" s="10">
        <v>13</v>
      </c>
      <c r="M2852" t="b">
        <v>0</v>
      </c>
      <c r="N2852" t="s">
        <v>8269</v>
      </c>
      <c r="O2852" s="11">
        <f t="shared" si="180"/>
        <v>4</v>
      </c>
      <c r="P2852" s="12">
        <f t="shared" si="181"/>
        <v>24</v>
      </c>
      <c r="Q2852" s="14" t="s">
        <v>8314</v>
      </c>
      <c r="R2852" t="s">
        <v>8315</v>
      </c>
      <c r="S2852" s="17">
        <f t="shared" si="182"/>
        <v>41858.007071759261</v>
      </c>
      <c r="T2852" s="17">
        <f t="shared" si="183"/>
        <v>41888.007071759261</v>
      </c>
      <c r="U2852">
        <f>MONTH(Table1[[#This Row],[Launched]])</f>
        <v>8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8220</v>
      </c>
      <c r="G2853" t="s">
        <v>8240</v>
      </c>
      <c r="H2853" t="s">
        <v>8248</v>
      </c>
      <c r="I2853" s="8">
        <v>1454109420</v>
      </c>
      <c r="J2853">
        <v>1453334629</v>
      </c>
      <c r="K2853" t="b">
        <v>0</v>
      </c>
      <c r="L2853" s="10">
        <v>0</v>
      </c>
      <c r="M2853" t="b">
        <v>0</v>
      </c>
      <c r="N2853" t="s">
        <v>8269</v>
      </c>
      <c r="O2853" s="11">
        <f t="shared" si="180"/>
        <v>0</v>
      </c>
      <c r="P2853" s="12" t="str">
        <f t="shared" si="181"/>
        <v>No Backers</v>
      </c>
      <c r="Q2853" s="14" t="s">
        <v>8314</v>
      </c>
      <c r="R2853" t="s">
        <v>8315</v>
      </c>
      <c r="S2853" s="17">
        <f t="shared" si="182"/>
        <v>42390.002650462964</v>
      </c>
      <c r="T2853" s="17">
        <f t="shared" si="183"/>
        <v>42398.970138888893</v>
      </c>
      <c r="U2853">
        <f>MONTH(Table1[[#This Row],[Launched]])</f>
        <v>1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8220</v>
      </c>
      <c r="G2854" t="s">
        <v>8223</v>
      </c>
      <c r="H2854" t="s">
        <v>8245</v>
      </c>
      <c r="I2854" s="8">
        <v>1403312703</v>
      </c>
      <c r="J2854">
        <v>1400720703</v>
      </c>
      <c r="K2854" t="b">
        <v>0</v>
      </c>
      <c r="L2854" s="10">
        <v>6</v>
      </c>
      <c r="M2854" t="b">
        <v>0</v>
      </c>
      <c r="N2854" t="s">
        <v>8269</v>
      </c>
      <c r="O2854" s="11">
        <f t="shared" si="180"/>
        <v>2</v>
      </c>
      <c r="P2854" s="12">
        <f t="shared" si="181"/>
        <v>16</v>
      </c>
      <c r="Q2854" s="14" t="s">
        <v>8314</v>
      </c>
      <c r="R2854" t="s">
        <v>8315</v>
      </c>
      <c r="S2854" s="17">
        <f t="shared" si="182"/>
        <v>41781.045173611114</v>
      </c>
      <c r="T2854" s="17">
        <f t="shared" si="183"/>
        <v>41811.045173611114</v>
      </c>
      <c r="U2854">
        <f>MONTH(Table1[[#This Row],[Launched]])</f>
        <v>5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8220</v>
      </c>
      <c r="G2855" t="s">
        <v>8228</v>
      </c>
      <c r="H2855" t="s">
        <v>8250</v>
      </c>
      <c r="I2855" s="8">
        <v>1410669297</v>
      </c>
      <c r="J2855">
        <v>1405485297</v>
      </c>
      <c r="K2855" t="b">
        <v>0</v>
      </c>
      <c r="L2855" s="10">
        <v>0</v>
      </c>
      <c r="M2855" t="b">
        <v>0</v>
      </c>
      <c r="N2855" t="s">
        <v>8269</v>
      </c>
      <c r="O2855" s="11">
        <f t="shared" si="180"/>
        <v>0</v>
      </c>
      <c r="P2855" s="12" t="str">
        <f t="shared" si="181"/>
        <v>No Backers</v>
      </c>
      <c r="Q2855" s="14" t="s">
        <v>8314</v>
      </c>
      <c r="R2855" t="s">
        <v>8315</v>
      </c>
      <c r="S2855" s="17">
        <f t="shared" si="182"/>
        <v>41836.190937499996</v>
      </c>
      <c r="T2855" s="17">
        <f t="shared" si="183"/>
        <v>41896.190937499996</v>
      </c>
      <c r="U2855">
        <f>MONTH(Table1[[#This Row],[Launched]])</f>
        <v>7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8220</v>
      </c>
      <c r="G2856" t="s">
        <v>8224</v>
      </c>
      <c r="H2856" t="s">
        <v>8246</v>
      </c>
      <c r="I2856" s="8">
        <v>1431018719</v>
      </c>
      <c r="J2856">
        <v>1429290719</v>
      </c>
      <c r="K2856" t="b">
        <v>0</v>
      </c>
      <c r="L2856" s="10">
        <v>14</v>
      </c>
      <c r="M2856" t="b">
        <v>0</v>
      </c>
      <c r="N2856" t="s">
        <v>8269</v>
      </c>
      <c r="O2856" s="11">
        <f t="shared" si="180"/>
        <v>42</v>
      </c>
      <c r="P2856" s="12">
        <f t="shared" si="181"/>
        <v>30</v>
      </c>
      <c r="Q2856" s="14" t="s">
        <v>8314</v>
      </c>
      <c r="R2856" t="s">
        <v>8315</v>
      </c>
      <c r="S2856" s="17">
        <f t="shared" si="182"/>
        <v>42111.71665509259</v>
      </c>
      <c r="T2856" s="17">
        <f t="shared" si="183"/>
        <v>42131.71665509259</v>
      </c>
      <c r="U2856">
        <f>MONTH(Table1[[#This Row],[Launched]])</f>
        <v>4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8220</v>
      </c>
      <c r="G2857" t="s">
        <v>8223</v>
      </c>
      <c r="H2857" t="s">
        <v>8245</v>
      </c>
      <c r="I2857" s="8">
        <v>1454110440</v>
      </c>
      <c r="J2857">
        <v>1451607071</v>
      </c>
      <c r="K2857" t="b">
        <v>0</v>
      </c>
      <c r="L2857" s="10">
        <v>5</v>
      </c>
      <c r="M2857" t="b">
        <v>0</v>
      </c>
      <c r="N2857" t="s">
        <v>8269</v>
      </c>
      <c r="O2857" s="11">
        <f t="shared" si="180"/>
        <v>50</v>
      </c>
      <c r="P2857" s="12">
        <f t="shared" si="181"/>
        <v>60</v>
      </c>
      <c r="Q2857" s="14" t="s">
        <v>8314</v>
      </c>
      <c r="R2857" t="s">
        <v>8315</v>
      </c>
      <c r="S2857" s="17">
        <f t="shared" si="182"/>
        <v>42370.007766203707</v>
      </c>
      <c r="T2857" s="17">
        <f t="shared" si="183"/>
        <v>42398.981944444444</v>
      </c>
      <c r="U2857">
        <f>MONTH(Table1[[#This Row],[Launched]])</f>
        <v>1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8220</v>
      </c>
      <c r="G2858" t="s">
        <v>8223</v>
      </c>
      <c r="H2858" t="s">
        <v>8245</v>
      </c>
      <c r="I2858" s="8">
        <v>1439069640</v>
      </c>
      <c r="J2858">
        <v>1433897647</v>
      </c>
      <c r="K2858" t="b">
        <v>0</v>
      </c>
      <c r="L2858" s="10">
        <v>6</v>
      </c>
      <c r="M2858" t="b">
        <v>0</v>
      </c>
      <c r="N2858" t="s">
        <v>8269</v>
      </c>
      <c r="O2858" s="11">
        <f t="shared" si="180"/>
        <v>5</v>
      </c>
      <c r="P2858" s="12">
        <f t="shared" si="181"/>
        <v>24</v>
      </c>
      <c r="Q2858" s="14" t="s">
        <v>8314</v>
      </c>
      <c r="R2858" t="s">
        <v>8315</v>
      </c>
      <c r="S2858" s="17">
        <f t="shared" si="182"/>
        <v>42165.037581018521</v>
      </c>
      <c r="T2858" s="17">
        <f t="shared" si="183"/>
        <v>42224.898611111115</v>
      </c>
      <c r="U2858">
        <f>MONTH(Table1[[#This Row],[Launched]])</f>
        <v>6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 s="8">
        <v>1487613600</v>
      </c>
      <c r="J2859">
        <v>1482444295</v>
      </c>
      <c r="K2859" t="b">
        <v>0</v>
      </c>
      <c r="L2859" s="10">
        <v>15</v>
      </c>
      <c r="M2859" t="b">
        <v>0</v>
      </c>
      <c r="N2859" t="s">
        <v>8269</v>
      </c>
      <c r="O2859" s="11">
        <f t="shared" si="180"/>
        <v>20</v>
      </c>
      <c r="P2859" s="12">
        <f t="shared" si="181"/>
        <v>500</v>
      </c>
      <c r="Q2859" s="14" t="s">
        <v>8314</v>
      </c>
      <c r="R2859" t="s">
        <v>8315</v>
      </c>
      <c r="S2859" s="17">
        <f t="shared" si="182"/>
        <v>42726.920081018514</v>
      </c>
      <c r="T2859" s="17">
        <f t="shared" si="183"/>
        <v>42786.75</v>
      </c>
      <c r="U2859">
        <f>MONTH(Table1[[#This Row],[Launched]])</f>
        <v>12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8220</v>
      </c>
      <c r="G2860" t="s">
        <v>8232</v>
      </c>
      <c r="H2860" t="s">
        <v>8248</v>
      </c>
      <c r="I2860" s="8">
        <v>1417778880</v>
      </c>
      <c r="J2860">
        <v>1415711095</v>
      </c>
      <c r="K2860" t="b">
        <v>0</v>
      </c>
      <c r="L2860" s="10">
        <v>0</v>
      </c>
      <c r="M2860" t="b">
        <v>0</v>
      </c>
      <c r="N2860" t="s">
        <v>8269</v>
      </c>
      <c r="O2860" s="11">
        <f t="shared" si="180"/>
        <v>0</v>
      </c>
      <c r="P2860" s="12" t="str">
        <f t="shared" si="181"/>
        <v>No Backers</v>
      </c>
      <c r="Q2860" s="14" t="s">
        <v>8314</v>
      </c>
      <c r="R2860" t="s">
        <v>8315</v>
      </c>
      <c r="S2860" s="17">
        <f t="shared" si="182"/>
        <v>41954.545081018514</v>
      </c>
      <c r="T2860" s="17">
        <f t="shared" si="183"/>
        <v>41978.477777777778</v>
      </c>
      <c r="U2860">
        <f>MONTH(Table1[[#This Row],[Launched]])</f>
        <v>11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8220</v>
      </c>
      <c r="G2861" t="s">
        <v>8225</v>
      </c>
      <c r="H2861" t="s">
        <v>8247</v>
      </c>
      <c r="I2861" s="8">
        <v>1444984904</v>
      </c>
      <c r="J2861">
        <v>1439800904</v>
      </c>
      <c r="K2861" t="b">
        <v>0</v>
      </c>
      <c r="L2861" s="10">
        <v>1</v>
      </c>
      <c r="M2861" t="b">
        <v>0</v>
      </c>
      <c r="N2861" t="s">
        <v>8269</v>
      </c>
      <c r="O2861" s="11">
        <f t="shared" si="180"/>
        <v>2</v>
      </c>
      <c r="P2861" s="12">
        <f t="shared" si="181"/>
        <v>35</v>
      </c>
      <c r="Q2861" s="14" t="s">
        <v>8314</v>
      </c>
      <c r="R2861" t="s">
        <v>8315</v>
      </c>
      <c r="S2861" s="17">
        <f t="shared" si="182"/>
        <v>42233.362314814818</v>
      </c>
      <c r="T2861" s="17">
        <f t="shared" si="183"/>
        <v>42293.362314814818</v>
      </c>
      <c r="U2861">
        <f>MONTH(Table1[[#This Row],[Launched]])</f>
        <v>8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8220</v>
      </c>
      <c r="G2862" t="s">
        <v>8223</v>
      </c>
      <c r="H2862" t="s">
        <v>8245</v>
      </c>
      <c r="I2862" s="8">
        <v>1466363576</v>
      </c>
      <c r="J2862">
        <v>1461179576</v>
      </c>
      <c r="K2862" t="b">
        <v>0</v>
      </c>
      <c r="L2862" s="10">
        <v>9</v>
      </c>
      <c r="M2862" t="b">
        <v>0</v>
      </c>
      <c r="N2862" t="s">
        <v>8269</v>
      </c>
      <c r="O2862" s="11">
        <f t="shared" si="180"/>
        <v>7</v>
      </c>
      <c r="P2862" s="12">
        <f t="shared" si="181"/>
        <v>30</v>
      </c>
      <c r="Q2862" s="14" t="s">
        <v>8314</v>
      </c>
      <c r="R2862" t="s">
        <v>8315</v>
      </c>
      <c r="S2862" s="17">
        <f t="shared" si="182"/>
        <v>42480.800648148142</v>
      </c>
      <c r="T2862" s="17">
        <f t="shared" si="183"/>
        <v>42540.800648148142</v>
      </c>
      <c r="U2862">
        <f>MONTH(Table1[[#This Row],[Launched]])</f>
        <v>4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8220</v>
      </c>
      <c r="G2863" t="s">
        <v>8225</v>
      </c>
      <c r="H2863" t="s">
        <v>8247</v>
      </c>
      <c r="I2863" s="8">
        <v>1443103848</v>
      </c>
      <c r="J2863">
        <v>1441894248</v>
      </c>
      <c r="K2863" t="b">
        <v>0</v>
      </c>
      <c r="L2863" s="10">
        <v>3</v>
      </c>
      <c r="M2863" t="b">
        <v>0</v>
      </c>
      <c r="N2863" t="s">
        <v>8269</v>
      </c>
      <c r="O2863" s="11">
        <f t="shared" si="180"/>
        <v>32</v>
      </c>
      <c r="P2863" s="12">
        <f t="shared" si="181"/>
        <v>27</v>
      </c>
      <c r="Q2863" s="14" t="s">
        <v>8314</v>
      </c>
      <c r="R2863" t="s">
        <v>8315</v>
      </c>
      <c r="S2863" s="17">
        <f t="shared" si="182"/>
        <v>42257.590833333335</v>
      </c>
      <c r="T2863" s="17">
        <f t="shared" si="183"/>
        <v>42271.590833333335</v>
      </c>
      <c r="U2863">
        <f>MONTH(Table1[[#This Row],[Launched]])</f>
        <v>9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8220</v>
      </c>
      <c r="G2864" t="s">
        <v>8223</v>
      </c>
      <c r="H2864" t="s">
        <v>8245</v>
      </c>
      <c r="I2864" s="8">
        <v>1403636229</v>
      </c>
      <c r="J2864">
        <v>1401044229</v>
      </c>
      <c r="K2864" t="b">
        <v>0</v>
      </c>
      <c r="L2864" s="10">
        <v>3</v>
      </c>
      <c r="M2864" t="b">
        <v>0</v>
      </c>
      <c r="N2864" t="s">
        <v>8269</v>
      </c>
      <c r="O2864" s="11">
        <f t="shared" si="180"/>
        <v>0</v>
      </c>
      <c r="P2864" s="12">
        <f t="shared" si="181"/>
        <v>18</v>
      </c>
      <c r="Q2864" s="14" t="s">
        <v>8314</v>
      </c>
      <c r="R2864" t="s">
        <v>8315</v>
      </c>
      <c r="S2864" s="17">
        <f t="shared" si="182"/>
        <v>41784.789687500001</v>
      </c>
      <c r="T2864" s="17">
        <f t="shared" si="183"/>
        <v>41814.789687500001</v>
      </c>
      <c r="U2864">
        <f>MONTH(Table1[[#This Row],[Launched]])</f>
        <v>5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8220</v>
      </c>
      <c r="G2865" t="s">
        <v>8223</v>
      </c>
      <c r="H2865" t="s">
        <v>8245</v>
      </c>
      <c r="I2865" s="8">
        <v>1410279123</v>
      </c>
      <c r="J2865">
        <v>1405095123</v>
      </c>
      <c r="K2865" t="b">
        <v>0</v>
      </c>
      <c r="L2865" s="10">
        <v>1</v>
      </c>
      <c r="M2865" t="b">
        <v>0</v>
      </c>
      <c r="N2865" t="s">
        <v>8269</v>
      </c>
      <c r="O2865" s="11">
        <f t="shared" si="180"/>
        <v>0</v>
      </c>
      <c r="P2865" s="12">
        <f t="shared" si="181"/>
        <v>20</v>
      </c>
      <c r="Q2865" s="14" t="s">
        <v>8314</v>
      </c>
      <c r="R2865" t="s">
        <v>8315</v>
      </c>
      <c r="S2865" s="17">
        <f t="shared" si="182"/>
        <v>41831.675034722226</v>
      </c>
      <c r="T2865" s="17">
        <f t="shared" si="183"/>
        <v>41891.675034722226</v>
      </c>
      <c r="U2865">
        <f>MONTH(Table1[[#This Row],[Launched]])</f>
        <v>7</v>
      </c>
    </row>
    <row r="2866" spans="1:21" ht="15.6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8220</v>
      </c>
      <c r="G2866" t="s">
        <v>8224</v>
      </c>
      <c r="H2866" t="s">
        <v>8246</v>
      </c>
      <c r="I2866" s="8">
        <v>1437139080</v>
      </c>
      <c r="J2866">
        <v>1434552207</v>
      </c>
      <c r="K2866" t="b">
        <v>0</v>
      </c>
      <c r="L2866" s="10">
        <v>3</v>
      </c>
      <c r="M2866" t="b">
        <v>0</v>
      </c>
      <c r="N2866" t="s">
        <v>8269</v>
      </c>
      <c r="O2866" s="11">
        <f t="shared" si="180"/>
        <v>2</v>
      </c>
      <c r="P2866" s="12">
        <f t="shared" si="181"/>
        <v>13</v>
      </c>
      <c r="Q2866" s="14" t="s">
        <v>8314</v>
      </c>
      <c r="R2866" t="s">
        <v>8315</v>
      </c>
      <c r="S2866" s="17">
        <f t="shared" si="182"/>
        <v>42172.613506944443</v>
      </c>
      <c r="T2866" s="17">
        <f t="shared" si="183"/>
        <v>42202.554166666669</v>
      </c>
      <c r="U2866">
        <f>MONTH(Table1[[#This Row],[Launched]])</f>
        <v>6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8220</v>
      </c>
      <c r="G2867" t="s">
        <v>8223</v>
      </c>
      <c r="H2867" t="s">
        <v>8245</v>
      </c>
      <c r="I2867" s="8">
        <v>1420512259</v>
      </c>
      <c r="J2867">
        <v>1415328259</v>
      </c>
      <c r="K2867" t="b">
        <v>0</v>
      </c>
      <c r="L2867" s="10">
        <v>0</v>
      </c>
      <c r="M2867" t="b">
        <v>0</v>
      </c>
      <c r="N2867" t="s">
        <v>8269</v>
      </c>
      <c r="O2867" s="11">
        <f t="shared" si="180"/>
        <v>0</v>
      </c>
      <c r="P2867" s="12" t="str">
        <f t="shared" si="181"/>
        <v>No Backers</v>
      </c>
      <c r="Q2867" s="14" t="s">
        <v>8314</v>
      </c>
      <c r="R2867" t="s">
        <v>8315</v>
      </c>
      <c r="S2867" s="17">
        <f t="shared" si="182"/>
        <v>41950.114108796297</v>
      </c>
      <c r="T2867" s="17">
        <f t="shared" si="183"/>
        <v>42010.114108796297</v>
      </c>
      <c r="U2867">
        <f>MONTH(Table1[[#This Row],[Launched]])</f>
        <v>11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8220</v>
      </c>
      <c r="G2868" t="s">
        <v>8223</v>
      </c>
      <c r="H2868" t="s">
        <v>8245</v>
      </c>
      <c r="I2868" s="8">
        <v>1476482400</v>
      </c>
      <c r="J2868">
        <v>1473893721</v>
      </c>
      <c r="K2868" t="b">
        <v>0</v>
      </c>
      <c r="L2868" s="10">
        <v>2</v>
      </c>
      <c r="M2868" t="b">
        <v>0</v>
      </c>
      <c r="N2868" t="s">
        <v>8269</v>
      </c>
      <c r="O2868" s="11">
        <f t="shared" si="180"/>
        <v>1</v>
      </c>
      <c r="P2868" s="12">
        <f t="shared" si="181"/>
        <v>23</v>
      </c>
      <c r="Q2868" s="14" t="s">
        <v>8314</v>
      </c>
      <c r="R2868" t="s">
        <v>8315</v>
      </c>
      <c r="S2868" s="17">
        <f t="shared" si="182"/>
        <v>42627.955104166671</v>
      </c>
      <c r="T2868" s="17">
        <f t="shared" si="183"/>
        <v>42657.916666666672</v>
      </c>
      <c r="U2868">
        <f>MONTH(Table1[[#This Row],[Launched]])</f>
        <v>9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8220</v>
      </c>
      <c r="G2869" t="s">
        <v>8223</v>
      </c>
      <c r="H2869" t="s">
        <v>8245</v>
      </c>
      <c r="I2869" s="8">
        <v>1467604800</v>
      </c>
      <c r="J2869">
        <v>1465533672</v>
      </c>
      <c r="K2869" t="b">
        <v>0</v>
      </c>
      <c r="L2869" s="10">
        <v>10</v>
      </c>
      <c r="M2869" t="b">
        <v>0</v>
      </c>
      <c r="N2869" t="s">
        <v>8269</v>
      </c>
      <c r="O2869" s="11">
        <f t="shared" si="180"/>
        <v>20</v>
      </c>
      <c r="P2869" s="12">
        <f t="shared" si="181"/>
        <v>50</v>
      </c>
      <c r="Q2869" s="14" t="s">
        <v>8314</v>
      </c>
      <c r="R2869" t="s">
        <v>8315</v>
      </c>
      <c r="S2869" s="17">
        <f t="shared" si="182"/>
        <v>42531.195277777777</v>
      </c>
      <c r="T2869" s="17">
        <f t="shared" si="183"/>
        <v>42555.166666666672</v>
      </c>
      <c r="U2869">
        <f>MONTH(Table1[[#This Row],[Launched]])</f>
        <v>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 s="8">
        <v>1475697054</v>
      </c>
      <c r="J2870">
        <v>1473105054</v>
      </c>
      <c r="K2870" t="b">
        <v>0</v>
      </c>
      <c r="L2870" s="10">
        <v>60</v>
      </c>
      <c r="M2870" t="b">
        <v>0</v>
      </c>
      <c r="N2870" t="s">
        <v>8269</v>
      </c>
      <c r="O2870" s="11">
        <f t="shared" si="180"/>
        <v>42</v>
      </c>
      <c r="P2870" s="12">
        <f t="shared" si="181"/>
        <v>105</v>
      </c>
      <c r="Q2870" s="14" t="s">
        <v>8314</v>
      </c>
      <c r="R2870" t="s">
        <v>8315</v>
      </c>
      <c r="S2870" s="17">
        <f t="shared" si="182"/>
        <v>42618.827013888891</v>
      </c>
      <c r="T2870" s="17">
        <f t="shared" si="183"/>
        <v>42648.827013888891</v>
      </c>
      <c r="U2870">
        <f>MONTH(Table1[[#This Row],[Launched]])</f>
        <v>9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 s="8">
        <v>1468937681</v>
      </c>
      <c r="J2871">
        <v>1466345681</v>
      </c>
      <c r="K2871" t="b">
        <v>0</v>
      </c>
      <c r="L2871" s="10">
        <v>5</v>
      </c>
      <c r="M2871" t="b">
        <v>0</v>
      </c>
      <c r="N2871" t="s">
        <v>8269</v>
      </c>
      <c r="O2871" s="11">
        <f t="shared" si="180"/>
        <v>1</v>
      </c>
      <c r="P2871" s="12">
        <f t="shared" si="181"/>
        <v>35</v>
      </c>
      <c r="Q2871" s="14" t="s">
        <v>8314</v>
      </c>
      <c r="R2871" t="s">
        <v>8315</v>
      </c>
      <c r="S2871" s="17">
        <f t="shared" si="182"/>
        <v>42540.593530092592</v>
      </c>
      <c r="T2871" s="17">
        <f t="shared" si="183"/>
        <v>42570.593530092592</v>
      </c>
      <c r="U2871">
        <f>MONTH(Table1[[#This Row],[Launched]])</f>
        <v>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8220</v>
      </c>
      <c r="G2872" t="s">
        <v>8223</v>
      </c>
      <c r="H2872" t="s">
        <v>8245</v>
      </c>
      <c r="I2872" s="8">
        <v>1400301165</v>
      </c>
      <c r="J2872">
        <v>1397709165</v>
      </c>
      <c r="K2872" t="b">
        <v>0</v>
      </c>
      <c r="L2872" s="10">
        <v>9</v>
      </c>
      <c r="M2872" t="b">
        <v>0</v>
      </c>
      <c r="N2872" t="s">
        <v>8269</v>
      </c>
      <c r="O2872" s="11">
        <f t="shared" si="180"/>
        <v>15</v>
      </c>
      <c r="P2872" s="12">
        <f t="shared" si="181"/>
        <v>83</v>
      </c>
      <c r="Q2872" s="14" t="s">
        <v>8314</v>
      </c>
      <c r="R2872" t="s">
        <v>8315</v>
      </c>
      <c r="S2872" s="17">
        <f t="shared" si="182"/>
        <v>41746.189409722225</v>
      </c>
      <c r="T2872" s="17">
        <f t="shared" si="183"/>
        <v>41776.189409722225</v>
      </c>
      <c r="U2872">
        <f>MONTH(Table1[[#This Row],[Launched]])</f>
        <v>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 s="8">
        <v>1419183813</v>
      </c>
      <c r="J2873">
        <v>1417455813</v>
      </c>
      <c r="K2873" t="b">
        <v>0</v>
      </c>
      <c r="L2873" s="10">
        <v>13</v>
      </c>
      <c r="M2873" t="b">
        <v>0</v>
      </c>
      <c r="N2873" t="s">
        <v>8269</v>
      </c>
      <c r="O2873" s="11">
        <f t="shared" si="180"/>
        <v>5</v>
      </c>
      <c r="P2873" s="12">
        <f t="shared" si="181"/>
        <v>36</v>
      </c>
      <c r="Q2873" s="14" t="s">
        <v>8314</v>
      </c>
      <c r="R2873" t="s">
        <v>8315</v>
      </c>
      <c r="S2873" s="17">
        <f t="shared" si="182"/>
        <v>41974.738576388889</v>
      </c>
      <c r="T2873" s="17">
        <f t="shared" si="183"/>
        <v>41994.738576388889</v>
      </c>
      <c r="U2873">
        <f>MONTH(Table1[[#This Row],[Launched]])</f>
        <v>12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8220</v>
      </c>
      <c r="G2874" t="s">
        <v>8223</v>
      </c>
      <c r="H2874" t="s">
        <v>8245</v>
      </c>
      <c r="I2874" s="8">
        <v>1434768438</v>
      </c>
      <c r="J2874">
        <v>1429584438</v>
      </c>
      <c r="K2874" t="b">
        <v>0</v>
      </c>
      <c r="L2874" s="10">
        <v>0</v>
      </c>
      <c r="M2874" t="b">
        <v>0</v>
      </c>
      <c r="N2874" t="s">
        <v>8269</v>
      </c>
      <c r="O2874" s="11">
        <f t="shared" si="180"/>
        <v>0</v>
      </c>
      <c r="P2874" s="12" t="str">
        <f t="shared" si="181"/>
        <v>No Backers</v>
      </c>
      <c r="Q2874" s="14" t="s">
        <v>8314</v>
      </c>
      <c r="R2874" t="s">
        <v>8315</v>
      </c>
      <c r="S2874" s="17">
        <f t="shared" si="182"/>
        <v>42115.11618055556</v>
      </c>
      <c r="T2874" s="17">
        <f t="shared" si="183"/>
        <v>42175.11618055556</v>
      </c>
      <c r="U2874">
        <f>MONTH(Table1[[#This Row],[Launched]])</f>
        <v>4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8220</v>
      </c>
      <c r="G2875" t="s">
        <v>8223</v>
      </c>
      <c r="H2875" t="s">
        <v>8245</v>
      </c>
      <c r="I2875" s="8">
        <v>1422473831</v>
      </c>
      <c r="J2875">
        <v>1419881831</v>
      </c>
      <c r="K2875" t="b">
        <v>0</v>
      </c>
      <c r="L2875" s="10">
        <v>8</v>
      </c>
      <c r="M2875" t="b">
        <v>0</v>
      </c>
      <c r="N2875" t="s">
        <v>8269</v>
      </c>
      <c r="O2875" s="11">
        <f t="shared" si="180"/>
        <v>38</v>
      </c>
      <c r="P2875" s="12">
        <f t="shared" si="181"/>
        <v>119</v>
      </c>
      <c r="Q2875" s="14" t="s">
        <v>8314</v>
      </c>
      <c r="R2875" t="s">
        <v>8315</v>
      </c>
      <c r="S2875" s="17">
        <f t="shared" si="182"/>
        <v>42002.817488425921</v>
      </c>
      <c r="T2875" s="17">
        <f t="shared" si="183"/>
        <v>42032.817488425921</v>
      </c>
      <c r="U2875">
        <f>MONTH(Table1[[#This Row],[Launched]])</f>
        <v>12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8220</v>
      </c>
      <c r="G2876" t="s">
        <v>8223</v>
      </c>
      <c r="H2876" t="s">
        <v>8245</v>
      </c>
      <c r="I2876" s="8">
        <v>1484684186</v>
      </c>
      <c r="J2876">
        <v>1482092186</v>
      </c>
      <c r="K2876" t="b">
        <v>0</v>
      </c>
      <c r="L2876" s="10">
        <v>3</v>
      </c>
      <c r="M2876" t="b">
        <v>0</v>
      </c>
      <c r="N2876" t="s">
        <v>8269</v>
      </c>
      <c r="O2876" s="11">
        <f t="shared" si="180"/>
        <v>5</v>
      </c>
      <c r="P2876" s="12">
        <f t="shared" si="181"/>
        <v>90</v>
      </c>
      <c r="Q2876" s="14" t="s">
        <v>8314</v>
      </c>
      <c r="R2876" t="s">
        <v>8315</v>
      </c>
      <c r="S2876" s="17">
        <f t="shared" si="182"/>
        <v>42722.84474537037</v>
      </c>
      <c r="T2876" s="17">
        <f t="shared" si="183"/>
        <v>42752.84474537037</v>
      </c>
      <c r="U2876">
        <f>MONTH(Table1[[#This Row],[Launched]])</f>
        <v>12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8220</v>
      </c>
      <c r="G2877" t="s">
        <v>8223</v>
      </c>
      <c r="H2877" t="s">
        <v>8245</v>
      </c>
      <c r="I2877" s="8">
        <v>1462417493</v>
      </c>
      <c r="J2877">
        <v>1459825493</v>
      </c>
      <c r="K2877" t="b">
        <v>0</v>
      </c>
      <c r="L2877" s="10">
        <v>3</v>
      </c>
      <c r="M2877" t="b">
        <v>0</v>
      </c>
      <c r="N2877" t="s">
        <v>8269</v>
      </c>
      <c r="O2877" s="11">
        <f t="shared" si="180"/>
        <v>0</v>
      </c>
      <c r="P2877" s="12">
        <f t="shared" si="181"/>
        <v>2</v>
      </c>
      <c r="Q2877" s="14" t="s">
        <v>8314</v>
      </c>
      <c r="R2877" t="s">
        <v>8315</v>
      </c>
      <c r="S2877" s="17">
        <f t="shared" si="182"/>
        <v>42465.128391203703</v>
      </c>
      <c r="T2877" s="17">
        <f t="shared" si="183"/>
        <v>42495.128391203703</v>
      </c>
      <c r="U2877">
        <f>MONTH(Table1[[#This Row],[Launched]])</f>
        <v>4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8220</v>
      </c>
      <c r="G2878" t="s">
        <v>8223</v>
      </c>
      <c r="H2878" t="s">
        <v>8245</v>
      </c>
      <c r="I2878" s="8">
        <v>1437069079</v>
      </c>
      <c r="J2878">
        <v>1434477079</v>
      </c>
      <c r="K2878" t="b">
        <v>0</v>
      </c>
      <c r="L2878" s="10">
        <v>0</v>
      </c>
      <c r="M2878" t="b">
        <v>0</v>
      </c>
      <c r="N2878" t="s">
        <v>8269</v>
      </c>
      <c r="O2878" s="11">
        <f t="shared" si="180"/>
        <v>0</v>
      </c>
      <c r="P2878" s="12" t="str">
        <f t="shared" si="181"/>
        <v>No Backers</v>
      </c>
      <c r="Q2878" s="14" t="s">
        <v>8314</v>
      </c>
      <c r="R2878" t="s">
        <v>8315</v>
      </c>
      <c r="S2878" s="17">
        <f t="shared" si="182"/>
        <v>42171.743969907402</v>
      </c>
      <c r="T2878" s="17">
        <f t="shared" si="183"/>
        <v>42201.743969907402</v>
      </c>
      <c r="U2878">
        <f>MONTH(Table1[[#This Row],[Launched]])</f>
        <v>6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8220</v>
      </c>
      <c r="G2879" t="s">
        <v>8223</v>
      </c>
      <c r="H2879" t="s">
        <v>8245</v>
      </c>
      <c r="I2879" s="8">
        <v>1480525200</v>
      </c>
      <c r="J2879">
        <v>1477781724</v>
      </c>
      <c r="K2879" t="b">
        <v>0</v>
      </c>
      <c r="L2879" s="10">
        <v>6</v>
      </c>
      <c r="M2879" t="b">
        <v>0</v>
      </c>
      <c r="N2879" t="s">
        <v>8269</v>
      </c>
      <c r="O2879" s="11">
        <f t="shared" si="180"/>
        <v>11</v>
      </c>
      <c r="P2879" s="12">
        <f t="shared" si="181"/>
        <v>108</v>
      </c>
      <c r="Q2879" s="14" t="s">
        <v>8314</v>
      </c>
      <c r="R2879" t="s">
        <v>8315</v>
      </c>
      <c r="S2879" s="17">
        <f t="shared" si="182"/>
        <v>42672.955138888887</v>
      </c>
      <c r="T2879" s="17">
        <f t="shared" si="183"/>
        <v>42704.708333333328</v>
      </c>
      <c r="U2879">
        <f>MONTH(Table1[[#This Row],[Launched]])</f>
        <v>10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8220</v>
      </c>
      <c r="G2880" t="s">
        <v>8224</v>
      </c>
      <c r="H2880" t="s">
        <v>8246</v>
      </c>
      <c r="I2880" s="8">
        <v>1435934795</v>
      </c>
      <c r="J2880">
        <v>1430750795</v>
      </c>
      <c r="K2880" t="b">
        <v>0</v>
      </c>
      <c r="L2880" s="10">
        <v>4</v>
      </c>
      <c r="M2880" t="b">
        <v>0</v>
      </c>
      <c r="N2880" t="s">
        <v>8269</v>
      </c>
      <c r="O2880" s="11">
        <f t="shared" si="180"/>
        <v>2</v>
      </c>
      <c r="P2880" s="12">
        <f t="shared" si="181"/>
        <v>16</v>
      </c>
      <c r="Q2880" s="14" t="s">
        <v>8314</v>
      </c>
      <c r="R2880" t="s">
        <v>8315</v>
      </c>
      <c r="S2880" s="17">
        <f t="shared" si="182"/>
        <v>42128.615682870368</v>
      </c>
      <c r="T2880" s="17">
        <f t="shared" si="183"/>
        <v>42188.615682870368</v>
      </c>
      <c r="U2880">
        <f>MONTH(Table1[[#This Row],[Launched]])</f>
        <v>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8220</v>
      </c>
      <c r="G2881" t="s">
        <v>8223</v>
      </c>
      <c r="H2881" t="s">
        <v>8245</v>
      </c>
      <c r="I2881" s="8">
        <v>1453310661</v>
      </c>
      <c r="J2881">
        <v>1450718661</v>
      </c>
      <c r="K2881" t="b">
        <v>0</v>
      </c>
      <c r="L2881" s="10">
        <v>1</v>
      </c>
      <c r="M2881" t="b">
        <v>0</v>
      </c>
      <c r="N2881" t="s">
        <v>8269</v>
      </c>
      <c r="O2881" s="11">
        <f t="shared" si="180"/>
        <v>0</v>
      </c>
      <c r="P2881" s="12">
        <f t="shared" si="181"/>
        <v>29</v>
      </c>
      <c r="Q2881" s="14" t="s">
        <v>8314</v>
      </c>
      <c r="R2881" t="s">
        <v>8315</v>
      </c>
      <c r="S2881" s="17">
        <f t="shared" si="182"/>
        <v>42359.725243055553</v>
      </c>
      <c r="T2881" s="17">
        <f t="shared" si="183"/>
        <v>42389.725243055553</v>
      </c>
      <c r="U2881">
        <f>MONTH(Table1[[#This Row],[Launched]])</f>
        <v>12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 s="8">
        <v>1440090300</v>
      </c>
      <c r="J2882">
        <v>1436305452</v>
      </c>
      <c r="K2882" t="b">
        <v>0</v>
      </c>
      <c r="L2882" s="10">
        <v>29</v>
      </c>
      <c r="M2882" t="b">
        <v>0</v>
      </c>
      <c r="N2882" t="s">
        <v>8269</v>
      </c>
      <c r="O2882" s="11">
        <f t="shared" ref="O2882:O2945" si="184">ROUND(E2882/D2882*100,0)</f>
        <v>23</v>
      </c>
      <c r="P2882" s="12">
        <f t="shared" si="181"/>
        <v>97</v>
      </c>
      <c r="Q2882" s="14" t="s">
        <v>8314</v>
      </c>
      <c r="R2882" t="s">
        <v>8315</v>
      </c>
      <c r="S2882" s="17">
        <f t="shared" si="182"/>
        <v>42192.905694444446</v>
      </c>
      <c r="T2882" s="17">
        <f t="shared" si="183"/>
        <v>42236.711805555555</v>
      </c>
      <c r="U2882">
        <f>MONTH(Table1[[#This Row],[Launched]])</f>
        <v>7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8220</v>
      </c>
      <c r="G2883" t="s">
        <v>8223</v>
      </c>
      <c r="H2883" t="s">
        <v>8245</v>
      </c>
      <c r="I2883" s="8">
        <v>1417620036</v>
      </c>
      <c r="J2883">
        <v>1412432436</v>
      </c>
      <c r="K2883" t="b">
        <v>0</v>
      </c>
      <c r="L2883" s="10">
        <v>0</v>
      </c>
      <c r="M2883" t="b">
        <v>0</v>
      </c>
      <c r="N2883" t="s">
        <v>8269</v>
      </c>
      <c r="O2883" s="11">
        <f t="shared" si="184"/>
        <v>0</v>
      </c>
      <c r="P2883" s="12" t="str">
        <f t="shared" ref="P2883:P2946" si="185">IFERROR(ROUND(E2883/L2883,),"No Backers")</f>
        <v>No Backers</v>
      </c>
      <c r="Q2883" s="14" t="s">
        <v>8314</v>
      </c>
      <c r="R2883" t="s">
        <v>8315</v>
      </c>
      <c r="S2883" s="17">
        <f t="shared" ref="S2883:S2946" si="186">(((J2883/60)/60)/24)+DATE(1970,1,1)</f>
        <v>41916.597638888888</v>
      </c>
      <c r="T2883" s="17">
        <f t="shared" ref="T2883:T2946" si="187">(((I2883/60)/60)/24)+DATE(1970,1,1)</f>
        <v>41976.639305555553</v>
      </c>
      <c r="U2883">
        <f>MONTH(Table1[[#This Row],[Launched]])</f>
        <v>10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8220</v>
      </c>
      <c r="G2884" t="s">
        <v>8223</v>
      </c>
      <c r="H2884" t="s">
        <v>8245</v>
      </c>
      <c r="I2884" s="8">
        <v>1462112318</v>
      </c>
      <c r="J2884">
        <v>1459520318</v>
      </c>
      <c r="K2884" t="b">
        <v>0</v>
      </c>
      <c r="L2884" s="10">
        <v>4</v>
      </c>
      <c r="M2884" t="b">
        <v>0</v>
      </c>
      <c r="N2884" t="s">
        <v>8269</v>
      </c>
      <c r="O2884" s="11">
        <f t="shared" si="184"/>
        <v>34</v>
      </c>
      <c r="P2884" s="12">
        <f t="shared" si="185"/>
        <v>63</v>
      </c>
      <c r="Q2884" s="14" t="s">
        <v>8314</v>
      </c>
      <c r="R2884" t="s">
        <v>8315</v>
      </c>
      <c r="S2884" s="17">
        <f t="shared" si="186"/>
        <v>42461.596273148149</v>
      </c>
      <c r="T2884" s="17">
        <f t="shared" si="187"/>
        <v>42491.596273148149</v>
      </c>
      <c r="U2884">
        <f>MONTH(Table1[[#This Row],[Launched]])</f>
        <v>4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 s="8">
        <v>1454734740</v>
      </c>
      <c r="J2885">
        <v>1451684437</v>
      </c>
      <c r="K2885" t="b">
        <v>0</v>
      </c>
      <c r="L2885" s="10">
        <v>5</v>
      </c>
      <c r="M2885" t="b">
        <v>0</v>
      </c>
      <c r="N2885" t="s">
        <v>8269</v>
      </c>
      <c r="O2885" s="11">
        <f t="shared" si="184"/>
        <v>19</v>
      </c>
      <c r="P2885" s="12">
        <f t="shared" si="185"/>
        <v>382</v>
      </c>
      <c r="Q2885" s="14" t="s">
        <v>8314</v>
      </c>
      <c r="R2885" t="s">
        <v>8315</v>
      </c>
      <c r="S2885" s="17">
        <f t="shared" si="186"/>
        <v>42370.90320601852</v>
      </c>
      <c r="T2885" s="17">
        <f t="shared" si="187"/>
        <v>42406.207638888889</v>
      </c>
      <c r="U2885">
        <f>MONTH(Table1[[#This Row],[Launched]])</f>
        <v>1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 s="8">
        <v>1417800435</v>
      </c>
      <c r="J2886">
        <v>1415208435</v>
      </c>
      <c r="K2886" t="b">
        <v>0</v>
      </c>
      <c r="L2886" s="10">
        <v>4</v>
      </c>
      <c r="M2886" t="b">
        <v>0</v>
      </c>
      <c r="N2886" t="s">
        <v>8269</v>
      </c>
      <c r="O2886" s="11">
        <f t="shared" si="184"/>
        <v>0</v>
      </c>
      <c r="P2886" s="12">
        <f t="shared" si="185"/>
        <v>46</v>
      </c>
      <c r="Q2886" s="14" t="s">
        <v>8314</v>
      </c>
      <c r="R2886" t="s">
        <v>8315</v>
      </c>
      <c r="S2886" s="17">
        <f t="shared" si="186"/>
        <v>41948.727256944447</v>
      </c>
      <c r="T2886" s="17">
        <f t="shared" si="187"/>
        <v>41978.727256944447</v>
      </c>
      <c r="U2886">
        <f>MONTH(Table1[[#This Row],[Launched]])</f>
        <v>11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8220</v>
      </c>
      <c r="G2887" t="s">
        <v>8223</v>
      </c>
      <c r="H2887" t="s">
        <v>8245</v>
      </c>
      <c r="I2887" s="8">
        <v>1426294201</v>
      </c>
      <c r="J2887">
        <v>1423705801</v>
      </c>
      <c r="K2887" t="b">
        <v>0</v>
      </c>
      <c r="L2887" s="10">
        <v>5</v>
      </c>
      <c r="M2887" t="b">
        <v>0</v>
      </c>
      <c r="N2887" t="s">
        <v>8269</v>
      </c>
      <c r="O2887" s="11">
        <f t="shared" si="184"/>
        <v>33</v>
      </c>
      <c r="P2887" s="12">
        <f t="shared" si="185"/>
        <v>26</v>
      </c>
      <c r="Q2887" s="14" t="s">
        <v>8314</v>
      </c>
      <c r="R2887" t="s">
        <v>8315</v>
      </c>
      <c r="S2887" s="17">
        <f t="shared" si="186"/>
        <v>42047.07640046296</v>
      </c>
      <c r="T2887" s="17">
        <f t="shared" si="187"/>
        <v>42077.034733796296</v>
      </c>
      <c r="U2887">
        <f>MONTH(Table1[[#This Row],[Launched]])</f>
        <v>2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8220</v>
      </c>
      <c r="G2888" t="s">
        <v>8223</v>
      </c>
      <c r="H2888" t="s">
        <v>8245</v>
      </c>
      <c r="I2888" s="8">
        <v>1442635140</v>
      </c>
      <c r="J2888">
        <v>1442243484</v>
      </c>
      <c r="K2888" t="b">
        <v>0</v>
      </c>
      <c r="L2888" s="10">
        <v>1</v>
      </c>
      <c r="M2888" t="b">
        <v>0</v>
      </c>
      <c r="N2888" t="s">
        <v>8269</v>
      </c>
      <c r="O2888" s="11">
        <f t="shared" si="184"/>
        <v>5</v>
      </c>
      <c r="P2888" s="12">
        <f t="shared" si="185"/>
        <v>10</v>
      </c>
      <c r="Q2888" s="14" t="s">
        <v>8314</v>
      </c>
      <c r="R2888" t="s">
        <v>8315</v>
      </c>
      <c r="S2888" s="17">
        <f t="shared" si="186"/>
        <v>42261.632916666669</v>
      </c>
      <c r="T2888" s="17">
        <f t="shared" si="187"/>
        <v>42266.165972222225</v>
      </c>
      <c r="U2888">
        <f>MONTH(Table1[[#This Row],[Launched]])</f>
        <v>9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8220</v>
      </c>
      <c r="G2889" t="s">
        <v>8223</v>
      </c>
      <c r="H2889" t="s">
        <v>8245</v>
      </c>
      <c r="I2889" s="8">
        <v>1420971324</v>
      </c>
      <c r="J2889">
        <v>1418379324</v>
      </c>
      <c r="K2889" t="b">
        <v>0</v>
      </c>
      <c r="L2889" s="10">
        <v>1</v>
      </c>
      <c r="M2889" t="b">
        <v>0</v>
      </c>
      <c r="N2889" t="s">
        <v>8269</v>
      </c>
      <c r="O2889" s="11">
        <f t="shared" si="184"/>
        <v>0</v>
      </c>
      <c r="P2889" s="12">
        <f t="shared" si="185"/>
        <v>5</v>
      </c>
      <c r="Q2889" s="14" t="s">
        <v>8314</v>
      </c>
      <c r="R2889" t="s">
        <v>8315</v>
      </c>
      <c r="S2889" s="17">
        <f t="shared" si="186"/>
        <v>41985.427361111113</v>
      </c>
      <c r="T2889" s="17">
        <f t="shared" si="187"/>
        <v>42015.427361111113</v>
      </c>
      <c r="U2889">
        <f>MONTH(Table1[[#This Row],[Launched]])</f>
        <v>12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8220</v>
      </c>
      <c r="G2890" t="s">
        <v>8223</v>
      </c>
      <c r="H2890" t="s">
        <v>8245</v>
      </c>
      <c r="I2890" s="8">
        <v>1413608340</v>
      </c>
      <c r="J2890">
        <v>1412945440</v>
      </c>
      <c r="K2890" t="b">
        <v>0</v>
      </c>
      <c r="L2890" s="10">
        <v>0</v>
      </c>
      <c r="M2890" t="b">
        <v>0</v>
      </c>
      <c r="N2890" t="s">
        <v>8269</v>
      </c>
      <c r="O2890" s="11">
        <f t="shared" si="184"/>
        <v>0</v>
      </c>
      <c r="P2890" s="12" t="str">
        <f t="shared" si="185"/>
        <v>No Backers</v>
      </c>
      <c r="Q2890" s="14" t="s">
        <v>8314</v>
      </c>
      <c r="R2890" t="s">
        <v>8315</v>
      </c>
      <c r="S2890" s="17">
        <f t="shared" si="186"/>
        <v>41922.535185185188</v>
      </c>
      <c r="T2890" s="17">
        <f t="shared" si="187"/>
        <v>41930.207638888889</v>
      </c>
      <c r="U2890">
        <f>MONTH(Table1[[#This Row],[Launched]])</f>
        <v>10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 s="8">
        <v>1409344985</v>
      </c>
      <c r="J2891">
        <v>1406752985</v>
      </c>
      <c r="K2891" t="b">
        <v>0</v>
      </c>
      <c r="L2891" s="10">
        <v>14</v>
      </c>
      <c r="M2891" t="b">
        <v>0</v>
      </c>
      <c r="N2891" t="s">
        <v>8269</v>
      </c>
      <c r="O2891" s="11">
        <f t="shared" si="184"/>
        <v>38</v>
      </c>
      <c r="P2891" s="12">
        <f t="shared" si="185"/>
        <v>82</v>
      </c>
      <c r="Q2891" s="14" t="s">
        <v>8314</v>
      </c>
      <c r="R2891" t="s">
        <v>8315</v>
      </c>
      <c r="S2891" s="17">
        <f t="shared" si="186"/>
        <v>41850.863252314812</v>
      </c>
      <c r="T2891" s="17">
        <f t="shared" si="187"/>
        <v>41880.863252314812</v>
      </c>
      <c r="U2891">
        <f>MONTH(Table1[[#This Row],[Launched]])</f>
        <v>7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8220</v>
      </c>
      <c r="G2892" t="s">
        <v>8223</v>
      </c>
      <c r="H2892" t="s">
        <v>8245</v>
      </c>
      <c r="I2892" s="8">
        <v>1407553200</v>
      </c>
      <c r="J2892">
        <v>1405100992</v>
      </c>
      <c r="K2892" t="b">
        <v>0</v>
      </c>
      <c r="L2892" s="10">
        <v>3</v>
      </c>
      <c r="M2892" t="b">
        <v>0</v>
      </c>
      <c r="N2892" t="s">
        <v>8269</v>
      </c>
      <c r="O2892" s="11">
        <f t="shared" si="184"/>
        <v>1</v>
      </c>
      <c r="P2892" s="12">
        <f t="shared" si="185"/>
        <v>7</v>
      </c>
      <c r="Q2892" s="14" t="s">
        <v>8314</v>
      </c>
      <c r="R2892" t="s">
        <v>8315</v>
      </c>
      <c r="S2892" s="17">
        <f t="shared" si="186"/>
        <v>41831.742962962962</v>
      </c>
      <c r="T2892" s="17">
        <f t="shared" si="187"/>
        <v>41860.125</v>
      </c>
      <c r="U2892">
        <f>MONTH(Table1[[#This Row],[Launched]])</f>
        <v>7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 s="8">
        <v>1460751128</v>
      </c>
      <c r="J2893">
        <v>1455570728</v>
      </c>
      <c r="K2893" t="b">
        <v>0</v>
      </c>
      <c r="L2893" s="10">
        <v>10</v>
      </c>
      <c r="M2893" t="b">
        <v>0</v>
      </c>
      <c r="N2893" t="s">
        <v>8269</v>
      </c>
      <c r="O2893" s="11">
        <f t="shared" si="184"/>
        <v>3</v>
      </c>
      <c r="P2893" s="12">
        <f t="shared" si="185"/>
        <v>27</v>
      </c>
      <c r="Q2893" s="14" t="s">
        <v>8314</v>
      </c>
      <c r="R2893" t="s">
        <v>8315</v>
      </c>
      <c r="S2893" s="17">
        <f t="shared" si="186"/>
        <v>42415.883425925931</v>
      </c>
      <c r="T2893" s="17">
        <f t="shared" si="187"/>
        <v>42475.84175925926</v>
      </c>
      <c r="U2893">
        <f>MONTH(Table1[[#This Row],[Launched]])</f>
        <v>2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8220</v>
      </c>
      <c r="G2894" t="s">
        <v>8223</v>
      </c>
      <c r="H2894" t="s">
        <v>8245</v>
      </c>
      <c r="I2894" s="8">
        <v>1409000400</v>
      </c>
      <c r="J2894">
        <v>1408381704</v>
      </c>
      <c r="K2894" t="b">
        <v>0</v>
      </c>
      <c r="L2894" s="10">
        <v>17</v>
      </c>
      <c r="M2894" t="b">
        <v>0</v>
      </c>
      <c r="N2894" t="s">
        <v>8269</v>
      </c>
      <c r="O2894" s="11">
        <f t="shared" si="184"/>
        <v>9</v>
      </c>
      <c r="P2894" s="12">
        <f t="shared" si="185"/>
        <v>29</v>
      </c>
      <c r="Q2894" s="14" t="s">
        <v>8314</v>
      </c>
      <c r="R2894" t="s">
        <v>8315</v>
      </c>
      <c r="S2894" s="17">
        <f t="shared" si="186"/>
        <v>41869.714166666665</v>
      </c>
      <c r="T2894" s="17">
        <f t="shared" si="187"/>
        <v>41876.875</v>
      </c>
      <c r="U2894">
        <f>MONTH(Table1[[#This Row],[Launched]])</f>
        <v>8</v>
      </c>
    </row>
    <row r="2895" spans="1:21" ht="15.6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8220</v>
      </c>
      <c r="G2895" t="s">
        <v>8223</v>
      </c>
      <c r="H2895" t="s">
        <v>8245</v>
      </c>
      <c r="I2895" s="8">
        <v>1420768800</v>
      </c>
      <c r="J2895">
        <v>1415644395</v>
      </c>
      <c r="K2895" t="b">
        <v>0</v>
      </c>
      <c r="L2895" s="10">
        <v>2</v>
      </c>
      <c r="M2895" t="b">
        <v>0</v>
      </c>
      <c r="N2895" t="s">
        <v>8269</v>
      </c>
      <c r="O2895" s="11">
        <f t="shared" si="184"/>
        <v>1</v>
      </c>
      <c r="P2895" s="12">
        <f t="shared" si="185"/>
        <v>13</v>
      </c>
      <c r="Q2895" s="14" t="s">
        <v>8314</v>
      </c>
      <c r="R2895" t="s">
        <v>8315</v>
      </c>
      <c r="S2895" s="17">
        <f t="shared" si="186"/>
        <v>41953.773090277777</v>
      </c>
      <c r="T2895" s="17">
        <f t="shared" si="187"/>
        <v>42013.083333333328</v>
      </c>
      <c r="U2895">
        <f>MONTH(Table1[[#This Row],[Launched]])</f>
        <v>11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8220</v>
      </c>
      <c r="G2896" t="s">
        <v>8223</v>
      </c>
      <c r="H2896" t="s">
        <v>8245</v>
      </c>
      <c r="I2896" s="8">
        <v>1428100815</v>
      </c>
      <c r="J2896">
        <v>1422920415</v>
      </c>
      <c r="K2896" t="b">
        <v>0</v>
      </c>
      <c r="L2896" s="10">
        <v>0</v>
      </c>
      <c r="M2896" t="b">
        <v>0</v>
      </c>
      <c r="N2896" t="s">
        <v>8269</v>
      </c>
      <c r="O2896" s="11">
        <f t="shared" si="184"/>
        <v>0</v>
      </c>
      <c r="P2896" s="12" t="str">
        <f t="shared" si="185"/>
        <v>No Backers</v>
      </c>
      <c r="Q2896" s="14" t="s">
        <v>8314</v>
      </c>
      <c r="R2896" t="s">
        <v>8315</v>
      </c>
      <c r="S2896" s="17">
        <f t="shared" si="186"/>
        <v>42037.986284722225</v>
      </c>
      <c r="T2896" s="17">
        <f t="shared" si="187"/>
        <v>42097.944618055553</v>
      </c>
      <c r="U2896">
        <f>MONTH(Table1[[#This Row],[Launched]])</f>
        <v>2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8220</v>
      </c>
      <c r="G2897" t="s">
        <v>8223</v>
      </c>
      <c r="H2897" t="s">
        <v>8245</v>
      </c>
      <c r="I2897" s="8">
        <v>1403470800</v>
      </c>
      <c r="J2897">
        <v>1403356792</v>
      </c>
      <c r="K2897" t="b">
        <v>0</v>
      </c>
      <c r="L2897" s="10">
        <v>4</v>
      </c>
      <c r="M2897" t="b">
        <v>0</v>
      </c>
      <c r="N2897" t="s">
        <v>8269</v>
      </c>
      <c r="O2897" s="11">
        <f t="shared" si="184"/>
        <v>5</v>
      </c>
      <c r="P2897" s="12">
        <f t="shared" si="185"/>
        <v>6</v>
      </c>
      <c r="Q2897" s="14" t="s">
        <v>8314</v>
      </c>
      <c r="R2897" t="s">
        <v>8315</v>
      </c>
      <c r="S2897" s="17">
        <f t="shared" si="186"/>
        <v>41811.555462962962</v>
      </c>
      <c r="T2897" s="17">
        <f t="shared" si="187"/>
        <v>41812.875</v>
      </c>
      <c r="U2897">
        <f>MONTH(Table1[[#This Row],[Launched]])</f>
        <v>6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8220</v>
      </c>
      <c r="G2898" t="s">
        <v>8223</v>
      </c>
      <c r="H2898" t="s">
        <v>8245</v>
      </c>
      <c r="I2898" s="8">
        <v>1481522400</v>
      </c>
      <c r="J2898">
        <v>1480283321</v>
      </c>
      <c r="K2898" t="b">
        <v>0</v>
      </c>
      <c r="L2898" s="10">
        <v>12</v>
      </c>
      <c r="M2898" t="b">
        <v>0</v>
      </c>
      <c r="N2898" t="s">
        <v>8269</v>
      </c>
      <c r="O2898" s="11">
        <f t="shared" si="184"/>
        <v>21</v>
      </c>
      <c r="P2898" s="12">
        <f t="shared" si="185"/>
        <v>52</v>
      </c>
      <c r="Q2898" s="14" t="s">
        <v>8314</v>
      </c>
      <c r="R2898" t="s">
        <v>8315</v>
      </c>
      <c r="S2898" s="17">
        <f t="shared" si="186"/>
        <v>42701.908807870372</v>
      </c>
      <c r="T2898" s="17">
        <f t="shared" si="187"/>
        <v>42716.25</v>
      </c>
      <c r="U2898">
        <f>MONTH(Table1[[#This Row],[Launched]])</f>
        <v>11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 s="8">
        <v>1444577345</v>
      </c>
      <c r="J2899">
        <v>1441985458</v>
      </c>
      <c r="K2899" t="b">
        <v>0</v>
      </c>
      <c r="L2899" s="10">
        <v>3</v>
      </c>
      <c r="M2899" t="b">
        <v>0</v>
      </c>
      <c r="N2899" t="s">
        <v>8269</v>
      </c>
      <c r="O2899" s="11">
        <f t="shared" si="184"/>
        <v>5</v>
      </c>
      <c r="P2899" s="12">
        <f t="shared" si="185"/>
        <v>183</v>
      </c>
      <c r="Q2899" s="14" t="s">
        <v>8314</v>
      </c>
      <c r="R2899" t="s">
        <v>8315</v>
      </c>
      <c r="S2899" s="17">
        <f t="shared" si="186"/>
        <v>42258.646504629629</v>
      </c>
      <c r="T2899" s="17">
        <f t="shared" si="187"/>
        <v>42288.645196759258</v>
      </c>
      <c r="U2899">
        <f>MONTH(Table1[[#This Row],[Launched]])</f>
        <v>9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8220</v>
      </c>
      <c r="G2900" t="s">
        <v>8223</v>
      </c>
      <c r="H2900" t="s">
        <v>8245</v>
      </c>
      <c r="I2900" s="8">
        <v>1446307053</v>
      </c>
      <c r="J2900">
        <v>1443715053</v>
      </c>
      <c r="K2900" t="b">
        <v>0</v>
      </c>
      <c r="L2900" s="10">
        <v>12</v>
      </c>
      <c r="M2900" t="b">
        <v>0</v>
      </c>
      <c r="N2900" t="s">
        <v>8269</v>
      </c>
      <c r="O2900" s="11">
        <f t="shared" si="184"/>
        <v>4</v>
      </c>
      <c r="P2900" s="12">
        <f t="shared" si="185"/>
        <v>26</v>
      </c>
      <c r="Q2900" s="14" t="s">
        <v>8314</v>
      </c>
      <c r="R2900" t="s">
        <v>8315</v>
      </c>
      <c r="S2900" s="17">
        <f t="shared" si="186"/>
        <v>42278.664965277778</v>
      </c>
      <c r="T2900" s="17">
        <f t="shared" si="187"/>
        <v>42308.664965277778</v>
      </c>
      <c r="U2900">
        <f>MONTH(Table1[[#This Row],[Launched]])</f>
        <v>10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8220</v>
      </c>
      <c r="G2901" t="s">
        <v>8223</v>
      </c>
      <c r="H2901" t="s">
        <v>8245</v>
      </c>
      <c r="I2901" s="8">
        <v>1469325158</v>
      </c>
      <c r="J2901">
        <v>1464141158</v>
      </c>
      <c r="K2901" t="b">
        <v>0</v>
      </c>
      <c r="L2901" s="10">
        <v>0</v>
      </c>
      <c r="M2901" t="b">
        <v>0</v>
      </c>
      <c r="N2901" t="s">
        <v>8269</v>
      </c>
      <c r="O2901" s="11">
        <f t="shared" si="184"/>
        <v>0</v>
      </c>
      <c r="P2901" s="12" t="str">
        <f t="shared" si="185"/>
        <v>No Backers</v>
      </c>
      <c r="Q2901" s="14" t="s">
        <v>8314</v>
      </c>
      <c r="R2901" t="s">
        <v>8315</v>
      </c>
      <c r="S2901" s="17">
        <f t="shared" si="186"/>
        <v>42515.078217592592</v>
      </c>
      <c r="T2901" s="17">
        <f t="shared" si="187"/>
        <v>42575.078217592592</v>
      </c>
      <c r="U2901">
        <f>MONTH(Table1[[#This Row],[Launched]])</f>
        <v>5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 s="8">
        <v>1407562632</v>
      </c>
      <c r="J2902">
        <v>1404970632</v>
      </c>
      <c r="K2902" t="b">
        <v>0</v>
      </c>
      <c r="L2902" s="10">
        <v>7</v>
      </c>
      <c r="M2902" t="b">
        <v>0</v>
      </c>
      <c r="N2902" t="s">
        <v>8269</v>
      </c>
      <c r="O2902" s="11">
        <f t="shared" si="184"/>
        <v>62</v>
      </c>
      <c r="P2902" s="12">
        <f t="shared" si="185"/>
        <v>486</v>
      </c>
      <c r="Q2902" s="14" t="s">
        <v>8314</v>
      </c>
      <c r="R2902" t="s">
        <v>8315</v>
      </c>
      <c r="S2902" s="17">
        <f t="shared" si="186"/>
        <v>41830.234166666669</v>
      </c>
      <c r="T2902" s="17">
        <f t="shared" si="187"/>
        <v>41860.234166666669</v>
      </c>
      <c r="U2902">
        <f>MONTH(Table1[[#This Row],[Launched]])</f>
        <v>7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8220</v>
      </c>
      <c r="G2903" t="s">
        <v>8223</v>
      </c>
      <c r="H2903" t="s">
        <v>8245</v>
      </c>
      <c r="I2903" s="8">
        <v>1423345339</v>
      </c>
      <c r="J2903">
        <v>1418161339</v>
      </c>
      <c r="K2903" t="b">
        <v>0</v>
      </c>
      <c r="L2903" s="10">
        <v>2</v>
      </c>
      <c r="M2903" t="b">
        <v>0</v>
      </c>
      <c r="N2903" t="s">
        <v>8269</v>
      </c>
      <c r="O2903" s="11">
        <f t="shared" si="184"/>
        <v>1</v>
      </c>
      <c r="P2903" s="12">
        <f t="shared" si="185"/>
        <v>3</v>
      </c>
      <c r="Q2903" s="14" t="s">
        <v>8314</v>
      </c>
      <c r="R2903" t="s">
        <v>8315</v>
      </c>
      <c r="S2903" s="17">
        <f t="shared" si="186"/>
        <v>41982.904386574075</v>
      </c>
      <c r="T2903" s="17">
        <f t="shared" si="187"/>
        <v>42042.904386574075</v>
      </c>
      <c r="U2903">
        <f>MONTH(Table1[[#This Row],[Launched]])</f>
        <v>12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 s="8">
        <v>1440412396</v>
      </c>
      <c r="J2904">
        <v>1437820396</v>
      </c>
      <c r="K2904" t="b">
        <v>0</v>
      </c>
      <c r="L2904" s="10">
        <v>1</v>
      </c>
      <c r="M2904" t="b">
        <v>0</v>
      </c>
      <c r="N2904" t="s">
        <v>8269</v>
      </c>
      <c r="O2904" s="11">
        <f t="shared" si="184"/>
        <v>0</v>
      </c>
      <c r="P2904" s="12">
        <f t="shared" si="185"/>
        <v>25</v>
      </c>
      <c r="Q2904" s="14" t="s">
        <v>8314</v>
      </c>
      <c r="R2904" t="s">
        <v>8315</v>
      </c>
      <c r="S2904" s="17">
        <f t="shared" si="186"/>
        <v>42210.439768518518</v>
      </c>
      <c r="T2904" s="17">
        <f t="shared" si="187"/>
        <v>42240.439768518518</v>
      </c>
      <c r="U2904">
        <f>MONTH(Table1[[#This Row],[Launched]])</f>
        <v>7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8220</v>
      </c>
      <c r="G2905" t="s">
        <v>8223</v>
      </c>
      <c r="H2905" t="s">
        <v>8245</v>
      </c>
      <c r="I2905" s="8">
        <v>1441771218</v>
      </c>
      <c r="J2905">
        <v>1436587218</v>
      </c>
      <c r="K2905" t="b">
        <v>0</v>
      </c>
      <c r="L2905" s="10">
        <v>4</v>
      </c>
      <c r="M2905" t="b">
        <v>0</v>
      </c>
      <c r="N2905" t="s">
        <v>8269</v>
      </c>
      <c r="O2905" s="11">
        <f t="shared" si="184"/>
        <v>1</v>
      </c>
      <c r="P2905" s="12">
        <f t="shared" si="185"/>
        <v>10</v>
      </c>
      <c r="Q2905" s="14" t="s">
        <v>8314</v>
      </c>
      <c r="R2905" t="s">
        <v>8315</v>
      </c>
      <c r="S2905" s="17">
        <f t="shared" si="186"/>
        <v>42196.166874999995</v>
      </c>
      <c r="T2905" s="17">
        <f t="shared" si="187"/>
        <v>42256.166874999995</v>
      </c>
      <c r="U2905">
        <f>MONTH(Table1[[#This Row],[Launched]])</f>
        <v>7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8220</v>
      </c>
      <c r="G2906" t="s">
        <v>8224</v>
      </c>
      <c r="H2906" t="s">
        <v>8246</v>
      </c>
      <c r="I2906" s="8">
        <v>1415534400</v>
      </c>
      <c r="J2906">
        <v>1414538031</v>
      </c>
      <c r="K2906" t="b">
        <v>0</v>
      </c>
      <c r="L2906" s="10">
        <v>4</v>
      </c>
      <c r="M2906" t="b">
        <v>0</v>
      </c>
      <c r="N2906" t="s">
        <v>8269</v>
      </c>
      <c r="O2906" s="11">
        <f t="shared" si="184"/>
        <v>5</v>
      </c>
      <c r="P2906" s="12">
        <f t="shared" si="185"/>
        <v>19</v>
      </c>
      <c r="Q2906" s="14" t="s">
        <v>8314</v>
      </c>
      <c r="R2906" t="s">
        <v>8315</v>
      </c>
      <c r="S2906" s="17">
        <f t="shared" si="186"/>
        <v>41940.967951388891</v>
      </c>
      <c r="T2906" s="17">
        <f t="shared" si="187"/>
        <v>41952.5</v>
      </c>
      <c r="U2906">
        <f>MONTH(Table1[[#This Row],[Launched]])</f>
        <v>10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8220</v>
      </c>
      <c r="G2907" t="s">
        <v>8223</v>
      </c>
      <c r="H2907" t="s">
        <v>8245</v>
      </c>
      <c r="I2907" s="8">
        <v>1473211313</v>
      </c>
      <c r="J2907">
        <v>1472001713</v>
      </c>
      <c r="K2907" t="b">
        <v>0</v>
      </c>
      <c r="L2907" s="10">
        <v>17</v>
      </c>
      <c r="M2907" t="b">
        <v>0</v>
      </c>
      <c r="N2907" t="s">
        <v>8269</v>
      </c>
      <c r="O2907" s="11">
        <f t="shared" si="184"/>
        <v>18</v>
      </c>
      <c r="P2907" s="12">
        <f t="shared" si="185"/>
        <v>37</v>
      </c>
      <c r="Q2907" s="14" t="s">
        <v>8314</v>
      </c>
      <c r="R2907" t="s">
        <v>8315</v>
      </c>
      <c r="S2907" s="17">
        <f t="shared" si="186"/>
        <v>42606.056863425925</v>
      </c>
      <c r="T2907" s="17">
        <f t="shared" si="187"/>
        <v>42620.056863425925</v>
      </c>
      <c r="U2907">
        <f>MONTH(Table1[[#This Row],[Launched]])</f>
        <v>8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8220</v>
      </c>
      <c r="G2908" t="s">
        <v>8223</v>
      </c>
      <c r="H2908" t="s">
        <v>8245</v>
      </c>
      <c r="I2908" s="8">
        <v>1438390800</v>
      </c>
      <c r="J2908">
        <v>1436888066</v>
      </c>
      <c r="K2908" t="b">
        <v>0</v>
      </c>
      <c r="L2908" s="10">
        <v>7</v>
      </c>
      <c r="M2908" t="b">
        <v>0</v>
      </c>
      <c r="N2908" t="s">
        <v>8269</v>
      </c>
      <c r="O2908" s="11">
        <f t="shared" si="184"/>
        <v>9</v>
      </c>
      <c r="P2908" s="12">
        <f t="shared" si="185"/>
        <v>81</v>
      </c>
      <c r="Q2908" s="14" t="s">
        <v>8314</v>
      </c>
      <c r="R2908" t="s">
        <v>8315</v>
      </c>
      <c r="S2908" s="17">
        <f t="shared" si="186"/>
        <v>42199.648912037039</v>
      </c>
      <c r="T2908" s="17">
        <f t="shared" si="187"/>
        <v>42217.041666666672</v>
      </c>
      <c r="U2908">
        <f>MONTH(Table1[[#This Row],[Launched]])</f>
        <v>7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8220</v>
      </c>
      <c r="G2909" t="s">
        <v>8223</v>
      </c>
      <c r="H2909" t="s">
        <v>8245</v>
      </c>
      <c r="I2909" s="8">
        <v>1463259837</v>
      </c>
      <c r="J2909">
        <v>1458075837</v>
      </c>
      <c r="K2909" t="b">
        <v>0</v>
      </c>
      <c r="L2909" s="10">
        <v>2</v>
      </c>
      <c r="M2909" t="b">
        <v>0</v>
      </c>
      <c r="N2909" t="s">
        <v>8269</v>
      </c>
      <c r="O2909" s="11">
        <f t="shared" si="184"/>
        <v>0</v>
      </c>
      <c r="P2909" s="12">
        <f t="shared" si="185"/>
        <v>1</v>
      </c>
      <c r="Q2909" s="14" t="s">
        <v>8314</v>
      </c>
      <c r="R2909" t="s">
        <v>8315</v>
      </c>
      <c r="S2909" s="17">
        <f t="shared" si="186"/>
        <v>42444.877743055549</v>
      </c>
      <c r="T2909" s="17">
        <f t="shared" si="187"/>
        <v>42504.877743055549</v>
      </c>
      <c r="U2909">
        <f>MONTH(Table1[[#This Row],[Launched]])</f>
        <v>3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8220</v>
      </c>
      <c r="G2910" t="s">
        <v>8223</v>
      </c>
      <c r="H2910" t="s">
        <v>8245</v>
      </c>
      <c r="I2910" s="8">
        <v>1465407219</v>
      </c>
      <c r="J2910">
        <v>1462815219</v>
      </c>
      <c r="K2910" t="b">
        <v>0</v>
      </c>
      <c r="L2910" s="10">
        <v>5</v>
      </c>
      <c r="M2910" t="b">
        <v>0</v>
      </c>
      <c r="N2910" t="s">
        <v>8269</v>
      </c>
      <c r="O2910" s="11">
        <f t="shared" si="184"/>
        <v>3</v>
      </c>
      <c r="P2910" s="12">
        <f t="shared" si="185"/>
        <v>53</v>
      </c>
      <c r="Q2910" s="14" t="s">
        <v>8314</v>
      </c>
      <c r="R2910" t="s">
        <v>8315</v>
      </c>
      <c r="S2910" s="17">
        <f t="shared" si="186"/>
        <v>42499.731701388882</v>
      </c>
      <c r="T2910" s="17">
        <f t="shared" si="187"/>
        <v>42529.731701388882</v>
      </c>
      <c r="U2910">
        <f>MONTH(Table1[[#This Row],[Launched]])</f>
        <v>5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 s="8">
        <v>1416944760</v>
      </c>
      <c r="J2911">
        <v>1413527001</v>
      </c>
      <c r="K2911" t="b">
        <v>0</v>
      </c>
      <c r="L2911" s="10">
        <v>1</v>
      </c>
      <c r="M2911" t="b">
        <v>0</v>
      </c>
      <c r="N2911" t="s">
        <v>8269</v>
      </c>
      <c r="O2911" s="11">
        <f t="shared" si="184"/>
        <v>0</v>
      </c>
      <c r="P2911" s="12">
        <f t="shared" si="185"/>
        <v>20</v>
      </c>
      <c r="Q2911" s="14" t="s">
        <v>8314</v>
      </c>
      <c r="R2911" t="s">
        <v>8315</v>
      </c>
      <c r="S2911" s="17">
        <f t="shared" si="186"/>
        <v>41929.266215277778</v>
      </c>
      <c r="T2911" s="17">
        <f t="shared" si="187"/>
        <v>41968.823611111111</v>
      </c>
      <c r="U2911">
        <f>MONTH(Table1[[#This Row],[Launched]])</f>
        <v>10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8220</v>
      </c>
      <c r="G2912" t="s">
        <v>8224</v>
      </c>
      <c r="H2912" t="s">
        <v>8246</v>
      </c>
      <c r="I2912" s="8">
        <v>1434139887</v>
      </c>
      <c r="J2912">
        <v>1428955887</v>
      </c>
      <c r="K2912" t="b">
        <v>0</v>
      </c>
      <c r="L2912" s="10">
        <v>1</v>
      </c>
      <c r="M2912" t="b">
        <v>0</v>
      </c>
      <c r="N2912" t="s">
        <v>8269</v>
      </c>
      <c r="O2912" s="11">
        <f t="shared" si="184"/>
        <v>0</v>
      </c>
      <c r="P2912" s="12">
        <f t="shared" si="185"/>
        <v>1</v>
      </c>
      <c r="Q2912" s="14" t="s">
        <v>8314</v>
      </c>
      <c r="R2912" t="s">
        <v>8315</v>
      </c>
      <c r="S2912" s="17">
        <f t="shared" si="186"/>
        <v>42107.841284722221</v>
      </c>
      <c r="T2912" s="17">
        <f t="shared" si="187"/>
        <v>42167.841284722221</v>
      </c>
      <c r="U2912">
        <f>MONTH(Table1[[#This Row],[Launched]])</f>
        <v>4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8220</v>
      </c>
      <c r="G2913" t="s">
        <v>8223</v>
      </c>
      <c r="H2913" t="s">
        <v>8245</v>
      </c>
      <c r="I2913" s="8">
        <v>1435429626</v>
      </c>
      <c r="J2913">
        <v>1431973626</v>
      </c>
      <c r="K2913" t="b">
        <v>0</v>
      </c>
      <c r="L2913" s="10">
        <v>14</v>
      </c>
      <c r="M2913" t="b">
        <v>0</v>
      </c>
      <c r="N2913" t="s">
        <v>8269</v>
      </c>
      <c r="O2913" s="11">
        <f t="shared" si="184"/>
        <v>37</v>
      </c>
      <c r="P2913" s="12">
        <f t="shared" si="185"/>
        <v>47</v>
      </c>
      <c r="Q2913" s="14" t="s">
        <v>8314</v>
      </c>
      <c r="R2913" t="s">
        <v>8315</v>
      </c>
      <c r="S2913" s="17">
        <f t="shared" si="186"/>
        <v>42142.768819444449</v>
      </c>
      <c r="T2913" s="17">
        <f t="shared" si="187"/>
        <v>42182.768819444449</v>
      </c>
      <c r="U2913">
        <f>MONTH(Table1[[#This Row],[Launched]])</f>
        <v>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 s="8">
        <v>1452827374</v>
      </c>
      <c r="J2914">
        <v>1450235374</v>
      </c>
      <c r="K2914" t="b">
        <v>0</v>
      </c>
      <c r="L2914" s="10">
        <v>26</v>
      </c>
      <c r="M2914" t="b">
        <v>0</v>
      </c>
      <c r="N2914" t="s">
        <v>8269</v>
      </c>
      <c r="O2914" s="11">
        <f t="shared" si="184"/>
        <v>14</v>
      </c>
      <c r="P2914" s="12">
        <f t="shared" si="185"/>
        <v>78</v>
      </c>
      <c r="Q2914" s="14" t="s">
        <v>8314</v>
      </c>
      <c r="R2914" t="s">
        <v>8315</v>
      </c>
      <c r="S2914" s="17">
        <f t="shared" si="186"/>
        <v>42354.131643518514</v>
      </c>
      <c r="T2914" s="17">
        <f t="shared" si="187"/>
        <v>42384.131643518514</v>
      </c>
      <c r="U2914">
        <f>MONTH(Table1[[#This Row],[Launched]])</f>
        <v>12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8220</v>
      </c>
      <c r="G2915" t="s">
        <v>8223</v>
      </c>
      <c r="H2915" t="s">
        <v>8245</v>
      </c>
      <c r="I2915" s="8">
        <v>1410041339</v>
      </c>
      <c r="J2915">
        <v>1404857339</v>
      </c>
      <c r="K2915" t="b">
        <v>0</v>
      </c>
      <c r="L2915" s="10">
        <v>2</v>
      </c>
      <c r="M2915" t="b">
        <v>0</v>
      </c>
      <c r="N2915" t="s">
        <v>8269</v>
      </c>
      <c r="O2915" s="11">
        <f t="shared" si="184"/>
        <v>0</v>
      </c>
      <c r="P2915" s="12">
        <f t="shared" si="185"/>
        <v>1</v>
      </c>
      <c r="Q2915" s="14" t="s">
        <v>8314</v>
      </c>
      <c r="R2915" t="s">
        <v>8315</v>
      </c>
      <c r="S2915" s="17">
        <f t="shared" si="186"/>
        <v>41828.922905092593</v>
      </c>
      <c r="T2915" s="17">
        <f t="shared" si="187"/>
        <v>41888.922905092593</v>
      </c>
      <c r="U2915">
        <f>MONTH(Table1[[#This Row],[Launched]])</f>
        <v>7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8220</v>
      </c>
      <c r="G2916" t="s">
        <v>8224</v>
      </c>
      <c r="H2916" t="s">
        <v>8246</v>
      </c>
      <c r="I2916" s="8">
        <v>1426365994</v>
      </c>
      <c r="J2916">
        <v>1421185594</v>
      </c>
      <c r="K2916" t="b">
        <v>0</v>
      </c>
      <c r="L2916" s="10">
        <v>1</v>
      </c>
      <c r="M2916" t="b">
        <v>0</v>
      </c>
      <c r="N2916" t="s">
        <v>8269</v>
      </c>
      <c r="O2916" s="11">
        <f t="shared" si="184"/>
        <v>0</v>
      </c>
      <c r="P2916" s="12">
        <f t="shared" si="185"/>
        <v>1</v>
      </c>
      <c r="Q2916" s="14" t="s">
        <v>8314</v>
      </c>
      <c r="R2916" t="s">
        <v>8315</v>
      </c>
      <c r="S2916" s="17">
        <f t="shared" si="186"/>
        <v>42017.907337962963</v>
      </c>
      <c r="T2916" s="17">
        <f t="shared" si="187"/>
        <v>42077.865671296298</v>
      </c>
      <c r="U2916">
        <f>MONTH(Table1[[#This Row],[Launched]])</f>
        <v>1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8220</v>
      </c>
      <c r="G2917" t="s">
        <v>8224</v>
      </c>
      <c r="H2917" t="s">
        <v>8246</v>
      </c>
      <c r="I2917" s="8">
        <v>1458117190</v>
      </c>
      <c r="J2917">
        <v>1455528790</v>
      </c>
      <c r="K2917" t="b">
        <v>0</v>
      </c>
      <c r="L2917" s="10">
        <v>3</v>
      </c>
      <c r="M2917" t="b">
        <v>0</v>
      </c>
      <c r="N2917" t="s">
        <v>8269</v>
      </c>
      <c r="O2917" s="11">
        <f t="shared" si="184"/>
        <v>61</v>
      </c>
      <c r="P2917" s="12">
        <f t="shared" si="185"/>
        <v>204</v>
      </c>
      <c r="Q2917" s="14" t="s">
        <v>8314</v>
      </c>
      <c r="R2917" t="s">
        <v>8315</v>
      </c>
      <c r="S2917" s="17">
        <f t="shared" si="186"/>
        <v>42415.398032407407</v>
      </c>
      <c r="T2917" s="17">
        <f t="shared" si="187"/>
        <v>42445.356365740736</v>
      </c>
      <c r="U2917">
        <f>MONTH(Table1[[#This Row],[Launched]])</f>
        <v>2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8220</v>
      </c>
      <c r="G2918" t="s">
        <v>8224</v>
      </c>
      <c r="H2918" t="s">
        <v>8246</v>
      </c>
      <c r="I2918" s="8">
        <v>1400498789</v>
      </c>
      <c r="J2918">
        <v>1398511589</v>
      </c>
      <c r="K2918" t="b">
        <v>0</v>
      </c>
      <c r="L2918" s="10">
        <v>7</v>
      </c>
      <c r="M2918" t="b">
        <v>0</v>
      </c>
      <c r="N2918" t="s">
        <v>8269</v>
      </c>
      <c r="O2918" s="11">
        <f t="shared" si="184"/>
        <v>8</v>
      </c>
      <c r="P2918" s="12">
        <f t="shared" si="185"/>
        <v>21</v>
      </c>
      <c r="Q2918" s="14" t="s">
        <v>8314</v>
      </c>
      <c r="R2918" t="s">
        <v>8315</v>
      </c>
      <c r="S2918" s="17">
        <f t="shared" si="186"/>
        <v>41755.476724537039</v>
      </c>
      <c r="T2918" s="17">
        <f t="shared" si="187"/>
        <v>41778.476724537039</v>
      </c>
      <c r="U2918">
        <f>MONTH(Table1[[#This Row],[Launched]])</f>
        <v>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8220</v>
      </c>
      <c r="G2919" t="s">
        <v>8223</v>
      </c>
      <c r="H2919" t="s">
        <v>8245</v>
      </c>
      <c r="I2919" s="8">
        <v>1442381847</v>
      </c>
      <c r="J2919">
        <v>1440826647</v>
      </c>
      <c r="K2919" t="b">
        <v>0</v>
      </c>
      <c r="L2919" s="10">
        <v>9</v>
      </c>
      <c r="M2919" t="b">
        <v>0</v>
      </c>
      <c r="N2919" t="s">
        <v>8269</v>
      </c>
      <c r="O2919" s="11">
        <f t="shared" si="184"/>
        <v>22</v>
      </c>
      <c r="P2919" s="12">
        <f t="shared" si="185"/>
        <v>49</v>
      </c>
      <c r="Q2919" s="14" t="s">
        <v>8314</v>
      </c>
      <c r="R2919" t="s">
        <v>8315</v>
      </c>
      <c r="S2919" s="17">
        <f t="shared" si="186"/>
        <v>42245.234340277777</v>
      </c>
      <c r="T2919" s="17">
        <f t="shared" si="187"/>
        <v>42263.234340277777</v>
      </c>
      <c r="U2919">
        <f>MONTH(Table1[[#This Row],[Launched]])</f>
        <v>8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 s="8">
        <v>1446131207</v>
      </c>
      <c r="J2920">
        <v>1443712007</v>
      </c>
      <c r="K2920" t="b">
        <v>0</v>
      </c>
      <c r="L2920" s="10">
        <v>20</v>
      </c>
      <c r="M2920" t="b">
        <v>0</v>
      </c>
      <c r="N2920" t="s">
        <v>8269</v>
      </c>
      <c r="O2920" s="11">
        <f t="shared" si="184"/>
        <v>27</v>
      </c>
      <c r="P2920" s="12">
        <f t="shared" si="185"/>
        <v>68</v>
      </c>
      <c r="Q2920" s="14" t="s">
        <v>8314</v>
      </c>
      <c r="R2920" t="s">
        <v>8315</v>
      </c>
      <c r="S2920" s="17">
        <f t="shared" si="186"/>
        <v>42278.629710648151</v>
      </c>
      <c r="T2920" s="17">
        <f t="shared" si="187"/>
        <v>42306.629710648151</v>
      </c>
      <c r="U2920">
        <f>MONTH(Table1[[#This Row],[Launched]])</f>
        <v>10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8220</v>
      </c>
      <c r="G2921" t="s">
        <v>8223</v>
      </c>
      <c r="H2921" t="s">
        <v>8245</v>
      </c>
      <c r="I2921" s="8">
        <v>1407250329</v>
      </c>
      <c r="J2921">
        <v>1404658329</v>
      </c>
      <c r="K2921" t="b">
        <v>0</v>
      </c>
      <c r="L2921" s="10">
        <v>6</v>
      </c>
      <c r="M2921" t="b">
        <v>0</v>
      </c>
      <c r="N2921" t="s">
        <v>8269</v>
      </c>
      <c r="O2921" s="11">
        <f t="shared" si="184"/>
        <v>9</v>
      </c>
      <c r="P2921" s="12">
        <f t="shared" si="185"/>
        <v>9</v>
      </c>
      <c r="Q2921" s="14" t="s">
        <v>8314</v>
      </c>
      <c r="R2921" t="s">
        <v>8315</v>
      </c>
      <c r="S2921" s="17">
        <f t="shared" si="186"/>
        <v>41826.61954861111</v>
      </c>
      <c r="T2921" s="17">
        <f t="shared" si="187"/>
        <v>41856.61954861111</v>
      </c>
      <c r="U2921">
        <f>MONTH(Table1[[#This Row],[Launched]])</f>
        <v>7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8220</v>
      </c>
      <c r="G2922" t="s">
        <v>8228</v>
      </c>
      <c r="H2922" t="s">
        <v>8250</v>
      </c>
      <c r="I2922" s="8">
        <v>1427306470</v>
      </c>
      <c r="J2922">
        <v>1424718070</v>
      </c>
      <c r="K2922" t="b">
        <v>0</v>
      </c>
      <c r="L2922" s="10">
        <v>13</v>
      </c>
      <c r="M2922" t="b">
        <v>0</v>
      </c>
      <c r="N2922" t="s">
        <v>8269</v>
      </c>
      <c r="O2922" s="11">
        <f t="shared" si="184"/>
        <v>27</v>
      </c>
      <c r="P2922" s="12">
        <f t="shared" si="185"/>
        <v>52</v>
      </c>
      <c r="Q2922" s="14" t="s">
        <v>8314</v>
      </c>
      <c r="R2922" t="s">
        <v>8315</v>
      </c>
      <c r="S2922" s="17">
        <f t="shared" si="186"/>
        <v>42058.792476851857</v>
      </c>
      <c r="T2922" s="17">
        <f t="shared" si="187"/>
        <v>42088.750810185185</v>
      </c>
      <c r="U2922">
        <f>MONTH(Table1[[#This Row],[Launched]])</f>
        <v>2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8218</v>
      </c>
      <c r="G2923" t="s">
        <v>8223</v>
      </c>
      <c r="H2923" t="s">
        <v>8245</v>
      </c>
      <c r="I2923" s="8">
        <v>1411679804</v>
      </c>
      <c r="J2923">
        <v>1409087804</v>
      </c>
      <c r="K2923" t="b">
        <v>0</v>
      </c>
      <c r="L2923" s="10">
        <v>3</v>
      </c>
      <c r="M2923" t="b">
        <v>1</v>
      </c>
      <c r="N2923" t="s">
        <v>8303</v>
      </c>
      <c r="O2923" s="11">
        <f t="shared" si="184"/>
        <v>129</v>
      </c>
      <c r="P2923" s="12">
        <f t="shared" si="185"/>
        <v>43</v>
      </c>
      <c r="Q2923" s="14" t="s">
        <v>8314</v>
      </c>
      <c r="R2923" t="s">
        <v>8356</v>
      </c>
      <c r="S2923" s="17">
        <f t="shared" si="186"/>
        <v>41877.886620370373</v>
      </c>
      <c r="T2923" s="17">
        <f t="shared" si="187"/>
        <v>41907.886620370373</v>
      </c>
      <c r="U2923">
        <f>MONTH(Table1[[#This Row],[Launched]])</f>
        <v>8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8218</v>
      </c>
      <c r="G2924" t="s">
        <v>8224</v>
      </c>
      <c r="H2924" t="s">
        <v>8246</v>
      </c>
      <c r="I2924" s="8">
        <v>1431982727</v>
      </c>
      <c r="J2924">
        <v>1428094727</v>
      </c>
      <c r="K2924" t="b">
        <v>0</v>
      </c>
      <c r="L2924" s="10">
        <v>6</v>
      </c>
      <c r="M2924" t="b">
        <v>1</v>
      </c>
      <c r="N2924" t="s">
        <v>8303</v>
      </c>
      <c r="O2924" s="11">
        <f t="shared" si="184"/>
        <v>100</v>
      </c>
      <c r="P2924" s="12">
        <f t="shared" si="185"/>
        <v>83</v>
      </c>
      <c r="Q2924" s="14" t="s">
        <v>8314</v>
      </c>
      <c r="R2924" t="s">
        <v>8356</v>
      </c>
      <c r="S2924" s="17">
        <f t="shared" si="186"/>
        <v>42097.874155092592</v>
      </c>
      <c r="T2924" s="17">
        <f t="shared" si="187"/>
        <v>42142.874155092592</v>
      </c>
      <c r="U2924">
        <f>MONTH(Table1[[#This Row],[Launched]])</f>
        <v>4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8218</v>
      </c>
      <c r="G2925" t="s">
        <v>8223</v>
      </c>
      <c r="H2925" t="s">
        <v>8245</v>
      </c>
      <c r="I2925" s="8">
        <v>1422068400</v>
      </c>
      <c r="J2925">
        <v>1420774779</v>
      </c>
      <c r="K2925" t="b">
        <v>0</v>
      </c>
      <c r="L2925" s="10">
        <v>10</v>
      </c>
      <c r="M2925" t="b">
        <v>1</v>
      </c>
      <c r="N2925" t="s">
        <v>8303</v>
      </c>
      <c r="O2925" s="11">
        <f t="shared" si="184"/>
        <v>100</v>
      </c>
      <c r="P2925" s="12">
        <f t="shared" si="185"/>
        <v>30</v>
      </c>
      <c r="Q2925" s="14" t="s">
        <v>8314</v>
      </c>
      <c r="R2925" t="s">
        <v>8356</v>
      </c>
      <c r="S2925" s="17">
        <f t="shared" si="186"/>
        <v>42013.15253472222</v>
      </c>
      <c r="T2925" s="17">
        <f t="shared" si="187"/>
        <v>42028.125</v>
      </c>
      <c r="U2925">
        <f>MONTH(Table1[[#This Row],[Launched]])</f>
        <v>1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 s="8">
        <v>1431143940</v>
      </c>
      <c r="J2926">
        <v>1428585710</v>
      </c>
      <c r="K2926" t="b">
        <v>0</v>
      </c>
      <c r="L2926" s="10">
        <v>147</v>
      </c>
      <c r="M2926" t="b">
        <v>1</v>
      </c>
      <c r="N2926" t="s">
        <v>8303</v>
      </c>
      <c r="O2926" s="11">
        <f t="shared" si="184"/>
        <v>103</v>
      </c>
      <c r="P2926" s="12">
        <f t="shared" si="185"/>
        <v>176</v>
      </c>
      <c r="Q2926" s="14" t="s">
        <v>8314</v>
      </c>
      <c r="R2926" t="s">
        <v>8356</v>
      </c>
      <c r="S2926" s="17">
        <f t="shared" si="186"/>
        <v>42103.556828703702</v>
      </c>
      <c r="T2926" s="17">
        <f t="shared" si="187"/>
        <v>42133.165972222225</v>
      </c>
      <c r="U2926">
        <f>MONTH(Table1[[#This Row],[Launched]])</f>
        <v>4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 s="8">
        <v>1410444068</v>
      </c>
      <c r="J2927">
        <v>1407852068</v>
      </c>
      <c r="K2927" t="b">
        <v>0</v>
      </c>
      <c r="L2927" s="10">
        <v>199</v>
      </c>
      <c r="M2927" t="b">
        <v>1</v>
      </c>
      <c r="N2927" t="s">
        <v>8303</v>
      </c>
      <c r="O2927" s="11">
        <f t="shared" si="184"/>
        <v>102</v>
      </c>
      <c r="P2927" s="12">
        <f t="shared" si="185"/>
        <v>232</v>
      </c>
      <c r="Q2927" s="14" t="s">
        <v>8314</v>
      </c>
      <c r="R2927" t="s">
        <v>8356</v>
      </c>
      <c r="S2927" s="17">
        <f t="shared" si="186"/>
        <v>41863.584120370368</v>
      </c>
      <c r="T2927" s="17">
        <f t="shared" si="187"/>
        <v>41893.584120370368</v>
      </c>
      <c r="U2927">
        <f>MONTH(Table1[[#This Row],[Launched]])</f>
        <v>8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 s="8">
        <v>1424715779</v>
      </c>
      <c r="J2928">
        <v>1423506179</v>
      </c>
      <c r="K2928" t="b">
        <v>0</v>
      </c>
      <c r="L2928" s="10">
        <v>50</v>
      </c>
      <c r="M2928" t="b">
        <v>1</v>
      </c>
      <c r="N2928" t="s">
        <v>8303</v>
      </c>
      <c r="O2928" s="11">
        <f t="shared" si="184"/>
        <v>125</v>
      </c>
      <c r="P2928" s="12">
        <f t="shared" si="185"/>
        <v>75</v>
      </c>
      <c r="Q2928" s="14" t="s">
        <v>8314</v>
      </c>
      <c r="R2928" t="s">
        <v>8356</v>
      </c>
      <c r="S2928" s="17">
        <f t="shared" si="186"/>
        <v>42044.765960648147</v>
      </c>
      <c r="T2928" s="17">
        <f t="shared" si="187"/>
        <v>42058.765960648147</v>
      </c>
      <c r="U2928">
        <f>MONTH(Table1[[#This Row],[Launched]])</f>
        <v>2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 s="8">
        <v>1405400400</v>
      </c>
      <c r="J2929">
        <v>1402934629</v>
      </c>
      <c r="K2929" t="b">
        <v>0</v>
      </c>
      <c r="L2929" s="10">
        <v>21</v>
      </c>
      <c r="M2929" t="b">
        <v>1</v>
      </c>
      <c r="N2929" t="s">
        <v>8303</v>
      </c>
      <c r="O2929" s="11">
        <f t="shared" si="184"/>
        <v>131</v>
      </c>
      <c r="P2929" s="12">
        <f t="shared" si="185"/>
        <v>112</v>
      </c>
      <c r="Q2929" s="14" t="s">
        <v>8314</v>
      </c>
      <c r="R2929" t="s">
        <v>8356</v>
      </c>
      <c r="S2929" s="17">
        <f t="shared" si="186"/>
        <v>41806.669317129628</v>
      </c>
      <c r="T2929" s="17">
        <f t="shared" si="187"/>
        <v>41835.208333333336</v>
      </c>
      <c r="U2929">
        <f>MONTH(Table1[[#This Row],[Launched]])</f>
        <v>6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 s="8">
        <v>1457135846</v>
      </c>
      <c r="J2930">
        <v>1454543846</v>
      </c>
      <c r="K2930" t="b">
        <v>0</v>
      </c>
      <c r="L2930" s="10">
        <v>24</v>
      </c>
      <c r="M2930" t="b">
        <v>1</v>
      </c>
      <c r="N2930" t="s">
        <v>8303</v>
      </c>
      <c r="O2930" s="11">
        <f t="shared" si="184"/>
        <v>100</v>
      </c>
      <c r="P2930" s="12">
        <f t="shared" si="185"/>
        <v>42</v>
      </c>
      <c r="Q2930" s="14" t="s">
        <v>8314</v>
      </c>
      <c r="R2930" t="s">
        <v>8356</v>
      </c>
      <c r="S2930" s="17">
        <f t="shared" si="186"/>
        <v>42403.998217592598</v>
      </c>
      <c r="T2930" s="17">
        <f t="shared" si="187"/>
        <v>42433.998217592598</v>
      </c>
      <c r="U2930">
        <f>MONTH(Table1[[#This Row],[Launched]])</f>
        <v>2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 s="8">
        <v>1401024758</v>
      </c>
      <c r="J2931">
        <v>1398432758</v>
      </c>
      <c r="K2931" t="b">
        <v>0</v>
      </c>
      <c r="L2931" s="10">
        <v>32</v>
      </c>
      <c r="M2931" t="b">
        <v>1</v>
      </c>
      <c r="N2931" t="s">
        <v>8303</v>
      </c>
      <c r="O2931" s="11">
        <f t="shared" si="184"/>
        <v>102</v>
      </c>
      <c r="P2931" s="12">
        <f t="shared" si="185"/>
        <v>255</v>
      </c>
      <c r="Q2931" s="14" t="s">
        <v>8314</v>
      </c>
      <c r="R2931" t="s">
        <v>8356</v>
      </c>
      <c r="S2931" s="17">
        <f t="shared" si="186"/>
        <v>41754.564328703702</v>
      </c>
      <c r="T2931" s="17">
        <f t="shared" si="187"/>
        <v>41784.564328703702</v>
      </c>
      <c r="U2931">
        <f>MONTH(Table1[[#This Row],[Launched]])</f>
        <v>4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 s="8">
        <v>1431007264</v>
      </c>
      <c r="J2932">
        <v>1428415264</v>
      </c>
      <c r="K2932" t="b">
        <v>0</v>
      </c>
      <c r="L2932" s="10">
        <v>62</v>
      </c>
      <c r="M2932" t="b">
        <v>1</v>
      </c>
      <c r="N2932" t="s">
        <v>8303</v>
      </c>
      <c r="O2932" s="11">
        <f t="shared" si="184"/>
        <v>101</v>
      </c>
      <c r="P2932" s="12">
        <f t="shared" si="185"/>
        <v>163</v>
      </c>
      <c r="Q2932" s="14" t="s">
        <v>8314</v>
      </c>
      <c r="R2932" t="s">
        <v>8356</v>
      </c>
      <c r="S2932" s="17">
        <f t="shared" si="186"/>
        <v>42101.584074074075</v>
      </c>
      <c r="T2932" s="17">
        <f t="shared" si="187"/>
        <v>42131.584074074075</v>
      </c>
      <c r="U2932">
        <f>MONTH(Table1[[#This Row],[Launched]])</f>
        <v>4</v>
      </c>
    </row>
    <row r="2933" spans="1:21" ht="57.6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8218</v>
      </c>
      <c r="G2933" t="s">
        <v>8228</v>
      </c>
      <c r="H2933" t="s">
        <v>8250</v>
      </c>
      <c r="I2933" s="8">
        <v>1410761280</v>
      </c>
      <c r="J2933">
        <v>1408604363</v>
      </c>
      <c r="K2933" t="b">
        <v>0</v>
      </c>
      <c r="L2933" s="10">
        <v>9</v>
      </c>
      <c r="M2933" t="b">
        <v>1</v>
      </c>
      <c r="N2933" t="s">
        <v>8303</v>
      </c>
      <c r="O2933" s="11">
        <f t="shared" si="184"/>
        <v>106</v>
      </c>
      <c r="P2933" s="12">
        <f t="shared" si="185"/>
        <v>88</v>
      </c>
      <c r="Q2933" s="14" t="s">
        <v>8314</v>
      </c>
      <c r="R2933" t="s">
        <v>8356</v>
      </c>
      <c r="S2933" s="17">
        <f t="shared" si="186"/>
        <v>41872.291238425925</v>
      </c>
      <c r="T2933" s="17">
        <f t="shared" si="187"/>
        <v>41897.255555555559</v>
      </c>
      <c r="U2933">
        <f>MONTH(Table1[[#This Row],[Launched]])</f>
        <v>8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 s="8">
        <v>1424516400</v>
      </c>
      <c r="J2934">
        <v>1421812637</v>
      </c>
      <c r="K2934" t="b">
        <v>0</v>
      </c>
      <c r="L2934" s="10">
        <v>38</v>
      </c>
      <c r="M2934" t="b">
        <v>1</v>
      </c>
      <c r="N2934" t="s">
        <v>8303</v>
      </c>
      <c r="O2934" s="11">
        <f t="shared" si="184"/>
        <v>105</v>
      </c>
      <c r="P2934" s="12">
        <f t="shared" si="185"/>
        <v>86</v>
      </c>
      <c r="Q2934" s="14" t="s">
        <v>8314</v>
      </c>
      <c r="R2934" t="s">
        <v>8356</v>
      </c>
      <c r="S2934" s="17">
        <f t="shared" si="186"/>
        <v>42025.164780092593</v>
      </c>
      <c r="T2934" s="17">
        <f t="shared" si="187"/>
        <v>42056.458333333328</v>
      </c>
      <c r="U2934">
        <f>MONTH(Table1[[#This Row],[Launched]])</f>
        <v>1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 s="8">
        <v>1465081053</v>
      </c>
      <c r="J2935">
        <v>1462489053</v>
      </c>
      <c r="K2935" t="b">
        <v>0</v>
      </c>
      <c r="L2935" s="10">
        <v>54</v>
      </c>
      <c r="M2935" t="b">
        <v>1</v>
      </c>
      <c r="N2935" t="s">
        <v>8303</v>
      </c>
      <c r="O2935" s="11">
        <f t="shared" si="184"/>
        <v>103</v>
      </c>
      <c r="P2935" s="12">
        <f t="shared" si="185"/>
        <v>48</v>
      </c>
      <c r="Q2935" s="14" t="s">
        <v>8314</v>
      </c>
      <c r="R2935" t="s">
        <v>8356</v>
      </c>
      <c r="S2935" s="17">
        <f t="shared" si="186"/>
        <v>42495.956631944442</v>
      </c>
      <c r="T2935" s="17">
        <f t="shared" si="187"/>
        <v>42525.956631944442</v>
      </c>
      <c r="U2935">
        <f>MONTH(Table1[[#This Row],[Launched]])</f>
        <v>5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 s="8">
        <v>1402845364</v>
      </c>
      <c r="J2936">
        <v>1400253364</v>
      </c>
      <c r="K2936" t="b">
        <v>0</v>
      </c>
      <c r="L2936" s="10">
        <v>37</v>
      </c>
      <c r="M2936" t="b">
        <v>1</v>
      </c>
      <c r="N2936" t="s">
        <v>8303</v>
      </c>
      <c r="O2936" s="11">
        <f t="shared" si="184"/>
        <v>108</v>
      </c>
      <c r="P2936" s="12">
        <f t="shared" si="185"/>
        <v>73</v>
      </c>
      <c r="Q2936" s="14" t="s">
        <v>8314</v>
      </c>
      <c r="R2936" t="s">
        <v>8356</v>
      </c>
      <c r="S2936" s="17">
        <f t="shared" si="186"/>
        <v>41775.636157407411</v>
      </c>
      <c r="T2936" s="17">
        <f t="shared" si="187"/>
        <v>41805.636157407411</v>
      </c>
      <c r="U2936">
        <f>MONTH(Table1[[#This Row],[Launched]])</f>
        <v>5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 s="8">
        <v>1472490000</v>
      </c>
      <c r="J2937">
        <v>1467468008</v>
      </c>
      <c r="K2937" t="b">
        <v>0</v>
      </c>
      <c r="L2937" s="10">
        <v>39</v>
      </c>
      <c r="M2937" t="b">
        <v>1</v>
      </c>
      <c r="N2937" t="s">
        <v>8303</v>
      </c>
      <c r="O2937" s="11">
        <f t="shared" si="184"/>
        <v>101</v>
      </c>
      <c r="P2937" s="12">
        <f t="shared" si="185"/>
        <v>91</v>
      </c>
      <c r="Q2937" s="14" t="s">
        <v>8314</v>
      </c>
      <c r="R2937" t="s">
        <v>8356</v>
      </c>
      <c r="S2937" s="17">
        <f t="shared" si="186"/>
        <v>42553.583425925928</v>
      </c>
      <c r="T2937" s="17">
        <f t="shared" si="187"/>
        <v>42611.708333333328</v>
      </c>
      <c r="U2937">
        <f>MONTH(Table1[[#This Row],[Launched]])</f>
        <v>7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 s="8">
        <v>1413176340</v>
      </c>
      <c r="J2938">
        <v>1412091423</v>
      </c>
      <c r="K2938" t="b">
        <v>0</v>
      </c>
      <c r="L2938" s="10">
        <v>34</v>
      </c>
      <c r="M2938" t="b">
        <v>1</v>
      </c>
      <c r="N2938" t="s">
        <v>8303</v>
      </c>
      <c r="O2938" s="11">
        <f t="shared" si="184"/>
        <v>128</v>
      </c>
      <c r="P2938" s="12">
        <f t="shared" si="185"/>
        <v>38</v>
      </c>
      <c r="Q2938" s="14" t="s">
        <v>8314</v>
      </c>
      <c r="R2938" t="s">
        <v>8356</v>
      </c>
      <c r="S2938" s="17">
        <f t="shared" si="186"/>
        <v>41912.650729166664</v>
      </c>
      <c r="T2938" s="17">
        <f t="shared" si="187"/>
        <v>41925.207638888889</v>
      </c>
      <c r="U2938">
        <f>MONTH(Table1[[#This Row],[Launched]])</f>
        <v>9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 s="8">
        <v>1405249113</v>
      </c>
      <c r="J2939">
        <v>1402657113</v>
      </c>
      <c r="K2939" t="b">
        <v>0</v>
      </c>
      <c r="L2939" s="10">
        <v>55</v>
      </c>
      <c r="M2939" t="b">
        <v>1</v>
      </c>
      <c r="N2939" t="s">
        <v>8303</v>
      </c>
      <c r="O2939" s="11">
        <f t="shared" si="184"/>
        <v>133</v>
      </c>
      <c r="P2939" s="12">
        <f t="shared" si="185"/>
        <v>36</v>
      </c>
      <c r="Q2939" s="14" t="s">
        <v>8314</v>
      </c>
      <c r="R2939" t="s">
        <v>8356</v>
      </c>
      <c r="S2939" s="17">
        <f t="shared" si="186"/>
        <v>41803.457326388889</v>
      </c>
      <c r="T2939" s="17">
        <f t="shared" si="187"/>
        <v>41833.457326388889</v>
      </c>
      <c r="U2939">
        <f>MONTH(Table1[[#This Row],[Launched]])</f>
        <v>6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 s="8">
        <v>1422636814</v>
      </c>
      <c r="J2940">
        <v>1420044814</v>
      </c>
      <c r="K2940" t="b">
        <v>0</v>
      </c>
      <c r="L2940" s="10">
        <v>32</v>
      </c>
      <c r="M2940" t="b">
        <v>1</v>
      </c>
      <c r="N2940" t="s">
        <v>8303</v>
      </c>
      <c r="O2940" s="11">
        <f t="shared" si="184"/>
        <v>101</v>
      </c>
      <c r="P2940" s="12">
        <f t="shared" si="185"/>
        <v>127</v>
      </c>
      <c r="Q2940" s="14" t="s">
        <v>8314</v>
      </c>
      <c r="R2940" t="s">
        <v>8356</v>
      </c>
      <c r="S2940" s="17">
        <f t="shared" si="186"/>
        <v>42004.703865740739</v>
      </c>
      <c r="T2940" s="17">
        <f t="shared" si="187"/>
        <v>42034.703865740739</v>
      </c>
      <c r="U2940">
        <f>MONTH(Table1[[#This Row],[Launched]])</f>
        <v>12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 s="8">
        <v>1409187600</v>
      </c>
      <c r="J2941">
        <v>1406316312</v>
      </c>
      <c r="K2941" t="b">
        <v>0</v>
      </c>
      <c r="L2941" s="10">
        <v>25</v>
      </c>
      <c r="M2941" t="b">
        <v>1</v>
      </c>
      <c r="N2941" t="s">
        <v>8303</v>
      </c>
      <c r="O2941" s="11">
        <f t="shared" si="184"/>
        <v>103</v>
      </c>
      <c r="P2941" s="12">
        <f t="shared" si="185"/>
        <v>329</v>
      </c>
      <c r="Q2941" s="14" t="s">
        <v>8314</v>
      </c>
      <c r="R2941" t="s">
        <v>8356</v>
      </c>
      <c r="S2941" s="17">
        <f t="shared" si="186"/>
        <v>41845.809166666666</v>
      </c>
      <c r="T2941" s="17">
        <f t="shared" si="187"/>
        <v>41879.041666666664</v>
      </c>
      <c r="U2941">
        <f>MONTH(Table1[[#This Row],[Launched]])</f>
        <v>7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 s="8">
        <v>1421606018</v>
      </c>
      <c r="J2942">
        <v>1418150018</v>
      </c>
      <c r="K2942" t="b">
        <v>0</v>
      </c>
      <c r="L2942" s="10">
        <v>33</v>
      </c>
      <c r="M2942" t="b">
        <v>1</v>
      </c>
      <c r="N2942" t="s">
        <v>8303</v>
      </c>
      <c r="O2942" s="11">
        <f t="shared" si="184"/>
        <v>107</v>
      </c>
      <c r="P2942" s="12">
        <f t="shared" si="185"/>
        <v>81</v>
      </c>
      <c r="Q2942" s="14" t="s">
        <v>8314</v>
      </c>
      <c r="R2942" t="s">
        <v>8356</v>
      </c>
      <c r="S2942" s="17">
        <f t="shared" si="186"/>
        <v>41982.773356481484</v>
      </c>
      <c r="T2942" s="17">
        <f t="shared" si="187"/>
        <v>42022.773356481484</v>
      </c>
      <c r="U2942">
        <f>MONTH(Table1[[#This Row],[Launched]])</f>
        <v>12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8220</v>
      </c>
      <c r="G2943" t="s">
        <v>8223</v>
      </c>
      <c r="H2943" t="s">
        <v>8245</v>
      </c>
      <c r="I2943" s="8">
        <v>1425250955</v>
      </c>
      <c r="J2943">
        <v>1422658955</v>
      </c>
      <c r="K2943" t="b">
        <v>0</v>
      </c>
      <c r="L2943" s="10">
        <v>1</v>
      </c>
      <c r="M2943" t="b">
        <v>0</v>
      </c>
      <c r="N2943" t="s">
        <v>8301</v>
      </c>
      <c r="O2943" s="11">
        <f t="shared" si="184"/>
        <v>0</v>
      </c>
      <c r="P2943" s="12">
        <f t="shared" si="185"/>
        <v>1</v>
      </c>
      <c r="Q2943" s="14" t="s">
        <v>8314</v>
      </c>
      <c r="R2943" t="s">
        <v>8354</v>
      </c>
      <c r="S2943" s="17">
        <f t="shared" si="186"/>
        <v>42034.960127314815</v>
      </c>
      <c r="T2943" s="17">
        <f t="shared" si="187"/>
        <v>42064.960127314815</v>
      </c>
      <c r="U2943">
        <f>MONTH(Table1[[#This Row],[Launched]])</f>
        <v>1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 s="8">
        <v>1450297080</v>
      </c>
      <c r="J2944">
        <v>1448565459</v>
      </c>
      <c r="K2944" t="b">
        <v>0</v>
      </c>
      <c r="L2944" s="10">
        <v>202</v>
      </c>
      <c r="M2944" t="b">
        <v>0</v>
      </c>
      <c r="N2944" t="s">
        <v>8301</v>
      </c>
      <c r="O2944" s="11">
        <f t="shared" si="184"/>
        <v>20</v>
      </c>
      <c r="P2944" s="12">
        <f t="shared" si="185"/>
        <v>202</v>
      </c>
      <c r="Q2944" s="14" t="s">
        <v>8314</v>
      </c>
      <c r="R2944" t="s">
        <v>8354</v>
      </c>
      <c r="S2944" s="17">
        <f t="shared" si="186"/>
        <v>42334.803923611107</v>
      </c>
      <c r="T2944" s="17">
        <f t="shared" si="187"/>
        <v>42354.845833333333</v>
      </c>
      <c r="U2944">
        <f>MONTH(Table1[[#This Row],[Launched]])</f>
        <v>11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8220</v>
      </c>
      <c r="G2945" t="s">
        <v>8223</v>
      </c>
      <c r="H2945" t="s">
        <v>8245</v>
      </c>
      <c r="I2945" s="8">
        <v>1428894380</v>
      </c>
      <c r="J2945">
        <v>1426302380</v>
      </c>
      <c r="K2945" t="b">
        <v>0</v>
      </c>
      <c r="L2945" s="10">
        <v>0</v>
      </c>
      <c r="M2945" t="b">
        <v>0</v>
      </c>
      <c r="N2945" t="s">
        <v>8301</v>
      </c>
      <c r="O2945" s="11">
        <f t="shared" si="184"/>
        <v>0</v>
      </c>
      <c r="P2945" s="12" t="str">
        <f t="shared" si="185"/>
        <v>No Backers</v>
      </c>
      <c r="Q2945" s="14" t="s">
        <v>8314</v>
      </c>
      <c r="R2945" t="s">
        <v>8354</v>
      </c>
      <c r="S2945" s="17">
        <f t="shared" si="186"/>
        <v>42077.129398148143</v>
      </c>
      <c r="T2945" s="17">
        <f t="shared" si="187"/>
        <v>42107.129398148143</v>
      </c>
      <c r="U2945">
        <f>MONTH(Table1[[#This Row],[Launched]])</f>
        <v>3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 s="8">
        <v>1433714198</v>
      </c>
      <c r="J2946">
        <v>1431122198</v>
      </c>
      <c r="K2946" t="b">
        <v>0</v>
      </c>
      <c r="L2946" s="10">
        <v>1</v>
      </c>
      <c r="M2946" t="b">
        <v>0</v>
      </c>
      <c r="N2946" t="s">
        <v>8301</v>
      </c>
      <c r="O2946" s="11">
        <f t="shared" ref="O2946:O3009" si="188">ROUND(E2946/D2946*100,0)</f>
        <v>1</v>
      </c>
      <c r="P2946" s="12">
        <f t="shared" si="185"/>
        <v>100</v>
      </c>
      <c r="Q2946" s="14" t="s">
        <v>8314</v>
      </c>
      <c r="R2946" t="s">
        <v>8354</v>
      </c>
      <c r="S2946" s="17">
        <f t="shared" si="186"/>
        <v>42132.9143287037</v>
      </c>
      <c r="T2946" s="17">
        <f t="shared" si="187"/>
        <v>42162.9143287037</v>
      </c>
      <c r="U2946">
        <f>MONTH(Table1[[#This Row],[Launched]])</f>
        <v>5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8220</v>
      </c>
      <c r="G2947" t="s">
        <v>8223</v>
      </c>
      <c r="H2947" t="s">
        <v>8245</v>
      </c>
      <c r="I2947" s="8">
        <v>1432437660</v>
      </c>
      <c r="J2947">
        <v>1429845660</v>
      </c>
      <c r="K2947" t="b">
        <v>0</v>
      </c>
      <c r="L2947" s="10">
        <v>0</v>
      </c>
      <c r="M2947" t="b">
        <v>0</v>
      </c>
      <c r="N2947" t="s">
        <v>8301</v>
      </c>
      <c r="O2947" s="11">
        <f t="shared" si="188"/>
        <v>0</v>
      </c>
      <c r="P2947" s="12" t="str">
        <f t="shared" ref="P2947:P3010" si="189">IFERROR(ROUND(E2947/L2947,),"No Backers")</f>
        <v>No Backers</v>
      </c>
      <c r="Q2947" s="14" t="s">
        <v>8314</v>
      </c>
      <c r="R2947" t="s">
        <v>8354</v>
      </c>
      <c r="S2947" s="17">
        <f t="shared" ref="S2947:S3010" si="190">(((J2947/60)/60)/24)+DATE(1970,1,1)</f>
        <v>42118.139583333337</v>
      </c>
      <c r="T2947" s="17">
        <f t="shared" ref="T2947:T3010" si="191">(((I2947/60)/60)/24)+DATE(1970,1,1)</f>
        <v>42148.139583333337</v>
      </c>
      <c r="U2947">
        <f>MONTH(Table1[[#This Row],[Launched]])</f>
        <v>4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8220</v>
      </c>
      <c r="G2948" t="s">
        <v>8224</v>
      </c>
      <c r="H2948" t="s">
        <v>8246</v>
      </c>
      <c r="I2948" s="8">
        <v>1471265092</v>
      </c>
      <c r="J2948">
        <v>1468673092</v>
      </c>
      <c r="K2948" t="b">
        <v>0</v>
      </c>
      <c r="L2948" s="10">
        <v>2</v>
      </c>
      <c r="M2948" t="b">
        <v>0</v>
      </c>
      <c r="N2948" t="s">
        <v>8301</v>
      </c>
      <c r="O2948" s="11">
        <f t="shared" si="188"/>
        <v>0</v>
      </c>
      <c r="P2948" s="12">
        <f t="shared" si="189"/>
        <v>1</v>
      </c>
      <c r="Q2948" s="14" t="s">
        <v>8314</v>
      </c>
      <c r="R2948" t="s">
        <v>8354</v>
      </c>
      <c r="S2948" s="17">
        <f t="shared" si="190"/>
        <v>42567.531157407408</v>
      </c>
      <c r="T2948" s="17">
        <f t="shared" si="191"/>
        <v>42597.531157407408</v>
      </c>
      <c r="U2948">
        <f>MONTH(Table1[[#This Row],[Launched]])</f>
        <v>7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 s="8">
        <v>1480007460</v>
      </c>
      <c r="J2949">
        <v>1475760567</v>
      </c>
      <c r="K2949" t="b">
        <v>0</v>
      </c>
      <c r="L2949" s="10">
        <v>13</v>
      </c>
      <c r="M2949" t="b">
        <v>0</v>
      </c>
      <c r="N2949" t="s">
        <v>8301</v>
      </c>
      <c r="O2949" s="11">
        <f t="shared" si="188"/>
        <v>4</v>
      </c>
      <c r="P2949" s="12">
        <f t="shared" si="189"/>
        <v>82</v>
      </c>
      <c r="Q2949" s="14" t="s">
        <v>8314</v>
      </c>
      <c r="R2949" t="s">
        <v>8354</v>
      </c>
      <c r="S2949" s="17">
        <f t="shared" si="190"/>
        <v>42649.562118055561</v>
      </c>
      <c r="T2949" s="17">
        <f t="shared" si="191"/>
        <v>42698.715972222228</v>
      </c>
      <c r="U2949">
        <f>MONTH(Table1[[#This Row],[Launched]])</f>
        <v>10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 s="8">
        <v>1433259293</v>
      </c>
      <c r="J2950">
        <v>1428075293</v>
      </c>
      <c r="K2950" t="b">
        <v>0</v>
      </c>
      <c r="L2950" s="10">
        <v>9</v>
      </c>
      <c r="M2950" t="b">
        <v>0</v>
      </c>
      <c r="N2950" t="s">
        <v>8301</v>
      </c>
      <c r="O2950" s="11">
        <f t="shared" si="188"/>
        <v>0</v>
      </c>
      <c r="P2950" s="12">
        <f t="shared" si="189"/>
        <v>3</v>
      </c>
      <c r="Q2950" s="14" t="s">
        <v>8314</v>
      </c>
      <c r="R2950" t="s">
        <v>8354</v>
      </c>
      <c r="S2950" s="17">
        <f t="shared" si="190"/>
        <v>42097.649224537032</v>
      </c>
      <c r="T2950" s="17">
        <f t="shared" si="191"/>
        <v>42157.649224537032</v>
      </c>
      <c r="U2950">
        <f>MONTH(Table1[[#This Row],[Launched]])</f>
        <v>4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8220</v>
      </c>
      <c r="G2951" t="s">
        <v>8223</v>
      </c>
      <c r="H2951" t="s">
        <v>8245</v>
      </c>
      <c r="I2951" s="8">
        <v>1447965917</v>
      </c>
      <c r="J2951">
        <v>1445370317</v>
      </c>
      <c r="K2951" t="b">
        <v>0</v>
      </c>
      <c r="L2951" s="10">
        <v>2</v>
      </c>
      <c r="M2951" t="b">
        <v>0</v>
      </c>
      <c r="N2951" t="s">
        <v>8301</v>
      </c>
      <c r="O2951" s="11">
        <f t="shared" si="188"/>
        <v>3</v>
      </c>
      <c r="P2951" s="12">
        <f t="shared" si="189"/>
        <v>13</v>
      </c>
      <c r="Q2951" s="14" t="s">
        <v>8314</v>
      </c>
      <c r="R2951" t="s">
        <v>8354</v>
      </c>
      <c r="S2951" s="17">
        <f t="shared" si="190"/>
        <v>42297.823113425926</v>
      </c>
      <c r="T2951" s="17">
        <f t="shared" si="191"/>
        <v>42327.864780092597</v>
      </c>
      <c r="U2951">
        <f>MONTH(Table1[[#This Row],[Launched]])</f>
        <v>10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 s="8">
        <v>1453538752</v>
      </c>
      <c r="J2952">
        <v>1450946752</v>
      </c>
      <c r="K2952" t="b">
        <v>0</v>
      </c>
      <c r="L2952" s="10">
        <v>0</v>
      </c>
      <c r="M2952" t="b">
        <v>0</v>
      </c>
      <c r="N2952" t="s">
        <v>8301</v>
      </c>
      <c r="O2952" s="11">
        <f t="shared" si="188"/>
        <v>0</v>
      </c>
      <c r="P2952" s="12" t="str">
        <f t="shared" si="189"/>
        <v>No Backers</v>
      </c>
      <c r="Q2952" s="14" t="s">
        <v>8314</v>
      </c>
      <c r="R2952" t="s">
        <v>8354</v>
      </c>
      <c r="S2952" s="17">
        <f t="shared" si="190"/>
        <v>42362.36518518519</v>
      </c>
      <c r="T2952" s="17">
        <f t="shared" si="191"/>
        <v>42392.36518518519</v>
      </c>
      <c r="U2952">
        <f>MONTH(Table1[[#This Row],[Launched]])</f>
        <v>12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 s="8">
        <v>1412536573</v>
      </c>
      <c r="J2953">
        <v>1408648573</v>
      </c>
      <c r="K2953" t="b">
        <v>0</v>
      </c>
      <c r="L2953" s="10">
        <v>58</v>
      </c>
      <c r="M2953" t="b">
        <v>0</v>
      </c>
      <c r="N2953" t="s">
        <v>8301</v>
      </c>
      <c r="O2953" s="11">
        <f t="shared" si="188"/>
        <v>2</v>
      </c>
      <c r="P2953" s="12">
        <f t="shared" si="189"/>
        <v>19</v>
      </c>
      <c r="Q2953" s="14" t="s">
        <v>8314</v>
      </c>
      <c r="R2953" t="s">
        <v>8354</v>
      </c>
      <c r="S2953" s="17">
        <f t="shared" si="190"/>
        <v>41872.802928240737</v>
      </c>
      <c r="T2953" s="17">
        <f t="shared" si="191"/>
        <v>41917.802928240737</v>
      </c>
      <c r="U2953">
        <f>MONTH(Table1[[#This Row],[Launched]])</f>
        <v>8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 s="8">
        <v>1476676800</v>
      </c>
      <c r="J2954">
        <v>1473957239</v>
      </c>
      <c r="K2954" t="b">
        <v>0</v>
      </c>
      <c r="L2954" s="10">
        <v>8</v>
      </c>
      <c r="M2954" t="b">
        <v>0</v>
      </c>
      <c r="N2954" t="s">
        <v>8301</v>
      </c>
      <c r="O2954" s="11">
        <f t="shared" si="188"/>
        <v>8</v>
      </c>
      <c r="P2954" s="12">
        <f t="shared" si="189"/>
        <v>201</v>
      </c>
      <c r="Q2954" s="14" t="s">
        <v>8314</v>
      </c>
      <c r="R2954" t="s">
        <v>8354</v>
      </c>
      <c r="S2954" s="17">
        <f t="shared" si="190"/>
        <v>42628.690266203703</v>
      </c>
      <c r="T2954" s="17">
        <f t="shared" si="191"/>
        <v>42660.166666666672</v>
      </c>
      <c r="U2954">
        <f>MONTH(Table1[[#This Row],[Launched]])</f>
        <v>9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 s="8">
        <v>1444330821</v>
      </c>
      <c r="J2955">
        <v>1441738821</v>
      </c>
      <c r="K2955" t="b">
        <v>0</v>
      </c>
      <c r="L2955" s="10">
        <v>3</v>
      </c>
      <c r="M2955" t="b">
        <v>0</v>
      </c>
      <c r="N2955" t="s">
        <v>8301</v>
      </c>
      <c r="O2955" s="11">
        <f t="shared" si="188"/>
        <v>0</v>
      </c>
      <c r="P2955" s="12">
        <f t="shared" si="189"/>
        <v>202</v>
      </c>
      <c r="Q2955" s="14" t="s">
        <v>8314</v>
      </c>
      <c r="R2955" t="s">
        <v>8354</v>
      </c>
      <c r="S2955" s="17">
        <f t="shared" si="190"/>
        <v>42255.791909722218</v>
      </c>
      <c r="T2955" s="17">
        <f t="shared" si="191"/>
        <v>42285.791909722218</v>
      </c>
      <c r="U2955">
        <f>MONTH(Table1[[#This Row],[Launched]])</f>
        <v>9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8219</v>
      </c>
      <c r="G2956" t="s">
        <v>8223</v>
      </c>
      <c r="H2956" t="s">
        <v>8245</v>
      </c>
      <c r="I2956" s="8">
        <v>1489669203</v>
      </c>
      <c r="J2956">
        <v>1487944803</v>
      </c>
      <c r="K2956" t="b">
        <v>0</v>
      </c>
      <c r="L2956" s="10">
        <v>0</v>
      </c>
      <c r="M2956" t="b">
        <v>0</v>
      </c>
      <c r="N2956" t="s">
        <v>8301</v>
      </c>
      <c r="O2956" s="11">
        <f t="shared" si="188"/>
        <v>0</v>
      </c>
      <c r="P2956" s="12" t="str">
        <f t="shared" si="189"/>
        <v>No Backers</v>
      </c>
      <c r="Q2956" s="14" t="s">
        <v>8314</v>
      </c>
      <c r="R2956" t="s">
        <v>8354</v>
      </c>
      <c r="S2956" s="17">
        <f t="shared" si="190"/>
        <v>42790.583368055552</v>
      </c>
      <c r="T2956" s="17">
        <f t="shared" si="191"/>
        <v>42810.541701388895</v>
      </c>
      <c r="U2956">
        <f>MONTH(Table1[[#This Row],[Launched]])</f>
        <v>2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8219</v>
      </c>
      <c r="G2957" t="s">
        <v>8223</v>
      </c>
      <c r="H2957" t="s">
        <v>8245</v>
      </c>
      <c r="I2957" s="8">
        <v>1434476849</v>
      </c>
      <c r="J2957">
        <v>1431884849</v>
      </c>
      <c r="K2957" t="b">
        <v>0</v>
      </c>
      <c r="L2957" s="10">
        <v>11</v>
      </c>
      <c r="M2957" t="b">
        <v>0</v>
      </c>
      <c r="N2957" t="s">
        <v>8301</v>
      </c>
      <c r="O2957" s="11">
        <f t="shared" si="188"/>
        <v>60</v>
      </c>
      <c r="P2957" s="12">
        <f t="shared" si="189"/>
        <v>65</v>
      </c>
      <c r="Q2957" s="14" t="s">
        <v>8314</v>
      </c>
      <c r="R2957" t="s">
        <v>8354</v>
      </c>
      <c r="S2957" s="17">
        <f t="shared" si="190"/>
        <v>42141.741307870368</v>
      </c>
      <c r="T2957" s="17">
        <f t="shared" si="191"/>
        <v>42171.741307870368</v>
      </c>
      <c r="U2957">
        <f>MONTH(Table1[[#This Row],[Launched]])</f>
        <v>5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 s="8">
        <v>1462402850</v>
      </c>
      <c r="J2958">
        <v>1459810850</v>
      </c>
      <c r="K2958" t="b">
        <v>0</v>
      </c>
      <c r="L2958" s="10">
        <v>20</v>
      </c>
      <c r="M2958" t="b">
        <v>0</v>
      </c>
      <c r="N2958" t="s">
        <v>8301</v>
      </c>
      <c r="O2958" s="11">
        <f t="shared" si="188"/>
        <v>17</v>
      </c>
      <c r="P2958" s="12">
        <f t="shared" si="189"/>
        <v>66</v>
      </c>
      <c r="Q2958" s="14" t="s">
        <v>8314</v>
      </c>
      <c r="R2958" t="s">
        <v>8354</v>
      </c>
      <c r="S2958" s="17">
        <f t="shared" si="190"/>
        <v>42464.958912037036</v>
      </c>
      <c r="T2958" s="17">
        <f t="shared" si="191"/>
        <v>42494.958912037036</v>
      </c>
      <c r="U2958">
        <f>MONTH(Table1[[#This Row],[Launched]])</f>
        <v>4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 s="8">
        <v>1427498172</v>
      </c>
      <c r="J2959">
        <v>1422317772</v>
      </c>
      <c r="K2959" t="b">
        <v>0</v>
      </c>
      <c r="L2959" s="10">
        <v>3</v>
      </c>
      <c r="M2959" t="b">
        <v>0</v>
      </c>
      <c r="N2959" t="s">
        <v>8301</v>
      </c>
      <c r="O2959" s="11">
        <f t="shared" si="188"/>
        <v>2</v>
      </c>
      <c r="P2959" s="12">
        <f t="shared" si="189"/>
        <v>93</v>
      </c>
      <c r="Q2959" s="14" t="s">
        <v>8314</v>
      </c>
      <c r="R2959" t="s">
        <v>8354</v>
      </c>
      <c r="S2959" s="17">
        <f t="shared" si="190"/>
        <v>42031.011249999996</v>
      </c>
      <c r="T2959" s="17">
        <f t="shared" si="191"/>
        <v>42090.969583333332</v>
      </c>
      <c r="U2959">
        <f>MONTH(Table1[[#This Row],[Launched]])</f>
        <v>1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8219</v>
      </c>
      <c r="G2960" t="s">
        <v>8223</v>
      </c>
      <c r="H2960" t="s">
        <v>8245</v>
      </c>
      <c r="I2960" s="8">
        <v>1462729317</v>
      </c>
      <c r="J2960">
        <v>1457548917</v>
      </c>
      <c r="K2960" t="b">
        <v>0</v>
      </c>
      <c r="L2960" s="10">
        <v>0</v>
      </c>
      <c r="M2960" t="b">
        <v>0</v>
      </c>
      <c r="N2960" t="s">
        <v>8301</v>
      </c>
      <c r="O2960" s="11">
        <f t="shared" si="188"/>
        <v>0</v>
      </c>
      <c r="P2960" s="12" t="str">
        <f t="shared" si="189"/>
        <v>No Backers</v>
      </c>
      <c r="Q2960" s="14" t="s">
        <v>8314</v>
      </c>
      <c r="R2960" t="s">
        <v>8354</v>
      </c>
      <c r="S2960" s="17">
        <f t="shared" si="190"/>
        <v>42438.779131944444</v>
      </c>
      <c r="T2960" s="17">
        <f t="shared" si="191"/>
        <v>42498.73746527778</v>
      </c>
      <c r="U2960">
        <f>MONTH(Table1[[#This Row],[Launched]])</f>
        <v>3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8219</v>
      </c>
      <c r="G2961" t="s">
        <v>8224</v>
      </c>
      <c r="H2961" t="s">
        <v>8246</v>
      </c>
      <c r="I2961" s="8">
        <v>1465258325</v>
      </c>
      <c r="J2961">
        <v>1462666325</v>
      </c>
      <c r="K2961" t="b">
        <v>0</v>
      </c>
      <c r="L2961" s="10">
        <v>0</v>
      </c>
      <c r="M2961" t="b">
        <v>0</v>
      </c>
      <c r="N2961" t="s">
        <v>8301</v>
      </c>
      <c r="O2961" s="11">
        <f t="shared" si="188"/>
        <v>0</v>
      </c>
      <c r="P2961" s="12" t="str">
        <f t="shared" si="189"/>
        <v>No Backers</v>
      </c>
      <c r="Q2961" s="14" t="s">
        <v>8314</v>
      </c>
      <c r="R2961" t="s">
        <v>8354</v>
      </c>
      <c r="S2961" s="17">
        <f t="shared" si="190"/>
        <v>42498.008391203708</v>
      </c>
      <c r="T2961" s="17">
        <f t="shared" si="191"/>
        <v>42528.008391203708</v>
      </c>
      <c r="U2961">
        <f>MONTH(Table1[[#This Row],[Launched]])</f>
        <v>5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 s="8">
        <v>1410459023</v>
      </c>
      <c r="J2962">
        <v>1407867023</v>
      </c>
      <c r="K2962" t="b">
        <v>0</v>
      </c>
      <c r="L2962" s="10">
        <v>0</v>
      </c>
      <c r="M2962" t="b">
        <v>0</v>
      </c>
      <c r="N2962" t="s">
        <v>8301</v>
      </c>
      <c r="O2962" s="11">
        <f t="shared" si="188"/>
        <v>0</v>
      </c>
      <c r="P2962" s="12" t="str">
        <f t="shared" si="189"/>
        <v>No Backers</v>
      </c>
      <c r="Q2962" s="14" t="s">
        <v>8314</v>
      </c>
      <c r="R2962" t="s">
        <v>8354</v>
      </c>
      <c r="S2962" s="17">
        <f t="shared" si="190"/>
        <v>41863.757210648146</v>
      </c>
      <c r="T2962" s="17">
        <f t="shared" si="191"/>
        <v>41893.757210648146</v>
      </c>
      <c r="U2962">
        <f>MONTH(Table1[[#This Row],[Launched]])</f>
        <v>8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 s="8">
        <v>1427342400</v>
      </c>
      <c r="J2963">
        <v>1424927159</v>
      </c>
      <c r="K2963" t="b">
        <v>0</v>
      </c>
      <c r="L2963" s="10">
        <v>108</v>
      </c>
      <c r="M2963" t="b">
        <v>1</v>
      </c>
      <c r="N2963" t="s">
        <v>8269</v>
      </c>
      <c r="O2963" s="11">
        <f t="shared" si="188"/>
        <v>110</v>
      </c>
      <c r="P2963" s="12">
        <f t="shared" si="189"/>
        <v>51</v>
      </c>
      <c r="Q2963" s="14" t="s">
        <v>8314</v>
      </c>
      <c r="R2963" t="s">
        <v>8315</v>
      </c>
      <c r="S2963" s="17">
        <f t="shared" si="190"/>
        <v>42061.212488425925</v>
      </c>
      <c r="T2963" s="17">
        <f t="shared" si="191"/>
        <v>42089.166666666672</v>
      </c>
      <c r="U2963">
        <f>MONTH(Table1[[#This Row],[Launched]])</f>
        <v>2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 s="8">
        <v>1425193140</v>
      </c>
      <c r="J2964">
        <v>1422769906</v>
      </c>
      <c r="K2964" t="b">
        <v>0</v>
      </c>
      <c r="L2964" s="10">
        <v>20</v>
      </c>
      <c r="M2964" t="b">
        <v>1</v>
      </c>
      <c r="N2964" t="s">
        <v>8269</v>
      </c>
      <c r="O2964" s="11">
        <f t="shared" si="188"/>
        <v>122</v>
      </c>
      <c r="P2964" s="12">
        <f t="shared" si="189"/>
        <v>61</v>
      </c>
      <c r="Q2964" s="14" t="s">
        <v>8314</v>
      </c>
      <c r="R2964" t="s">
        <v>8315</v>
      </c>
      <c r="S2964" s="17">
        <f t="shared" si="190"/>
        <v>42036.24428240741</v>
      </c>
      <c r="T2964" s="17">
        <f t="shared" si="191"/>
        <v>42064.290972222225</v>
      </c>
      <c r="U2964">
        <f>MONTH(Table1[[#This Row],[Launched]])</f>
        <v>2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 s="8">
        <v>1435835824</v>
      </c>
      <c r="J2965">
        <v>1433243824</v>
      </c>
      <c r="K2965" t="b">
        <v>0</v>
      </c>
      <c r="L2965" s="10">
        <v>98</v>
      </c>
      <c r="M2965" t="b">
        <v>1</v>
      </c>
      <c r="N2965" t="s">
        <v>8269</v>
      </c>
      <c r="O2965" s="11">
        <f t="shared" si="188"/>
        <v>107</v>
      </c>
      <c r="P2965" s="12">
        <f t="shared" si="189"/>
        <v>109</v>
      </c>
      <c r="Q2965" s="14" t="s">
        <v>8314</v>
      </c>
      <c r="R2965" t="s">
        <v>8315</v>
      </c>
      <c r="S2965" s="17">
        <f t="shared" si="190"/>
        <v>42157.470185185186</v>
      </c>
      <c r="T2965" s="17">
        <f t="shared" si="191"/>
        <v>42187.470185185186</v>
      </c>
      <c r="U2965">
        <f>MONTH(Table1[[#This Row],[Launched]])</f>
        <v>6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 s="8">
        <v>1407360720</v>
      </c>
      <c r="J2966">
        <v>1404769819</v>
      </c>
      <c r="K2966" t="b">
        <v>0</v>
      </c>
      <c r="L2966" s="10">
        <v>196</v>
      </c>
      <c r="M2966" t="b">
        <v>1</v>
      </c>
      <c r="N2966" t="s">
        <v>8269</v>
      </c>
      <c r="O2966" s="11">
        <f t="shared" si="188"/>
        <v>101</v>
      </c>
      <c r="P2966" s="12">
        <f t="shared" si="189"/>
        <v>26</v>
      </c>
      <c r="Q2966" s="14" t="s">
        <v>8314</v>
      </c>
      <c r="R2966" t="s">
        <v>8315</v>
      </c>
      <c r="S2966" s="17">
        <f t="shared" si="190"/>
        <v>41827.909942129627</v>
      </c>
      <c r="T2966" s="17">
        <f t="shared" si="191"/>
        <v>41857.897222222222</v>
      </c>
      <c r="U2966">
        <f>MONTH(Table1[[#This Row],[Launched]])</f>
        <v>7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 s="8">
        <v>1436290233</v>
      </c>
      <c r="J2967">
        <v>1433698233</v>
      </c>
      <c r="K2967" t="b">
        <v>0</v>
      </c>
      <c r="L2967" s="10">
        <v>39</v>
      </c>
      <c r="M2967" t="b">
        <v>1</v>
      </c>
      <c r="N2967" t="s">
        <v>8269</v>
      </c>
      <c r="O2967" s="11">
        <f t="shared" si="188"/>
        <v>109</v>
      </c>
      <c r="P2967" s="12">
        <f t="shared" si="189"/>
        <v>42</v>
      </c>
      <c r="Q2967" s="14" t="s">
        <v>8314</v>
      </c>
      <c r="R2967" t="s">
        <v>8315</v>
      </c>
      <c r="S2967" s="17">
        <f t="shared" si="190"/>
        <v>42162.729548611111</v>
      </c>
      <c r="T2967" s="17">
        <f t="shared" si="191"/>
        <v>42192.729548611111</v>
      </c>
      <c r="U2967">
        <f>MONTH(Table1[[#This Row],[Launched]])</f>
        <v>6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 s="8">
        <v>1442425412</v>
      </c>
      <c r="J2968">
        <v>1439833412</v>
      </c>
      <c r="K2968" t="b">
        <v>0</v>
      </c>
      <c r="L2968" s="10">
        <v>128</v>
      </c>
      <c r="M2968" t="b">
        <v>1</v>
      </c>
      <c r="N2968" t="s">
        <v>8269</v>
      </c>
      <c r="O2968" s="11">
        <f t="shared" si="188"/>
        <v>114</v>
      </c>
      <c r="P2968" s="12">
        <f t="shared" si="189"/>
        <v>89</v>
      </c>
      <c r="Q2968" s="14" t="s">
        <v>8314</v>
      </c>
      <c r="R2968" t="s">
        <v>8315</v>
      </c>
      <c r="S2968" s="17">
        <f t="shared" si="190"/>
        <v>42233.738564814819</v>
      </c>
      <c r="T2968" s="17">
        <f t="shared" si="191"/>
        <v>42263.738564814819</v>
      </c>
      <c r="U2968">
        <f>MONTH(Table1[[#This Row],[Launched]])</f>
        <v>8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 s="8">
        <v>1425872692</v>
      </c>
      <c r="J2969">
        <v>1423284292</v>
      </c>
      <c r="K2969" t="b">
        <v>0</v>
      </c>
      <c r="L2969" s="10">
        <v>71</v>
      </c>
      <c r="M2969" t="b">
        <v>1</v>
      </c>
      <c r="N2969" t="s">
        <v>8269</v>
      </c>
      <c r="O2969" s="11">
        <f t="shared" si="188"/>
        <v>114</v>
      </c>
      <c r="P2969" s="12">
        <f t="shared" si="189"/>
        <v>80</v>
      </c>
      <c r="Q2969" s="14" t="s">
        <v>8314</v>
      </c>
      <c r="R2969" t="s">
        <v>8315</v>
      </c>
      <c r="S2969" s="17">
        <f t="shared" si="190"/>
        <v>42042.197824074072</v>
      </c>
      <c r="T2969" s="17">
        <f t="shared" si="191"/>
        <v>42072.156157407408</v>
      </c>
      <c r="U2969">
        <f>MONTH(Table1[[#This Row],[Launched]])</f>
        <v>2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 s="8">
        <v>1471406340</v>
      </c>
      <c r="J2970">
        <v>1470227660</v>
      </c>
      <c r="K2970" t="b">
        <v>0</v>
      </c>
      <c r="L2970" s="10">
        <v>47</v>
      </c>
      <c r="M2970" t="b">
        <v>1</v>
      </c>
      <c r="N2970" t="s">
        <v>8269</v>
      </c>
      <c r="O2970" s="11">
        <f t="shared" si="188"/>
        <v>106</v>
      </c>
      <c r="P2970" s="12">
        <f t="shared" si="189"/>
        <v>79</v>
      </c>
      <c r="Q2970" s="14" t="s">
        <v>8314</v>
      </c>
      <c r="R2970" t="s">
        <v>8315</v>
      </c>
      <c r="S2970" s="17">
        <f t="shared" si="190"/>
        <v>42585.523842592593</v>
      </c>
      <c r="T2970" s="17">
        <f t="shared" si="191"/>
        <v>42599.165972222225</v>
      </c>
      <c r="U2970">
        <f>MONTH(Table1[[#This Row],[Launched]])</f>
        <v>8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 s="8">
        <v>1430693460</v>
      </c>
      <c r="J2971">
        <v>1428087153</v>
      </c>
      <c r="K2971" t="b">
        <v>0</v>
      </c>
      <c r="L2971" s="10">
        <v>17</v>
      </c>
      <c r="M2971" t="b">
        <v>1</v>
      </c>
      <c r="N2971" t="s">
        <v>8269</v>
      </c>
      <c r="O2971" s="11">
        <f t="shared" si="188"/>
        <v>163</v>
      </c>
      <c r="P2971" s="12">
        <f t="shared" si="189"/>
        <v>96</v>
      </c>
      <c r="Q2971" s="14" t="s">
        <v>8314</v>
      </c>
      <c r="R2971" t="s">
        <v>8315</v>
      </c>
      <c r="S2971" s="17">
        <f t="shared" si="190"/>
        <v>42097.786493055552</v>
      </c>
      <c r="T2971" s="17">
        <f t="shared" si="191"/>
        <v>42127.952083333337</v>
      </c>
      <c r="U2971">
        <f>MONTH(Table1[[#This Row],[Launched]])</f>
        <v>4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 s="8">
        <v>1405699451</v>
      </c>
      <c r="J2972">
        <v>1403107451</v>
      </c>
      <c r="K2972" t="b">
        <v>0</v>
      </c>
      <c r="L2972" s="10">
        <v>91</v>
      </c>
      <c r="M2972" t="b">
        <v>1</v>
      </c>
      <c r="N2972" t="s">
        <v>8269</v>
      </c>
      <c r="O2972" s="11">
        <f t="shared" si="188"/>
        <v>106</v>
      </c>
      <c r="P2972" s="12">
        <f t="shared" si="189"/>
        <v>70</v>
      </c>
      <c r="Q2972" s="14" t="s">
        <v>8314</v>
      </c>
      <c r="R2972" t="s">
        <v>8315</v>
      </c>
      <c r="S2972" s="17">
        <f t="shared" si="190"/>
        <v>41808.669571759259</v>
      </c>
      <c r="T2972" s="17">
        <f t="shared" si="191"/>
        <v>41838.669571759259</v>
      </c>
      <c r="U2972">
        <f>MONTH(Table1[[#This Row],[Launched]])</f>
        <v>6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 s="8">
        <v>1409500078</v>
      </c>
      <c r="J2973">
        <v>1406908078</v>
      </c>
      <c r="K2973" t="b">
        <v>0</v>
      </c>
      <c r="L2973" s="10">
        <v>43</v>
      </c>
      <c r="M2973" t="b">
        <v>1</v>
      </c>
      <c r="N2973" t="s">
        <v>8269</v>
      </c>
      <c r="O2973" s="11">
        <f t="shared" si="188"/>
        <v>100</v>
      </c>
      <c r="P2973" s="12">
        <f t="shared" si="189"/>
        <v>75</v>
      </c>
      <c r="Q2973" s="14" t="s">
        <v>8314</v>
      </c>
      <c r="R2973" t="s">
        <v>8315</v>
      </c>
      <c r="S2973" s="17">
        <f t="shared" si="190"/>
        <v>41852.658310185187</v>
      </c>
      <c r="T2973" s="17">
        <f t="shared" si="191"/>
        <v>41882.658310185187</v>
      </c>
      <c r="U2973">
        <f>MONTH(Table1[[#This Row],[Launched]])</f>
        <v>8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 s="8">
        <v>1480899600</v>
      </c>
      <c r="J2974">
        <v>1479609520</v>
      </c>
      <c r="K2974" t="b">
        <v>0</v>
      </c>
      <c r="L2974" s="10">
        <v>17</v>
      </c>
      <c r="M2974" t="b">
        <v>1</v>
      </c>
      <c r="N2974" t="s">
        <v>8269</v>
      </c>
      <c r="O2974" s="11">
        <f t="shared" si="188"/>
        <v>105</v>
      </c>
      <c r="P2974" s="12">
        <f t="shared" si="189"/>
        <v>124</v>
      </c>
      <c r="Q2974" s="14" t="s">
        <v>8314</v>
      </c>
      <c r="R2974" t="s">
        <v>8315</v>
      </c>
      <c r="S2974" s="17">
        <f t="shared" si="190"/>
        <v>42694.110185185185</v>
      </c>
      <c r="T2974" s="17">
        <f t="shared" si="191"/>
        <v>42709.041666666672</v>
      </c>
      <c r="U2974">
        <f>MONTH(Table1[[#This Row],[Launched]])</f>
        <v>11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 s="8">
        <v>1451620800</v>
      </c>
      <c r="J2975">
        <v>1449171508</v>
      </c>
      <c r="K2975" t="b">
        <v>0</v>
      </c>
      <c r="L2975" s="10">
        <v>33</v>
      </c>
      <c r="M2975" t="b">
        <v>1</v>
      </c>
      <c r="N2975" t="s">
        <v>8269</v>
      </c>
      <c r="O2975" s="11">
        <f t="shared" si="188"/>
        <v>175</v>
      </c>
      <c r="P2975" s="12">
        <f t="shared" si="189"/>
        <v>265</v>
      </c>
      <c r="Q2975" s="14" t="s">
        <v>8314</v>
      </c>
      <c r="R2975" t="s">
        <v>8315</v>
      </c>
      <c r="S2975" s="17">
        <f t="shared" si="190"/>
        <v>42341.818379629629</v>
      </c>
      <c r="T2975" s="17">
        <f t="shared" si="191"/>
        <v>42370.166666666672</v>
      </c>
      <c r="U2975">
        <f>MONTH(Table1[[#This Row],[Launched]])</f>
        <v>12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 s="8">
        <v>1411695300</v>
      </c>
      <c r="J2976">
        <v>1409275671</v>
      </c>
      <c r="K2976" t="b">
        <v>0</v>
      </c>
      <c r="L2976" s="10">
        <v>87</v>
      </c>
      <c r="M2976" t="b">
        <v>1</v>
      </c>
      <c r="N2976" t="s">
        <v>8269</v>
      </c>
      <c r="O2976" s="11">
        <f t="shared" si="188"/>
        <v>102</v>
      </c>
      <c r="P2976" s="12">
        <f t="shared" si="189"/>
        <v>59</v>
      </c>
      <c r="Q2976" s="14" t="s">
        <v>8314</v>
      </c>
      <c r="R2976" t="s">
        <v>8315</v>
      </c>
      <c r="S2976" s="17">
        <f t="shared" si="190"/>
        <v>41880.061006944445</v>
      </c>
      <c r="T2976" s="17">
        <f t="shared" si="191"/>
        <v>41908.065972222219</v>
      </c>
      <c r="U2976">
        <f>MONTH(Table1[[#This Row],[Launched]])</f>
        <v>8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 s="8">
        <v>1417057200</v>
      </c>
      <c r="J2977">
        <v>1414599886</v>
      </c>
      <c r="K2977" t="b">
        <v>0</v>
      </c>
      <c r="L2977" s="10">
        <v>113</v>
      </c>
      <c r="M2977" t="b">
        <v>1</v>
      </c>
      <c r="N2977" t="s">
        <v>8269</v>
      </c>
      <c r="O2977" s="11">
        <f t="shared" si="188"/>
        <v>100</v>
      </c>
      <c r="P2977" s="12">
        <f t="shared" si="189"/>
        <v>71</v>
      </c>
      <c r="Q2977" s="14" t="s">
        <v>8314</v>
      </c>
      <c r="R2977" t="s">
        <v>8315</v>
      </c>
      <c r="S2977" s="17">
        <f t="shared" si="190"/>
        <v>41941.683865740742</v>
      </c>
      <c r="T2977" s="17">
        <f t="shared" si="191"/>
        <v>41970.125</v>
      </c>
      <c r="U2977">
        <f>MONTH(Table1[[#This Row],[Launched]])</f>
        <v>10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8218</v>
      </c>
      <c r="G2978" t="s">
        <v>8224</v>
      </c>
      <c r="H2978" t="s">
        <v>8246</v>
      </c>
      <c r="I2978" s="8">
        <v>1457870400</v>
      </c>
      <c r="J2978">
        <v>1456421530</v>
      </c>
      <c r="K2978" t="b">
        <v>0</v>
      </c>
      <c r="L2978" s="10">
        <v>14</v>
      </c>
      <c r="M2978" t="b">
        <v>1</v>
      </c>
      <c r="N2978" t="s">
        <v>8269</v>
      </c>
      <c r="O2978" s="11">
        <f t="shared" si="188"/>
        <v>171</v>
      </c>
      <c r="P2978" s="12">
        <f t="shared" si="189"/>
        <v>9</v>
      </c>
      <c r="Q2978" s="14" t="s">
        <v>8314</v>
      </c>
      <c r="R2978" t="s">
        <v>8315</v>
      </c>
      <c r="S2978" s="17">
        <f t="shared" si="190"/>
        <v>42425.730671296296</v>
      </c>
      <c r="T2978" s="17">
        <f t="shared" si="191"/>
        <v>42442.5</v>
      </c>
      <c r="U2978">
        <f>MONTH(Table1[[#This Row],[Launched]])</f>
        <v>2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 s="8">
        <v>1427076840</v>
      </c>
      <c r="J2979">
        <v>1421960934</v>
      </c>
      <c r="K2979" t="b">
        <v>0</v>
      </c>
      <c r="L2979" s="10">
        <v>30</v>
      </c>
      <c r="M2979" t="b">
        <v>1</v>
      </c>
      <c r="N2979" t="s">
        <v>8269</v>
      </c>
      <c r="O2979" s="11">
        <f t="shared" si="188"/>
        <v>114</v>
      </c>
      <c r="P2979" s="12">
        <f t="shared" si="189"/>
        <v>114</v>
      </c>
      <c r="Q2979" s="14" t="s">
        <v>8314</v>
      </c>
      <c r="R2979" t="s">
        <v>8315</v>
      </c>
      <c r="S2979" s="17">
        <f t="shared" si="190"/>
        <v>42026.88118055556</v>
      </c>
      <c r="T2979" s="17">
        <f t="shared" si="191"/>
        <v>42086.093055555553</v>
      </c>
      <c r="U2979">
        <f>MONTH(Table1[[#This Row],[Launched]])</f>
        <v>1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8218</v>
      </c>
      <c r="G2980" t="s">
        <v>8223</v>
      </c>
      <c r="H2980" t="s">
        <v>8245</v>
      </c>
      <c r="I2980" s="8">
        <v>1413784740</v>
      </c>
      <c r="J2980">
        <v>1412954547</v>
      </c>
      <c r="K2980" t="b">
        <v>0</v>
      </c>
      <c r="L2980" s="10">
        <v>16</v>
      </c>
      <c r="M2980" t="b">
        <v>1</v>
      </c>
      <c r="N2980" t="s">
        <v>8269</v>
      </c>
      <c r="O2980" s="11">
        <f t="shared" si="188"/>
        <v>129</v>
      </c>
      <c r="P2980" s="12">
        <f t="shared" si="189"/>
        <v>61</v>
      </c>
      <c r="Q2980" s="14" t="s">
        <v>8314</v>
      </c>
      <c r="R2980" t="s">
        <v>8315</v>
      </c>
      <c r="S2980" s="17">
        <f t="shared" si="190"/>
        <v>41922.640590277777</v>
      </c>
      <c r="T2980" s="17">
        <f t="shared" si="191"/>
        <v>41932.249305555553</v>
      </c>
      <c r="U2980">
        <f>MONTH(Table1[[#This Row],[Launched]])</f>
        <v>10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 s="8">
        <v>1420524000</v>
      </c>
      <c r="J2981">
        <v>1419104823</v>
      </c>
      <c r="K2981" t="b">
        <v>0</v>
      </c>
      <c r="L2981" s="10">
        <v>46</v>
      </c>
      <c r="M2981" t="b">
        <v>1</v>
      </c>
      <c r="N2981" t="s">
        <v>8269</v>
      </c>
      <c r="O2981" s="11">
        <f t="shared" si="188"/>
        <v>101</v>
      </c>
      <c r="P2981" s="12">
        <f t="shared" si="189"/>
        <v>110</v>
      </c>
      <c r="Q2981" s="14" t="s">
        <v>8314</v>
      </c>
      <c r="R2981" t="s">
        <v>8315</v>
      </c>
      <c r="S2981" s="17">
        <f t="shared" si="190"/>
        <v>41993.824340277773</v>
      </c>
      <c r="T2981" s="17">
        <f t="shared" si="191"/>
        <v>42010.25</v>
      </c>
      <c r="U2981">
        <f>MONTH(Table1[[#This Row],[Launched]])</f>
        <v>12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 s="8">
        <v>1440381600</v>
      </c>
      <c r="J2982">
        <v>1438639130</v>
      </c>
      <c r="K2982" t="b">
        <v>0</v>
      </c>
      <c r="L2982" s="10">
        <v>24</v>
      </c>
      <c r="M2982" t="b">
        <v>1</v>
      </c>
      <c r="N2982" t="s">
        <v>8269</v>
      </c>
      <c r="O2982" s="11">
        <f t="shared" si="188"/>
        <v>109</v>
      </c>
      <c r="P2982" s="12">
        <f t="shared" si="189"/>
        <v>136</v>
      </c>
      <c r="Q2982" s="14" t="s">
        <v>8314</v>
      </c>
      <c r="R2982" t="s">
        <v>8315</v>
      </c>
      <c r="S2982" s="17">
        <f t="shared" si="190"/>
        <v>42219.915856481486</v>
      </c>
      <c r="T2982" s="17">
        <f t="shared" si="191"/>
        <v>42240.083333333328</v>
      </c>
      <c r="U2982">
        <f>MONTH(Table1[[#This Row],[Launched]])</f>
        <v>8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 s="8">
        <v>1443014756</v>
      </c>
      <c r="J2983">
        <v>1439126756</v>
      </c>
      <c r="K2983" t="b">
        <v>1</v>
      </c>
      <c r="L2983" s="10">
        <v>97</v>
      </c>
      <c r="M2983" t="b">
        <v>1</v>
      </c>
      <c r="N2983" t="s">
        <v>8301</v>
      </c>
      <c r="O2983" s="11">
        <f t="shared" si="188"/>
        <v>129</v>
      </c>
      <c r="P2983" s="12">
        <f t="shared" si="189"/>
        <v>53</v>
      </c>
      <c r="Q2983" s="14" t="s">
        <v>8314</v>
      </c>
      <c r="R2983" t="s">
        <v>8354</v>
      </c>
      <c r="S2983" s="17">
        <f t="shared" si="190"/>
        <v>42225.559675925921</v>
      </c>
      <c r="T2983" s="17">
        <f t="shared" si="191"/>
        <v>42270.559675925921</v>
      </c>
      <c r="U2983">
        <f>MONTH(Table1[[#This Row],[Launched]])</f>
        <v>8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 s="8">
        <v>1455208143</v>
      </c>
      <c r="J2984">
        <v>1452616143</v>
      </c>
      <c r="K2984" t="b">
        <v>1</v>
      </c>
      <c r="L2984" s="10">
        <v>59</v>
      </c>
      <c r="M2984" t="b">
        <v>1</v>
      </c>
      <c r="N2984" t="s">
        <v>8301</v>
      </c>
      <c r="O2984" s="11">
        <f t="shared" si="188"/>
        <v>102</v>
      </c>
      <c r="P2984" s="12">
        <f t="shared" si="189"/>
        <v>86</v>
      </c>
      <c r="Q2984" s="14" t="s">
        <v>8314</v>
      </c>
      <c r="R2984" t="s">
        <v>8354</v>
      </c>
      <c r="S2984" s="17">
        <f t="shared" si="190"/>
        <v>42381.686840277776</v>
      </c>
      <c r="T2984" s="17">
        <f t="shared" si="191"/>
        <v>42411.686840277776</v>
      </c>
      <c r="U2984">
        <f>MONTH(Table1[[#This Row],[Launched]])</f>
        <v>1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 s="8">
        <v>1415722236</v>
      </c>
      <c r="J2985">
        <v>1410534636</v>
      </c>
      <c r="K2985" t="b">
        <v>1</v>
      </c>
      <c r="L2985" s="10">
        <v>1095</v>
      </c>
      <c r="M2985" t="b">
        <v>1</v>
      </c>
      <c r="N2985" t="s">
        <v>8301</v>
      </c>
      <c r="O2985" s="11">
        <f t="shared" si="188"/>
        <v>147</v>
      </c>
      <c r="P2985" s="12">
        <f t="shared" si="189"/>
        <v>155</v>
      </c>
      <c r="Q2985" s="14" t="s">
        <v>8314</v>
      </c>
      <c r="R2985" t="s">
        <v>8354</v>
      </c>
      <c r="S2985" s="17">
        <f t="shared" si="190"/>
        <v>41894.632361111115</v>
      </c>
      <c r="T2985" s="17">
        <f t="shared" si="191"/>
        <v>41954.674027777779</v>
      </c>
      <c r="U2985">
        <f>MONTH(Table1[[#This Row],[Launched]])</f>
        <v>9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 s="8">
        <v>1472020881</v>
      </c>
      <c r="J2986">
        <v>1469428881</v>
      </c>
      <c r="K2986" t="b">
        <v>1</v>
      </c>
      <c r="L2986" s="10">
        <v>218</v>
      </c>
      <c r="M2986" t="b">
        <v>1</v>
      </c>
      <c r="N2986" t="s">
        <v>8301</v>
      </c>
      <c r="O2986" s="11">
        <f t="shared" si="188"/>
        <v>100</v>
      </c>
      <c r="P2986" s="12">
        <f t="shared" si="189"/>
        <v>115</v>
      </c>
      <c r="Q2986" s="14" t="s">
        <v>8314</v>
      </c>
      <c r="R2986" t="s">
        <v>8354</v>
      </c>
      <c r="S2986" s="17">
        <f t="shared" si="190"/>
        <v>42576.278715277775</v>
      </c>
      <c r="T2986" s="17">
        <f t="shared" si="191"/>
        <v>42606.278715277775</v>
      </c>
      <c r="U2986">
        <f>MONTH(Table1[[#This Row],[Launched]])</f>
        <v>7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 s="8">
        <v>1477886400</v>
      </c>
      <c r="J2987">
        <v>1476228128</v>
      </c>
      <c r="K2987" t="b">
        <v>0</v>
      </c>
      <c r="L2987" s="10">
        <v>111</v>
      </c>
      <c r="M2987" t="b">
        <v>1</v>
      </c>
      <c r="N2987" t="s">
        <v>8301</v>
      </c>
      <c r="O2987" s="11">
        <f t="shared" si="188"/>
        <v>122</v>
      </c>
      <c r="P2987" s="12">
        <f t="shared" si="189"/>
        <v>110</v>
      </c>
      <c r="Q2987" s="14" t="s">
        <v>8314</v>
      </c>
      <c r="R2987" t="s">
        <v>8354</v>
      </c>
      <c r="S2987" s="17">
        <f t="shared" si="190"/>
        <v>42654.973703703698</v>
      </c>
      <c r="T2987" s="17">
        <f t="shared" si="191"/>
        <v>42674.166666666672</v>
      </c>
      <c r="U2987">
        <f>MONTH(Table1[[#This Row],[Launched]])</f>
        <v>10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 s="8">
        <v>1462100406</v>
      </c>
      <c r="J2988">
        <v>1456920006</v>
      </c>
      <c r="K2988" t="b">
        <v>0</v>
      </c>
      <c r="L2988" s="10">
        <v>56</v>
      </c>
      <c r="M2988" t="b">
        <v>1</v>
      </c>
      <c r="N2988" t="s">
        <v>8301</v>
      </c>
      <c r="O2988" s="11">
        <f t="shared" si="188"/>
        <v>106</v>
      </c>
      <c r="P2988" s="12">
        <f t="shared" si="189"/>
        <v>45</v>
      </c>
      <c r="Q2988" s="14" t="s">
        <v>8314</v>
      </c>
      <c r="R2988" t="s">
        <v>8354</v>
      </c>
      <c r="S2988" s="17">
        <f t="shared" si="190"/>
        <v>42431.500069444446</v>
      </c>
      <c r="T2988" s="17">
        <f t="shared" si="191"/>
        <v>42491.458402777775</v>
      </c>
      <c r="U2988">
        <f>MONTH(Table1[[#This Row],[Launched]])</f>
        <v>3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 s="8">
        <v>1476316800</v>
      </c>
      <c r="J2989">
        <v>1473837751</v>
      </c>
      <c r="K2989" t="b">
        <v>0</v>
      </c>
      <c r="L2989" s="10">
        <v>265</v>
      </c>
      <c r="M2989" t="b">
        <v>1</v>
      </c>
      <c r="N2989" t="s">
        <v>8301</v>
      </c>
      <c r="O2989" s="11">
        <f t="shared" si="188"/>
        <v>110</v>
      </c>
      <c r="P2989" s="12">
        <f t="shared" si="189"/>
        <v>104</v>
      </c>
      <c r="Q2989" s="14" t="s">
        <v>8314</v>
      </c>
      <c r="R2989" t="s">
        <v>8354</v>
      </c>
      <c r="S2989" s="17">
        <f t="shared" si="190"/>
        <v>42627.307303240741</v>
      </c>
      <c r="T2989" s="17">
        <f t="shared" si="191"/>
        <v>42656</v>
      </c>
      <c r="U2989">
        <f>MONTH(Table1[[#This Row],[Launched]])</f>
        <v>9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 s="8">
        <v>1466412081</v>
      </c>
      <c r="J2990">
        <v>1463820081</v>
      </c>
      <c r="K2990" t="b">
        <v>0</v>
      </c>
      <c r="L2990" s="10">
        <v>28</v>
      </c>
      <c r="M2990" t="b">
        <v>1</v>
      </c>
      <c r="N2990" t="s">
        <v>8301</v>
      </c>
      <c r="O2990" s="11">
        <f t="shared" si="188"/>
        <v>100</v>
      </c>
      <c r="P2990" s="12">
        <f t="shared" si="189"/>
        <v>36</v>
      </c>
      <c r="Q2990" s="14" t="s">
        <v>8314</v>
      </c>
      <c r="R2990" t="s">
        <v>8354</v>
      </c>
      <c r="S2990" s="17">
        <f t="shared" si="190"/>
        <v>42511.362048611118</v>
      </c>
      <c r="T2990" s="17">
        <f t="shared" si="191"/>
        <v>42541.362048611118</v>
      </c>
      <c r="U2990">
        <f>MONTH(Table1[[#This Row],[Launched]])</f>
        <v>5</v>
      </c>
    </row>
    <row r="2991" spans="1:21" ht="15.6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 s="8">
        <v>1450673940</v>
      </c>
      <c r="J2991">
        <v>1448756962</v>
      </c>
      <c r="K2991" t="b">
        <v>0</v>
      </c>
      <c r="L2991" s="10">
        <v>364</v>
      </c>
      <c r="M2991" t="b">
        <v>1</v>
      </c>
      <c r="N2991" t="s">
        <v>8301</v>
      </c>
      <c r="O2991" s="11">
        <f t="shared" si="188"/>
        <v>177</v>
      </c>
      <c r="P2991" s="12">
        <f t="shared" si="189"/>
        <v>97</v>
      </c>
      <c r="Q2991" s="14" t="s">
        <v>8314</v>
      </c>
      <c r="R2991" t="s">
        <v>8354</v>
      </c>
      <c r="S2991" s="17">
        <f t="shared" si="190"/>
        <v>42337.02039351852</v>
      </c>
      <c r="T2991" s="17">
        <f t="shared" si="191"/>
        <v>42359.207638888889</v>
      </c>
      <c r="U2991">
        <f>MONTH(Table1[[#This Row],[Launched]])</f>
        <v>11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 s="8">
        <v>1452174420</v>
      </c>
      <c r="J2992">
        <v>1449150420</v>
      </c>
      <c r="K2992" t="b">
        <v>0</v>
      </c>
      <c r="L2992" s="10">
        <v>27</v>
      </c>
      <c r="M2992" t="b">
        <v>1</v>
      </c>
      <c r="N2992" t="s">
        <v>8301</v>
      </c>
      <c r="O2992" s="11">
        <f t="shared" si="188"/>
        <v>100</v>
      </c>
      <c r="P2992" s="12">
        <f t="shared" si="189"/>
        <v>370</v>
      </c>
      <c r="Q2992" s="14" t="s">
        <v>8314</v>
      </c>
      <c r="R2992" t="s">
        <v>8354</v>
      </c>
      <c r="S2992" s="17">
        <f t="shared" si="190"/>
        <v>42341.57430555555</v>
      </c>
      <c r="T2992" s="17">
        <f t="shared" si="191"/>
        <v>42376.57430555555</v>
      </c>
      <c r="U2992">
        <f>MONTH(Table1[[#This Row],[Launched]])</f>
        <v>12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 s="8">
        <v>1485547530</v>
      </c>
      <c r="J2993">
        <v>1483646730</v>
      </c>
      <c r="K2993" t="b">
        <v>0</v>
      </c>
      <c r="L2993" s="10">
        <v>93</v>
      </c>
      <c r="M2993" t="b">
        <v>1</v>
      </c>
      <c r="N2993" t="s">
        <v>8301</v>
      </c>
      <c r="O2993" s="11">
        <f t="shared" si="188"/>
        <v>103</v>
      </c>
      <c r="P2993" s="12">
        <f t="shared" si="189"/>
        <v>94</v>
      </c>
      <c r="Q2993" s="14" t="s">
        <v>8314</v>
      </c>
      <c r="R2993" t="s">
        <v>8354</v>
      </c>
      <c r="S2993" s="17">
        <f t="shared" si="190"/>
        <v>42740.837152777778</v>
      </c>
      <c r="T2993" s="17">
        <f t="shared" si="191"/>
        <v>42762.837152777778</v>
      </c>
      <c r="U2993">
        <f>MONTH(Table1[[#This Row],[Launched]])</f>
        <v>1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 s="8">
        <v>1476037510</v>
      </c>
      <c r="J2994">
        <v>1473445510</v>
      </c>
      <c r="K2994" t="b">
        <v>0</v>
      </c>
      <c r="L2994" s="10">
        <v>64</v>
      </c>
      <c r="M2994" t="b">
        <v>1</v>
      </c>
      <c r="N2994" t="s">
        <v>8301</v>
      </c>
      <c r="O2994" s="11">
        <f t="shared" si="188"/>
        <v>105</v>
      </c>
      <c r="P2994" s="12">
        <f t="shared" si="189"/>
        <v>49</v>
      </c>
      <c r="Q2994" s="14" t="s">
        <v>8314</v>
      </c>
      <c r="R2994" t="s">
        <v>8354</v>
      </c>
      <c r="S2994" s="17">
        <f t="shared" si="190"/>
        <v>42622.767476851848</v>
      </c>
      <c r="T2994" s="17">
        <f t="shared" si="191"/>
        <v>42652.767476851848</v>
      </c>
      <c r="U2994">
        <f>MONTH(Table1[[#This Row],[Launched]])</f>
        <v>9</v>
      </c>
    </row>
    <row r="2995" spans="1:21" ht="15.6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 s="8">
        <v>1455998867</v>
      </c>
      <c r="J2995">
        <v>1453406867</v>
      </c>
      <c r="K2995" t="b">
        <v>0</v>
      </c>
      <c r="L2995" s="10">
        <v>22</v>
      </c>
      <c r="M2995" t="b">
        <v>1</v>
      </c>
      <c r="N2995" t="s">
        <v>8301</v>
      </c>
      <c r="O2995" s="11">
        <f t="shared" si="188"/>
        <v>100</v>
      </c>
      <c r="P2995" s="12">
        <f t="shared" si="189"/>
        <v>46</v>
      </c>
      <c r="Q2995" s="14" t="s">
        <v>8314</v>
      </c>
      <c r="R2995" t="s">
        <v>8354</v>
      </c>
      <c r="S2995" s="17">
        <f t="shared" si="190"/>
        <v>42390.838738425926</v>
      </c>
      <c r="T2995" s="17">
        <f t="shared" si="191"/>
        <v>42420.838738425926</v>
      </c>
      <c r="U2995">
        <f>MONTH(Table1[[#This Row],[Launched]])</f>
        <v>1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 s="8">
        <v>1412335772</v>
      </c>
      <c r="J2996">
        <v>1409743772</v>
      </c>
      <c r="K2996" t="b">
        <v>0</v>
      </c>
      <c r="L2996" s="10">
        <v>59</v>
      </c>
      <c r="M2996" t="b">
        <v>1</v>
      </c>
      <c r="N2996" t="s">
        <v>8301</v>
      </c>
      <c r="O2996" s="11">
        <f t="shared" si="188"/>
        <v>458</v>
      </c>
      <c r="P2996" s="12">
        <f t="shared" si="189"/>
        <v>23</v>
      </c>
      <c r="Q2996" s="14" t="s">
        <v>8314</v>
      </c>
      <c r="R2996" t="s">
        <v>8354</v>
      </c>
      <c r="S2996" s="17">
        <f t="shared" si="190"/>
        <v>41885.478842592594</v>
      </c>
      <c r="T2996" s="17">
        <f t="shared" si="191"/>
        <v>41915.478842592594</v>
      </c>
      <c r="U2996">
        <f>MONTH(Table1[[#This Row],[Launched]])</f>
        <v>9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 s="8">
        <v>1484841471</v>
      </c>
      <c r="J2997">
        <v>1482249471</v>
      </c>
      <c r="K2997" t="b">
        <v>0</v>
      </c>
      <c r="L2997" s="10">
        <v>249</v>
      </c>
      <c r="M2997" t="b">
        <v>1</v>
      </c>
      <c r="N2997" t="s">
        <v>8301</v>
      </c>
      <c r="O2997" s="11">
        <f t="shared" si="188"/>
        <v>105</v>
      </c>
      <c r="P2997" s="12">
        <f t="shared" si="189"/>
        <v>63</v>
      </c>
      <c r="Q2997" s="14" t="s">
        <v>8314</v>
      </c>
      <c r="R2997" t="s">
        <v>8354</v>
      </c>
      <c r="S2997" s="17">
        <f t="shared" si="190"/>
        <v>42724.665173611109</v>
      </c>
      <c r="T2997" s="17">
        <f t="shared" si="191"/>
        <v>42754.665173611109</v>
      </c>
      <c r="U2997">
        <f>MONTH(Table1[[#This Row],[Launched]])</f>
        <v>12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 s="8">
        <v>1432677240</v>
      </c>
      <c r="J2998">
        <v>1427493240</v>
      </c>
      <c r="K2998" t="b">
        <v>0</v>
      </c>
      <c r="L2998" s="10">
        <v>392</v>
      </c>
      <c r="M2998" t="b">
        <v>1</v>
      </c>
      <c r="N2998" t="s">
        <v>8301</v>
      </c>
      <c r="O2998" s="11">
        <f t="shared" si="188"/>
        <v>172</v>
      </c>
      <c r="P2998" s="12">
        <f t="shared" si="189"/>
        <v>154</v>
      </c>
      <c r="Q2998" s="14" t="s">
        <v>8314</v>
      </c>
      <c r="R2998" t="s">
        <v>8354</v>
      </c>
      <c r="S2998" s="17">
        <f t="shared" si="190"/>
        <v>42090.912500000006</v>
      </c>
      <c r="T2998" s="17">
        <f t="shared" si="191"/>
        <v>42150.912500000006</v>
      </c>
      <c r="U2998">
        <f>MONTH(Table1[[#This Row],[Launched]])</f>
        <v>3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 s="8">
        <v>1488171540</v>
      </c>
      <c r="J2999">
        <v>1486661793</v>
      </c>
      <c r="K2999" t="b">
        <v>0</v>
      </c>
      <c r="L2999" s="10">
        <v>115</v>
      </c>
      <c r="M2999" t="b">
        <v>1</v>
      </c>
      <c r="N2999" t="s">
        <v>8301</v>
      </c>
      <c r="O2999" s="11">
        <f t="shared" si="188"/>
        <v>104</v>
      </c>
      <c r="P2999" s="12">
        <f t="shared" si="189"/>
        <v>90</v>
      </c>
      <c r="Q2999" s="14" t="s">
        <v>8314</v>
      </c>
      <c r="R2999" t="s">
        <v>8354</v>
      </c>
      <c r="S2999" s="17">
        <f t="shared" si="190"/>
        <v>42775.733715277776</v>
      </c>
      <c r="T2999" s="17">
        <f t="shared" si="191"/>
        <v>42793.207638888889</v>
      </c>
      <c r="U2999">
        <f>MONTH(Table1[[#This Row],[Launched]])</f>
        <v>2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 s="8">
        <v>1402892700</v>
      </c>
      <c r="J3000">
        <v>1400474329</v>
      </c>
      <c r="K3000" t="b">
        <v>0</v>
      </c>
      <c r="L3000" s="10">
        <v>433</v>
      </c>
      <c r="M3000" t="b">
        <v>1</v>
      </c>
      <c r="N3000" t="s">
        <v>8301</v>
      </c>
      <c r="O3000" s="11">
        <f t="shared" si="188"/>
        <v>103</v>
      </c>
      <c r="P3000" s="12">
        <f t="shared" si="189"/>
        <v>119</v>
      </c>
      <c r="Q3000" s="14" t="s">
        <v>8314</v>
      </c>
      <c r="R3000" t="s">
        <v>8354</v>
      </c>
      <c r="S3000" s="17">
        <f t="shared" si="190"/>
        <v>41778.193622685183</v>
      </c>
      <c r="T3000" s="17">
        <f t="shared" si="191"/>
        <v>41806.184027777781</v>
      </c>
      <c r="U3000">
        <f>MONTH(Table1[[#This Row],[Launched]])</f>
        <v>5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 s="8">
        <v>1488333600</v>
      </c>
      <c r="J3001">
        <v>1487094360</v>
      </c>
      <c r="K3001" t="b">
        <v>0</v>
      </c>
      <c r="L3001" s="10">
        <v>20</v>
      </c>
      <c r="M3001" t="b">
        <v>1</v>
      </c>
      <c r="N3001" t="s">
        <v>8301</v>
      </c>
      <c r="O3001" s="11">
        <f t="shared" si="188"/>
        <v>119</v>
      </c>
      <c r="P3001" s="12">
        <f t="shared" si="189"/>
        <v>80</v>
      </c>
      <c r="Q3001" s="14" t="s">
        <v>8314</v>
      </c>
      <c r="R3001" t="s">
        <v>8354</v>
      </c>
      <c r="S3001" s="17">
        <f t="shared" si="190"/>
        <v>42780.740277777775</v>
      </c>
      <c r="T3001" s="17">
        <f t="shared" si="191"/>
        <v>42795.083333333328</v>
      </c>
      <c r="U3001">
        <f>MONTH(Table1[[#This Row],[Launched]])</f>
        <v>2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8218</v>
      </c>
      <c r="G3002" t="s">
        <v>8223</v>
      </c>
      <c r="H3002" t="s">
        <v>8245</v>
      </c>
      <c r="I3002" s="8">
        <v>1485885600</v>
      </c>
      <c r="J3002">
        <v>1484682670</v>
      </c>
      <c r="K3002" t="b">
        <v>0</v>
      </c>
      <c r="L3002" s="10">
        <v>8</v>
      </c>
      <c r="M3002" t="b">
        <v>1</v>
      </c>
      <c r="N3002" t="s">
        <v>8301</v>
      </c>
      <c r="O3002" s="11">
        <f t="shared" si="188"/>
        <v>100</v>
      </c>
      <c r="P3002" s="12">
        <f t="shared" si="189"/>
        <v>63</v>
      </c>
      <c r="Q3002" s="14" t="s">
        <v>8314</v>
      </c>
      <c r="R3002" t="s">
        <v>8354</v>
      </c>
      <c r="S3002" s="17">
        <f t="shared" si="190"/>
        <v>42752.827199074076</v>
      </c>
      <c r="T3002" s="17">
        <f t="shared" si="191"/>
        <v>42766.75</v>
      </c>
      <c r="U3002">
        <f>MONTH(Table1[[#This Row],[Launched]])</f>
        <v>1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 s="8">
        <v>1468445382</v>
      </c>
      <c r="J3003">
        <v>1465853382</v>
      </c>
      <c r="K3003" t="b">
        <v>0</v>
      </c>
      <c r="L3003" s="10">
        <v>175</v>
      </c>
      <c r="M3003" t="b">
        <v>1</v>
      </c>
      <c r="N3003" t="s">
        <v>8301</v>
      </c>
      <c r="O3003" s="11">
        <f t="shared" si="188"/>
        <v>319</v>
      </c>
      <c r="P3003" s="12">
        <f t="shared" si="189"/>
        <v>131</v>
      </c>
      <c r="Q3003" s="14" t="s">
        <v>8314</v>
      </c>
      <c r="R3003" t="s">
        <v>8354</v>
      </c>
      <c r="S3003" s="17">
        <f t="shared" si="190"/>
        <v>42534.895625000005</v>
      </c>
      <c r="T3003" s="17">
        <f t="shared" si="191"/>
        <v>42564.895625000005</v>
      </c>
      <c r="U3003">
        <f>MONTH(Table1[[#This Row],[Launched]])</f>
        <v>6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 s="8">
        <v>1356552252</v>
      </c>
      <c r="J3004">
        <v>1353960252</v>
      </c>
      <c r="K3004" t="b">
        <v>0</v>
      </c>
      <c r="L3004" s="10">
        <v>104</v>
      </c>
      <c r="M3004" t="b">
        <v>1</v>
      </c>
      <c r="N3004" t="s">
        <v>8301</v>
      </c>
      <c r="O3004" s="11">
        <f t="shared" si="188"/>
        <v>109</v>
      </c>
      <c r="P3004" s="12">
        <f t="shared" si="189"/>
        <v>73</v>
      </c>
      <c r="Q3004" s="14" t="s">
        <v>8314</v>
      </c>
      <c r="R3004" t="s">
        <v>8354</v>
      </c>
      <c r="S3004" s="17">
        <f t="shared" si="190"/>
        <v>41239.83625</v>
      </c>
      <c r="T3004" s="17">
        <f t="shared" si="191"/>
        <v>41269.83625</v>
      </c>
      <c r="U3004">
        <f>MONTH(Table1[[#This Row],[Launched]])</f>
        <v>11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 s="8">
        <v>1456811940</v>
      </c>
      <c r="J3005">
        <v>1454098976</v>
      </c>
      <c r="K3005" t="b">
        <v>0</v>
      </c>
      <c r="L3005" s="10">
        <v>17</v>
      </c>
      <c r="M3005" t="b">
        <v>1</v>
      </c>
      <c r="N3005" t="s">
        <v>8301</v>
      </c>
      <c r="O3005" s="11">
        <f t="shared" si="188"/>
        <v>101</v>
      </c>
      <c r="P3005" s="12">
        <f t="shared" si="189"/>
        <v>179</v>
      </c>
      <c r="Q3005" s="14" t="s">
        <v>8314</v>
      </c>
      <c r="R3005" t="s">
        <v>8354</v>
      </c>
      <c r="S3005" s="17">
        <f t="shared" si="190"/>
        <v>42398.849259259259</v>
      </c>
      <c r="T3005" s="17">
        <f t="shared" si="191"/>
        <v>42430.249305555553</v>
      </c>
      <c r="U3005">
        <f>MONTH(Table1[[#This Row],[Launched]])</f>
        <v>1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 s="8">
        <v>1416089324</v>
      </c>
      <c r="J3006">
        <v>1413493724</v>
      </c>
      <c r="K3006" t="b">
        <v>0</v>
      </c>
      <c r="L3006" s="10">
        <v>277</v>
      </c>
      <c r="M3006" t="b">
        <v>1</v>
      </c>
      <c r="N3006" t="s">
        <v>8301</v>
      </c>
      <c r="O3006" s="11">
        <f t="shared" si="188"/>
        <v>113</v>
      </c>
      <c r="P3006" s="12">
        <f t="shared" si="189"/>
        <v>163</v>
      </c>
      <c r="Q3006" s="14" t="s">
        <v>8314</v>
      </c>
      <c r="R3006" t="s">
        <v>8354</v>
      </c>
      <c r="S3006" s="17">
        <f t="shared" si="190"/>
        <v>41928.881064814814</v>
      </c>
      <c r="T3006" s="17">
        <f t="shared" si="191"/>
        <v>41958.922731481478</v>
      </c>
      <c r="U3006">
        <f>MONTH(Table1[[#This Row],[Launched]])</f>
        <v>10</v>
      </c>
    </row>
    <row r="3007" spans="1:21" ht="57.6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 s="8">
        <v>1412611905</v>
      </c>
      <c r="J3007">
        <v>1410019905</v>
      </c>
      <c r="K3007" t="b">
        <v>0</v>
      </c>
      <c r="L3007" s="10">
        <v>118</v>
      </c>
      <c r="M3007" t="b">
        <v>1</v>
      </c>
      <c r="N3007" t="s">
        <v>8301</v>
      </c>
      <c r="O3007" s="11">
        <f t="shared" si="188"/>
        <v>120</v>
      </c>
      <c r="P3007" s="12">
        <f t="shared" si="189"/>
        <v>108</v>
      </c>
      <c r="Q3007" s="14" t="s">
        <v>8314</v>
      </c>
      <c r="R3007" t="s">
        <v>8354</v>
      </c>
      <c r="S3007" s="17">
        <f t="shared" si="190"/>
        <v>41888.674826388888</v>
      </c>
      <c r="T3007" s="17">
        <f t="shared" si="191"/>
        <v>41918.674826388888</v>
      </c>
      <c r="U3007">
        <f>MONTH(Table1[[#This Row],[Launched]])</f>
        <v>9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 s="8">
        <v>1418580591</v>
      </c>
      <c r="J3008">
        <v>1415988591</v>
      </c>
      <c r="K3008" t="b">
        <v>0</v>
      </c>
      <c r="L3008" s="10">
        <v>97</v>
      </c>
      <c r="M3008" t="b">
        <v>1</v>
      </c>
      <c r="N3008" t="s">
        <v>8301</v>
      </c>
      <c r="O3008" s="11">
        <f t="shared" si="188"/>
        <v>108</v>
      </c>
      <c r="P3008" s="12">
        <f t="shared" si="189"/>
        <v>89</v>
      </c>
      <c r="Q3008" s="14" t="s">
        <v>8314</v>
      </c>
      <c r="R3008" t="s">
        <v>8354</v>
      </c>
      <c r="S3008" s="17">
        <f t="shared" si="190"/>
        <v>41957.756840277783</v>
      </c>
      <c r="T3008" s="17">
        <f t="shared" si="191"/>
        <v>41987.756840277783</v>
      </c>
      <c r="U3008">
        <f>MONTH(Table1[[#This Row],[Launched]])</f>
        <v>11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8218</v>
      </c>
      <c r="G3009" t="s">
        <v>8223</v>
      </c>
      <c r="H3009" t="s">
        <v>8245</v>
      </c>
      <c r="I3009" s="8">
        <v>1429938683</v>
      </c>
      <c r="J3009">
        <v>1428124283</v>
      </c>
      <c r="K3009" t="b">
        <v>0</v>
      </c>
      <c r="L3009" s="10">
        <v>20</v>
      </c>
      <c r="M3009" t="b">
        <v>1</v>
      </c>
      <c r="N3009" t="s">
        <v>8301</v>
      </c>
      <c r="O3009" s="11">
        <f t="shared" si="188"/>
        <v>180</v>
      </c>
      <c r="P3009" s="12">
        <f t="shared" si="189"/>
        <v>54</v>
      </c>
      <c r="Q3009" s="14" t="s">
        <v>8314</v>
      </c>
      <c r="R3009" t="s">
        <v>8354</v>
      </c>
      <c r="S3009" s="17">
        <f t="shared" si="190"/>
        <v>42098.216238425928</v>
      </c>
      <c r="T3009" s="17">
        <f t="shared" si="191"/>
        <v>42119.216238425928</v>
      </c>
      <c r="U3009">
        <f>MONTH(Table1[[#This Row],[Launched]])</f>
        <v>4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 s="8">
        <v>1453352719</v>
      </c>
      <c r="J3010">
        <v>1450760719</v>
      </c>
      <c r="K3010" t="b">
        <v>0</v>
      </c>
      <c r="L3010" s="10">
        <v>26</v>
      </c>
      <c r="M3010" t="b">
        <v>1</v>
      </c>
      <c r="N3010" t="s">
        <v>8301</v>
      </c>
      <c r="O3010" s="11">
        <f t="shared" ref="O3010:O3073" si="192">ROUND(E3010/D3010*100,0)</f>
        <v>101</v>
      </c>
      <c r="P3010" s="12">
        <f t="shared" si="189"/>
        <v>117</v>
      </c>
      <c r="Q3010" s="14" t="s">
        <v>8314</v>
      </c>
      <c r="R3010" t="s">
        <v>8354</v>
      </c>
      <c r="S3010" s="17">
        <f t="shared" si="190"/>
        <v>42360.212025462963</v>
      </c>
      <c r="T3010" s="17">
        <f t="shared" si="191"/>
        <v>42390.212025462963</v>
      </c>
      <c r="U3010">
        <f>MONTH(Table1[[#This Row],[Launched]])</f>
        <v>12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 s="8">
        <v>1417012840</v>
      </c>
      <c r="J3011">
        <v>1414417240</v>
      </c>
      <c r="K3011" t="b">
        <v>0</v>
      </c>
      <c r="L3011" s="10">
        <v>128</v>
      </c>
      <c r="M3011" t="b">
        <v>1</v>
      </c>
      <c r="N3011" t="s">
        <v>8301</v>
      </c>
      <c r="O3011" s="11">
        <f t="shared" si="192"/>
        <v>120</v>
      </c>
      <c r="P3011" s="12">
        <f t="shared" ref="P3011:P3074" si="193">IFERROR(ROUND(E3011/L3011,),"No Backers")</f>
        <v>234</v>
      </c>
      <c r="Q3011" s="14" t="s">
        <v>8314</v>
      </c>
      <c r="R3011" t="s">
        <v>8354</v>
      </c>
      <c r="S3011" s="17">
        <f t="shared" ref="S3011:S3074" si="194">(((J3011/60)/60)/24)+DATE(1970,1,1)</f>
        <v>41939.569907407407</v>
      </c>
      <c r="T3011" s="17">
        <f t="shared" ref="T3011:T3074" si="195">(((I3011/60)/60)/24)+DATE(1970,1,1)</f>
        <v>41969.611574074079</v>
      </c>
      <c r="U3011">
        <f>MONTH(Table1[[#This Row],[Launched]])</f>
        <v>10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 s="8">
        <v>1424548719</v>
      </c>
      <c r="J3012">
        <v>1419364719</v>
      </c>
      <c r="K3012" t="b">
        <v>0</v>
      </c>
      <c r="L3012" s="10">
        <v>15</v>
      </c>
      <c r="M3012" t="b">
        <v>1</v>
      </c>
      <c r="N3012" t="s">
        <v>8301</v>
      </c>
      <c r="O3012" s="11">
        <f t="shared" si="192"/>
        <v>158</v>
      </c>
      <c r="P3012" s="12">
        <f t="shared" si="193"/>
        <v>158</v>
      </c>
      <c r="Q3012" s="14" t="s">
        <v>8314</v>
      </c>
      <c r="R3012" t="s">
        <v>8354</v>
      </c>
      <c r="S3012" s="17">
        <f t="shared" si="194"/>
        <v>41996.832395833335</v>
      </c>
      <c r="T3012" s="17">
        <f t="shared" si="195"/>
        <v>42056.832395833335</v>
      </c>
      <c r="U3012">
        <f>MONTH(Table1[[#This Row],[Launched]])</f>
        <v>12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8218</v>
      </c>
      <c r="G3013" t="s">
        <v>8226</v>
      </c>
      <c r="H3013" t="s">
        <v>8248</v>
      </c>
      <c r="I3013" s="8">
        <v>1450911540</v>
      </c>
      <c r="J3013">
        <v>1448536516</v>
      </c>
      <c r="K3013" t="b">
        <v>0</v>
      </c>
      <c r="L3013" s="10">
        <v>25</v>
      </c>
      <c r="M3013" t="b">
        <v>1</v>
      </c>
      <c r="N3013" t="s">
        <v>8301</v>
      </c>
      <c r="O3013" s="11">
        <f t="shared" si="192"/>
        <v>124</v>
      </c>
      <c r="P3013" s="12">
        <f t="shared" si="193"/>
        <v>15</v>
      </c>
      <c r="Q3013" s="14" t="s">
        <v>8314</v>
      </c>
      <c r="R3013" t="s">
        <v>8354</v>
      </c>
      <c r="S3013" s="17">
        <f t="shared" si="194"/>
        <v>42334.468935185185</v>
      </c>
      <c r="T3013" s="17">
        <f t="shared" si="195"/>
        <v>42361.957638888889</v>
      </c>
      <c r="U3013">
        <f>MONTH(Table1[[#This Row],[Launched]])</f>
        <v>11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 s="8">
        <v>1423587130</v>
      </c>
      <c r="J3014">
        <v>1421772730</v>
      </c>
      <c r="K3014" t="b">
        <v>0</v>
      </c>
      <c r="L3014" s="10">
        <v>55</v>
      </c>
      <c r="M3014" t="b">
        <v>1</v>
      </c>
      <c r="N3014" t="s">
        <v>8301</v>
      </c>
      <c r="O3014" s="11">
        <f t="shared" si="192"/>
        <v>117</v>
      </c>
      <c r="P3014" s="12">
        <f t="shared" si="193"/>
        <v>85</v>
      </c>
      <c r="Q3014" s="14" t="s">
        <v>8314</v>
      </c>
      <c r="R3014" t="s">
        <v>8354</v>
      </c>
      <c r="S3014" s="17">
        <f t="shared" si="194"/>
        <v>42024.702893518523</v>
      </c>
      <c r="T3014" s="17">
        <f t="shared" si="195"/>
        <v>42045.702893518523</v>
      </c>
      <c r="U3014">
        <f>MONTH(Table1[[#This Row],[Launched]])</f>
        <v>1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 s="8">
        <v>1434917049</v>
      </c>
      <c r="J3015">
        <v>1432325049</v>
      </c>
      <c r="K3015" t="b">
        <v>0</v>
      </c>
      <c r="L3015" s="10">
        <v>107</v>
      </c>
      <c r="M3015" t="b">
        <v>1</v>
      </c>
      <c r="N3015" t="s">
        <v>8301</v>
      </c>
      <c r="O3015" s="11">
        <f t="shared" si="192"/>
        <v>157</v>
      </c>
      <c r="P3015" s="12">
        <f t="shared" si="193"/>
        <v>147</v>
      </c>
      <c r="Q3015" s="14" t="s">
        <v>8314</v>
      </c>
      <c r="R3015" t="s">
        <v>8354</v>
      </c>
      <c r="S3015" s="17">
        <f t="shared" si="194"/>
        <v>42146.836215277777</v>
      </c>
      <c r="T3015" s="17">
        <f t="shared" si="195"/>
        <v>42176.836215277777</v>
      </c>
      <c r="U3015">
        <f>MONTH(Table1[[#This Row],[Launched]])</f>
        <v>5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 s="8">
        <v>1415163600</v>
      </c>
      <c r="J3016">
        <v>1412737080</v>
      </c>
      <c r="K3016" t="b">
        <v>0</v>
      </c>
      <c r="L3016" s="10">
        <v>557</v>
      </c>
      <c r="M3016" t="b">
        <v>1</v>
      </c>
      <c r="N3016" t="s">
        <v>8301</v>
      </c>
      <c r="O3016" s="11">
        <f t="shared" si="192"/>
        <v>113</v>
      </c>
      <c r="P3016" s="12">
        <f t="shared" si="193"/>
        <v>51</v>
      </c>
      <c r="Q3016" s="14" t="s">
        <v>8314</v>
      </c>
      <c r="R3016" t="s">
        <v>8354</v>
      </c>
      <c r="S3016" s="17">
        <f t="shared" si="194"/>
        <v>41920.123611111114</v>
      </c>
      <c r="T3016" s="17">
        <f t="shared" si="195"/>
        <v>41948.208333333336</v>
      </c>
      <c r="U3016">
        <f>MONTH(Table1[[#This Row],[Launched]])</f>
        <v>10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 s="8">
        <v>1402459200</v>
      </c>
      <c r="J3017">
        <v>1401125238</v>
      </c>
      <c r="K3017" t="b">
        <v>0</v>
      </c>
      <c r="L3017" s="10">
        <v>40</v>
      </c>
      <c r="M3017" t="b">
        <v>1</v>
      </c>
      <c r="N3017" t="s">
        <v>8301</v>
      </c>
      <c r="O3017" s="11">
        <f t="shared" si="192"/>
        <v>103</v>
      </c>
      <c r="P3017" s="12">
        <f t="shared" si="193"/>
        <v>88</v>
      </c>
      <c r="Q3017" s="14" t="s">
        <v>8314</v>
      </c>
      <c r="R3017" t="s">
        <v>8354</v>
      </c>
      <c r="S3017" s="17">
        <f t="shared" si="194"/>
        <v>41785.72729166667</v>
      </c>
      <c r="T3017" s="17">
        <f t="shared" si="195"/>
        <v>41801.166666666664</v>
      </c>
      <c r="U3017">
        <f>MONTH(Table1[[#This Row],[Launched]])</f>
        <v>5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 s="8">
        <v>1405688952</v>
      </c>
      <c r="J3018">
        <v>1400504952</v>
      </c>
      <c r="K3018" t="b">
        <v>0</v>
      </c>
      <c r="L3018" s="10">
        <v>36</v>
      </c>
      <c r="M3018" t="b">
        <v>1</v>
      </c>
      <c r="N3018" t="s">
        <v>8301</v>
      </c>
      <c r="O3018" s="11">
        <f t="shared" si="192"/>
        <v>103</v>
      </c>
      <c r="P3018" s="12">
        <f t="shared" si="193"/>
        <v>242</v>
      </c>
      <c r="Q3018" s="14" t="s">
        <v>8314</v>
      </c>
      <c r="R3018" t="s">
        <v>8354</v>
      </c>
      <c r="S3018" s="17">
        <f t="shared" si="194"/>
        <v>41778.548055555555</v>
      </c>
      <c r="T3018" s="17">
        <f t="shared" si="195"/>
        <v>41838.548055555555</v>
      </c>
      <c r="U3018">
        <f>MONTH(Table1[[#This Row],[Launched]])</f>
        <v>5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 s="8">
        <v>1408566243</v>
      </c>
      <c r="J3019">
        <v>1405974243</v>
      </c>
      <c r="K3019" t="b">
        <v>0</v>
      </c>
      <c r="L3019" s="10">
        <v>159</v>
      </c>
      <c r="M3019" t="b">
        <v>1</v>
      </c>
      <c r="N3019" t="s">
        <v>8301</v>
      </c>
      <c r="O3019" s="11">
        <f t="shared" si="192"/>
        <v>106</v>
      </c>
      <c r="P3019" s="12">
        <f t="shared" si="193"/>
        <v>146</v>
      </c>
      <c r="Q3019" s="14" t="s">
        <v>8314</v>
      </c>
      <c r="R3019" t="s">
        <v>8354</v>
      </c>
      <c r="S3019" s="17">
        <f t="shared" si="194"/>
        <v>41841.850034722222</v>
      </c>
      <c r="T3019" s="17">
        <f t="shared" si="195"/>
        <v>41871.850034722222</v>
      </c>
      <c r="U3019">
        <f>MONTH(Table1[[#This Row],[Launched]])</f>
        <v>7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 s="8">
        <v>1437429600</v>
      </c>
      <c r="J3020">
        <v>1433747376</v>
      </c>
      <c r="K3020" t="b">
        <v>0</v>
      </c>
      <c r="L3020" s="10">
        <v>41</v>
      </c>
      <c r="M3020" t="b">
        <v>1</v>
      </c>
      <c r="N3020" t="s">
        <v>8301</v>
      </c>
      <c r="O3020" s="11">
        <f t="shared" si="192"/>
        <v>101</v>
      </c>
      <c r="P3020" s="12">
        <f t="shared" si="193"/>
        <v>103</v>
      </c>
      <c r="Q3020" s="14" t="s">
        <v>8314</v>
      </c>
      <c r="R3020" t="s">
        <v>8354</v>
      </c>
      <c r="S3020" s="17">
        <f t="shared" si="194"/>
        <v>42163.29833333334</v>
      </c>
      <c r="T3020" s="17">
        <f t="shared" si="195"/>
        <v>42205.916666666672</v>
      </c>
      <c r="U3020">
        <f>MONTH(Table1[[#This Row],[Launched]])</f>
        <v>6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 s="8">
        <v>1401159600</v>
      </c>
      <c r="J3021">
        <v>1398801620</v>
      </c>
      <c r="K3021" t="b">
        <v>0</v>
      </c>
      <c r="L3021" s="10">
        <v>226</v>
      </c>
      <c r="M3021" t="b">
        <v>1</v>
      </c>
      <c r="N3021" t="s">
        <v>8301</v>
      </c>
      <c r="O3021" s="11">
        <f t="shared" si="192"/>
        <v>121</v>
      </c>
      <c r="P3021" s="12">
        <f t="shared" si="193"/>
        <v>80</v>
      </c>
      <c r="Q3021" s="14" t="s">
        <v>8314</v>
      </c>
      <c r="R3021" t="s">
        <v>8354</v>
      </c>
      <c r="S3021" s="17">
        <f t="shared" si="194"/>
        <v>41758.833564814813</v>
      </c>
      <c r="T3021" s="17">
        <f t="shared" si="195"/>
        <v>41786.125</v>
      </c>
      <c r="U3021">
        <f>MONTH(Table1[[#This Row],[Launched]])</f>
        <v>4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 s="8">
        <v>1439583533</v>
      </c>
      <c r="J3022">
        <v>1434399533</v>
      </c>
      <c r="K3022" t="b">
        <v>0</v>
      </c>
      <c r="L3022" s="10">
        <v>30</v>
      </c>
      <c r="M3022" t="b">
        <v>1</v>
      </c>
      <c r="N3022" t="s">
        <v>8301</v>
      </c>
      <c r="O3022" s="11">
        <f t="shared" si="192"/>
        <v>101</v>
      </c>
      <c r="P3022" s="12">
        <f t="shared" si="193"/>
        <v>235</v>
      </c>
      <c r="Q3022" s="14" t="s">
        <v>8314</v>
      </c>
      <c r="R3022" t="s">
        <v>8354</v>
      </c>
      <c r="S3022" s="17">
        <f t="shared" si="194"/>
        <v>42170.846446759257</v>
      </c>
      <c r="T3022" s="17">
        <f t="shared" si="195"/>
        <v>42230.846446759257</v>
      </c>
      <c r="U3022">
        <f>MONTH(Table1[[#This Row],[Launched]])</f>
        <v>6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 s="8">
        <v>1479794340</v>
      </c>
      <c r="J3023">
        <v>1476715869</v>
      </c>
      <c r="K3023" t="b">
        <v>0</v>
      </c>
      <c r="L3023" s="10">
        <v>103</v>
      </c>
      <c r="M3023" t="b">
        <v>1</v>
      </c>
      <c r="N3023" t="s">
        <v>8301</v>
      </c>
      <c r="O3023" s="11">
        <f t="shared" si="192"/>
        <v>116</v>
      </c>
      <c r="P3023" s="12">
        <f t="shared" si="193"/>
        <v>51</v>
      </c>
      <c r="Q3023" s="14" t="s">
        <v>8314</v>
      </c>
      <c r="R3023" t="s">
        <v>8354</v>
      </c>
      <c r="S3023" s="17">
        <f t="shared" si="194"/>
        <v>42660.618854166663</v>
      </c>
      <c r="T3023" s="17">
        <f t="shared" si="195"/>
        <v>42696.249305555553</v>
      </c>
      <c r="U3023">
        <f>MONTH(Table1[[#This Row],[Launched]])</f>
        <v>10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 s="8">
        <v>1472338409</v>
      </c>
      <c r="J3024">
        <v>1468450409</v>
      </c>
      <c r="K3024" t="b">
        <v>0</v>
      </c>
      <c r="L3024" s="10">
        <v>62</v>
      </c>
      <c r="M3024" t="b">
        <v>1</v>
      </c>
      <c r="N3024" t="s">
        <v>8301</v>
      </c>
      <c r="O3024" s="11">
        <f t="shared" si="192"/>
        <v>101</v>
      </c>
      <c r="P3024" s="12">
        <f t="shared" si="193"/>
        <v>163</v>
      </c>
      <c r="Q3024" s="14" t="s">
        <v>8314</v>
      </c>
      <c r="R3024" t="s">
        <v>8354</v>
      </c>
      <c r="S3024" s="17">
        <f t="shared" si="194"/>
        <v>42564.95380787037</v>
      </c>
      <c r="T3024" s="17">
        <f t="shared" si="195"/>
        <v>42609.95380787037</v>
      </c>
      <c r="U3024">
        <f>MONTH(Table1[[#This Row],[Launched]])</f>
        <v>7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8218</v>
      </c>
      <c r="G3025" t="s">
        <v>8224</v>
      </c>
      <c r="H3025" t="s">
        <v>8246</v>
      </c>
      <c r="I3025" s="8">
        <v>1434039186</v>
      </c>
      <c r="J3025">
        <v>1430151186</v>
      </c>
      <c r="K3025" t="b">
        <v>0</v>
      </c>
      <c r="L3025" s="10">
        <v>6</v>
      </c>
      <c r="M3025" t="b">
        <v>1</v>
      </c>
      <c r="N3025" t="s">
        <v>8301</v>
      </c>
      <c r="O3025" s="11">
        <f t="shared" si="192"/>
        <v>103</v>
      </c>
      <c r="P3025" s="12">
        <f t="shared" si="193"/>
        <v>120</v>
      </c>
      <c r="Q3025" s="14" t="s">
        <v>8314</v>
      </c>
      <c r="R3025" t="s">
        <v>8354</v>
      </c>
      <c r="S3025" s="17">
        <f t="shared" si="194"/>
        <v>42121.675763888896</v>
      </c>
      <c r="T3025" s="17">
        <f t="shared" si="195"/>
        <v>42166.675763888896</v>
      </c>
      <c r="U3025">
        <f>MONTH(Table1[[#This Row],[Launched]])</f>
        <v>4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 s="8">
        <v>1349567475</v>
      </c>
      <c r="J3026">
        <v>1346975475</v>
      </c>
      <c r="K3026" t="b">
        <v>0</v>
      </c>
      <c r="L3026" s="10">
        <v>182</v>
      </c>
      <c r="M3026" t="b">
        <v>1</v>
      </c>
      <c r="N3026" t="s">
        <v>8301</v>
      </c>
      <c r="O3026" s="11">
        <f t="shared" si="192"/>
        <v>246</v>
      </c>
      <c r="P3026" s="12">
        <f t="shared" si="193"/>
        <v>68</v>
      </c>
      <c r="Q3026" s="14" t="s">
        <v>8314</v>
      </c>
      <c r="R3026" t="s">
        <v>8354</v>
      </c>
      <c r="S3026" s="17">
        <f t="shared" si="194"/>
        <v>41158.993923611109</v>
      </c>
      <c r="T3026" s="17">
        <f t="shared" si="195"/>
        <v>41188.993923611109</v>
      </c>
      <c r="U3026">
        <f>MONTH(Table1[[#This Row],[Launched]])</f>
        <v>9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 s="8">
        <v>1401465600</v>
      </c>
      <c r="J3027">
        <v>1399032813</v>
      </c>
      <c r="K3027" t="b">
        <v>0</v>
      </c>
      <c r="L3027" s="10">
        <v>145</v>
      </c>
      <c r="M3027" t="b">
        <v>1</v>
      </c>
      <c r="N3027" t="s">
        <v>8301</v>
      </c>
      <c r="O3027" s="11">
        <f t="shared" si="192"/>
        <v>302</v>
      </c>
      <c r="P3027" s="12">
        <f t="shared" si="193"/>
        <v>52</v>
      </c>
      <c r="Q3027" s="14" t="s">
        <v>8314</v>
      </c>
      <c r="R3027" t="s">
        <v>8354</v>
      </c>
      <c r="S3027" s="17">
        <f t="shared" si="194"/>
        <v>41761.509409722225</v>
      </c>
      <c r="T3027" s="17">
        <f t="shared" si="195"/>
        <v>41789.666666666664</v>
      </c>
      <c r="U3027">
        <f>MONTH(Table1[[#This Row],[Launched]])</f>
        <v>5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8218</v>
      </c>
      <c r="G3028" t="s">
        <v>8224</v>
      </c>
      <c r="H3028" t="s">
        <v>8246</v>
      </c>
      <c r="I3028" s="8">
        <v>1488538892</v>
      </c>
      <c r="J3028">
        <v>1487329292</v>
      </c>
      <c r="K3028" t="b">
        <v>0</v>
      </c>
      <c r="L3028" s="10">
        <v>25</v>
      </c>
      <c r="M3028" t="b">
        <v>1</v>
      </c>
      <c r="N3028" t="s">
        <v>8301</v>
      </c>
      <c r="O3028" s="11">
        <f t="shared" si="192"/>
        <v>143</v>
      </c>
      <c r="P3028" s="12">
        <f t="shared" si="193"/>
        <v>52</v>
      </c>
      <c r="Q3028" s="14" t="s">
        <v>8314</v>
      </c>
      <c r="R3028" t="s">
        <v>8354</v>
      </c>
      <c r="S3028" s="17">
        <f t="shared" si="194"/>
        <v>42783.459398148145</v>
      </c>
      <c r="T3028" s="17">
        <f t="shared" si="195"/>
        <v>42797.459398148145</v>
      </c>
      <c r="U3028">
        <f>MONTH(Table1[[#This Row],[Launched]])</f>
        <v>2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 s="8">
        <v>1426866851</v>
      </c>
      <c r="J3029">
        <v>1424278451</v>
      </c>
      <c r="K3029" t="b">
        <v>0</v>
      </c>
      <c r="L3029" s="10">
        <v>320</v>
      </c>
      <c r="M3029" t="b">
        <v>1</v>
      </c>
      <c r="N3029" t="s">
        <v>8301</v>
      </c>
      <c r="O3029" s="11">
        <f t="shared" si="192"/>
        <v>131</v>
      </c>
      <c r="P3029" s="12">
        <f t="shared" si="193"/>
        <v>164</v>
      </c>
      <c r="Q3029" s="14" t="s">
        <v>8314</v>
      </c>
      <c r="R3029" t="s">
        <v>8354</v>
      </c>
      <c r="S3029" s="17">
        <f t="shared" si="194"/>
        <v>42053.704293981486</v>
      </c>
      <c r="T3029" s="17">
        <f t="shared" si="195"/>
        <v>42083.662627314814</v>
      </c>
      <c r="U3029">
        <f>MONTH(Table1[[#This Row],[Launched]])</f>
        <v>2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 s="8">
        <v>1471242025</v>
      </c>
      <c r="J3030">
        <v>1468650025</v>
      </c>
      <c r="K3030" t="b">
        <v>0</v>
      </c>
      <c r="L3030" s="10">
        <v>99</v>
      </c>
      <c r="M3030" t="b">
        <v>1</v>
      </c>
      <c r="N3030" t="s">
        <v>8301</v>
      </c>
      <c r="O3030" s="11">
        <f t="shared" si="192"/>
        <v>168</v>
      </c>
      <c r="P3030" s="12">
        <f t="shared" si="193"/>
        <v>85</v>
      </c>
      <c r="Q3030" s="14" t="s">
        <v>8314</v>
      </c>
      <c r="R3030" t="s">
        <v>8354</v>
      </c>
      <c r="S3030" s="17">
        <f t="shared" si="194"/>
        <v>42567.264178240745</v>
      </c>
      <c r="T3030" s="17">
        <f t="shared" si="195"/>
        <v>42597.264178240745</v>
      </c>
      <c r="U3030">
        <f>MONTH(Table1[[#This Row],[Launched]])</f>
        <v>7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 s="8">
        <v>1416285300</v>
      </c>
      <c r="J3031">
        <v>1413824447</v>
      </c>
      <c r="K3031" t="b">
        <v>0</v>
      </c>
      <c r="L3031" s="10">
        <v>348</v>
      </c>
      <c r="M3031" t="b">
        <v>1</v>
      </c>
      <c r="N3031" t="s">
        <v>8301</v>
      </c>
      <c r="O3031" s="11">
        <f t="shared" si="192"/>
        <v>110</v>
      </c>
      <c r="P3031" s="12">
        <f t="shared" si="193"/>
        <v>95</v>
      </c>
      <c r="Q3031" s="14" t="s">
        <v>8314</v>
      </c>
      <c r="R3031" t="s">
        <v>8354</v>
      </c>
      <c r="S3031" s="17">
        <f t="shared" si="194"/>
        <v>41932.708877314813</v>
      </c>
      <c r="T3031" s="17">
        <f t="shared" si="195"/>
        <v>41961.190972222219</v>
      </c>
      <c r="U3031">
        <f>MONTH(Table1[[#This Row],[Launched]])</f>
        <v>10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 s="8">
        <v>1442426171</v>
      </c>
      <c r="J3032">
        <v>1439834171</v>
      </c>
      <c r="K3032" t="b">
        <v>0</v>
      </c>
      <c r="L3032" s="10">
        <v>41</v>
      </c>
      <c r="M3032" t="b">
        <v>1</v>
      </c>
      <c r="N3032" t="s">
        <v>8301</v>
      </c>
      <c r="O3032" s="11">
        <f t="shared" si="192"/>
        <v>107</v>
      </c>
      <c r="P3032" s="12">
        <f t="shared" si="193"/>
        <v>46</v>
      </c>
      <c r="Q3032" s="14" t="s">
        <v>8314</v>
      </c>
      <c r="R3032" t="s">
        <v>8354</v>
      </c>
      <c r="S3032" s="17">
        <f t="shared" si="194"/>
        <v>42233.747349537036</v>
      </c>
      <c r="T3032" s="17">
        <f t="shared" si="195"/>
        <v>42263.747349537036</v>
      </c>
      <c r="U3032">
        <f>MONTH(Table1[[#This Row],[Launched]])</f>
        <v>8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 s="8">
        <v>1476479447</v>
      </c>
      <c r="J3033">
        <v>1471295447</v>
      </c>
      <c r="K3033" t="b">
        <v>0</v>
      </c>
      <c r="L3033" s="10">
        <v>29</v>
      </c>
      <c r="M3033" t="b">
        <v>1</v>
      </c>
      <c r="N3033" t="s">
        <v>8301</v>
      </c>
      <c r="O3033" s="11">
        <f t="shared" si="192"/>
        <v>100</v>
      </c>
      <c r="P3033" s="12">
        <f t="shared" si="193"/>
        <v>52</v>
      </c>
      <c r="Q3033" s="14" t="s">
        <v>8314</v>
      </c>
      <c r="R3033" t="s">
        <v>8354</v>
      </c>
      <c r="S3033" s="17">
        <f t="shared" si="194"/>
        <v>42597.882488425923</v>
      </c>
      <c r="T3033" s="17">
        <f t="shared" si="195"/>
        <v>42657.882488425923</v>
      </c>
      <c r="U3033">
        <f>MONTH(Table1[[#This Row],[Launched]])</f>
        <v>8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 s="8">
        <v>1441933459</v>
      </c>
      <c r="J3034">
        <v>1439341459</v>
      </c>
      <c r="K3034" t="b">
        <v>0</v>
      </c>
      <c r="L3034" s="10">
        <v>25</v>
      </c>
      <c r="M3034" t="b">
        <v>1</v>
      </c>
      <c r="N3034" t="s">
        <v>8301</v>
      </c>
      <c r="O3034" s="11">
        <f t="shared" si="192"/>
        <v>127</v>
      </c>
      <c r="P3034" s="12">
        <f t="shared" si="193"/>
        <v>51</v>
      </c>
      <c r="Q3034" s="14" t="s">
        <v>8314</v>
      </c>
      <c r="R3034" t="s">
        <v>8354</v>
      </c>
      <c r="S3034" s="17">
        <f t="shared" si="194"/>
        <v>42228.044664351852</v>
      </c>
      <c r="T3034" s="17">
        <f t="shared" si="195"/>
        <v>42258.044664351852</v>
      </c>
      <c r="U3034">
        <f>MONTH(Table1[[#This Row],[Launched]])</f>
        <v>8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 s="8">
        <v>1471487925</v>
      </c>
      <c r="J3035">
        <v>1468895925</v>
      </c>
      <c r="K3035" t="b">
        <v>0</v>
      </c>
      <c r="L3035" s="10">
        <v>23</v>
      </c>
      <c r="M3035" t="b">
        <v>1</v>
      </c>
      <c r="N3035" t="s">
        <v>8301</v>
      </c>
      <c r="O3035" s="11">
        <f t="shared" si="192"/>
        <v>147</v>
      </c>
      <c r="P3035" s="12">
        <f t="shared" si="193"/>
        <v>191</v>
      </c>
      <c r="Q3035" s="14" t="s">
        <v>8314</v>
      </c>
      <c r="R3035" t="s">
        <v>8354</v>
      </c>
      <c r="S3035" s="17">
        <f t="shared" si="194"/>
        <v>42570.110243055555</v>
      </c>
      <c r="T3035" s="17">
        <f t="shared" si="195"/>
        <v>42600.110243055555</v>
      </c>
      <c r="U3035">
        <f>MONTH(Table1[[#This Row],[Launched]])</f>
        <v>7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 s="8">
        <v>1477972740</v>
      </c>
      <c r="J3036">
        <v>1475326255</v>
      </c>
      <c r="K3036" t="b">
        <v>0</v>
      </c>
      <c r="L3036" s="10">
        <v>1260</v>
      </c>
      <c r="M3036" t="b">
        <v>1</v>
      </c>
      <c r="N3036" t="s">
        <v>8301</v>
      </c>
      <c r="O3036" s="11">
        <f t="shared" si="192"/>
        <v>113</v>
      </c>
      <c r="P3036" s="12">
        <f t="shared" si="193"/>
        <v>89</v>
      </c>
      <c r="Q3036" s="14" t="s">
        <v>8314</v>
      </c>
      <c r="R3036" t="s">
        <v>8354</v>
      </c>
      <c r="S3036" s="17">
        <f t="shared" si="194"/>
        <v>42644.535358796296</v>
      </c>
      <c r="T3036" s="17">
        <f t="shared" si="195"/>
        <v>42675.165972222225</v>
      </c>
      <c r="U3036">
        <f>MONTH(Table1[[#This Row],[Launched]])</f>
        <v>10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 s="8">
        <v>1367674009</v>
      </c>
      <c r="J3037">
        <v>1365082009</v>
      </c>
      <c r="K3037" t="b">
        <v>0</v>
      </c>
      <c r="L3037" s="10">
        <v>307</v>
      </c>
      <c r="M3037" t="b">
        <v>1</v>
      </c>
      <c r="N3037" t="s">
        <v>8301</v>
      </c>
      <c r="O3037" s="11">
        <f t="shared" si="192"/>
        <v>109</v>
      </c>
      <c r="P3037" s="12">
        <f t="shared" si="193"/>
        <v>89</v>
      </c>
      <c r="Q3037" s="14" t="s">
        <v>8314</v>
      </c>
      <c r="R3037" t="s">
        <v>8354</v>
      </c>
      <c r="S3037" s="17">
        <f t="shared" si="194"/>
        <v>41368.560289351852</v>
      </c>
      <c r="T3037" s="17">
        <f t="shared" si="195"/>
        <v>41398.560289351852</v>
      </c>
      <c r="U3037">
        <f>MONTH(Table1[[#This Row],[Launched]])</f>
        <v>4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 s="8">
        <v>1376654340</v>
      </c>
      <c r="J3038">
        <v>1373568644</v>
      </c>
      <c r="K3038" t="b">
        <v>0</v>
      </c>
      <c r="L3038" s="10">
        <v>329</v>
      </c>
      <c r="M3038" t="b">
        <v>1</v>
      </c>
      <c r="N3038" t="s">
        <v>8301</v>
      </c>
      <c r="O3038" s="11">
        <f t="shared" si="192"/>
        <v>127</v>
      </c>
      <c r="P3038" s="12">
        <f t="shared" si="193"/>
        <v>96</v>
      </c>
      <c r="Q3038" s="14" t="s">
        <v>8314</v>
      </c>
      <c r="R3038" t="s">
        <v>8354</v>
      </c>
      <c r="S3038" s="17">
        <f t="shared" si="194"/>
        <v>41466.785231481481</v>
      </c>
      <c r="T3038" s="17">
        <f t="shared" si="195"/>
        <v>41502.499305555553</v>
      </c>
      <c r="U3038">
        <f>MONTH(Table1[[#This Row],[Launched]])</f>
        <v>7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8218</v>
      </c>
      <c r="G3039" t="s">
        <v>8223</v>
      </c>
      <c r="H3039" t="s">
        <v>8245</v>
      </c>
      <c r="I3039" s="8">
        <v>1285995540</v>
      </c>
      <c r="J3039">
        <v>1279574773</v>
      </c>
      <c r="K3039" t="b">
        <v>0</v>
      </c>
      <c r="L3039" s="10">
        <v>32</v>
      </c>
      <c r="M3039" t="b">
        <v>1</v>
      </c>
      <c r="N3039" t="s">
        <v>8301</v>
      </c>
      <c r="O3039" s="11">
        <f t="shared" si="192"/>
        <v>213</v>
      </c>
      <c r="P3039" s="12">
        <f t="shared" si="193"/>
        <v>33</v>
      </c>
      <c r="Q3039" s="14" t="s">
        <v>8314</v>
      </c>
      <c r="R3039" t="s">
        <v>8354</v>
      </c>
      <c r="S3039" s="17">
        <f t="shared" si="194"/>
        <v>40378.893206018518</v>
      </c>
      <c r="T3039" s="17">
        <f t="shared" si="195"/>
        <v>40453.207638888889</v>
      </c>
      <c r="U3039">
        <f>MONTH(Table1[[#This Row],[Launched]])</f>
        <v>7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 s="8">
        <v>1457071397</v>
      </c>
      <c r="J3040">
        <v>1451887397</v>
      </c>
      <c r="K3040" t="b">
        <v>0</v>
      </c>
      <c r="L3040" s="10">
        <v>27</v>
      </c>
      <c r="M3040" t="b">
        <v>1</v>
      </c>
      <c r="N3040" t="s">
        <v>8301</v>
      </c>
      <c r="O3040" s="11">
        <f t="shared" si="192"/>
        <v>101</v>
      </c>
      <c r="P3040" s="12">
        <f t="shared" si="193"/>
        <v>37</v>
      </c>
      <c r="Q3040" s="14" t="s">
        <v>8314</v>
      </c>
      <c r="R3040" t="s">
        <v>8354</v>
      </c>
      <c r="S3040" s="17">
        <f t="shared" si="194"/>
        <v>42373.252280092594</v>
      </c>
      <c r="T3040" s="17">
        <f t="shared" si="195"/>
        <v>42433.252280092594</v>
      </c>
      <c r="U3040">
        <f>MONTH(Table1[[#This Row],[Launched]])</f>
        <v>1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 s="8">
        <v>1388303940</v>
      </c>
      <c r="J3041">
        <v>1386011038</v>
      </c>
      <c r="K3041" t="b">
        <v>0</v>
      </c>
      <c r="L3041" s="10">
        <v>236</v>
      </c>
      <c r="M3041" t="b">
        <v>1</v>
      </c>
      <c r="N3041" t="s">
        <v>8301</v>
      </c>
      <c r="O3041" s="11">
        <f t="shared" si="192"/>
        <v>109</v>
      </c>
      <c r="P3041" s="12">
        <f t="shared" si="193"/>
        <v>92</v>
      </c>
      <c r="Q3041" s="14" t="s">
        <v>8314</v>
      </c>
      <c r="R3041" t="s">
        <v>8354</v>
      </c>
      <c r="S3041" s="17">
        <f t="shared" si="194"/>
        <v>41610.794421296298</v>
      </c>
      <c r="T3041" s="17">
        <f t="shared" si="195"/>
        <v>41637.332638888889</v>
      </c>
      <c r="U3041">
        <f>MONTH(Table1[[#This Row],[Launched]])</f>
        <v>12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 s="8">
        <v>1435359600</v>
      </c>
      <c r="J3042">
        <v>1434999621</v>
      </c>
      <c r="K3042" t="b">
        <v>0</v>
      </c>
      <c r="L3042" s="10">
        <v>42</v>
      </c>
      <c r="M3042" t="b">
        <v>1</v>
      </c>
      <c r="N3042" t="s">
        <v>8301</v>
      </c>
      <c r="O3042" s="11">
        <f t="shared" si="192"/>
        <v>108</v>
      </c>
      <c r="P3042" s="12">
        <f t="shared" si="193"/>
        <v>77</v>
      </c>
      <c r="Q3042" s="14" t="s">
        <v>8314</v>
      </c>
      <c r="R3042" t="s">
        <v>8354</v>
      </c>
      <c r="S3042" s="17">
        <f t="shared" si="194"/>
        <v>42177.791909722218</v>
      </c>
      <c r="T3042" s="17">
        <f t="shared" si="195"/>
        <v>42181.958333333328</v>
      </c>
      <c r="U3042">
        <f>MONTH(Table1[[#This Row],[Launched]])</f>
        <v>6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 s="8">
        <v>1453323048</v>
      </c>
      <c r="J3043">
        <v>1450731048</v>
      </c>
      <c r="K3043" t="b">
        <v>0</v>
      </c>
      <c r="L3043" s="10">
        <v>95</v>
      </c>
      <c r="M3043" t="b">
        <v>1</v>
      </c>
      <c r="N3043" t="s">
        <v>8301</v>
      </c>
      <c r="O3043" s="11">
        <f t="shared" si="192"/>
        <v>110</v>
      </c>
      <c r="P3043" s="12">
        <f t="shared" si="193"/>
        <v>97</v>
      </c>
      <c r="Q3043" s="14" t="s">
        <v>8314</v>
      </c>
      <c r="R3043" t="s">
        <v>8354</v>
      </c>
      <c r="S3043" s="17">
        <f t="shared" si="194"/>
        <v>42359.868611111116</v>
      </c>
      <c r="T3043" s="17">
        <f t="shared" si="195"/>
        <v>42389.868611111116</v>
      </c>
      <c r="U3043">
        <f>MONTH(Table1[[#This Row],[Launched]])</f>
        <v>12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 s="8">
        <v>1444149047</v>
      </c>
      <c r="J3044">
        <v>1441557047</v>
      </c>
      <c r="K3044" t="b">
        <v>0</v>
      </c>
      <c r="L3044" s="10">
        <v>37</v>
      </c>
      <c r="M3044" t="b">
        <v>1</v>
      </c>
      <c r="N3044" t="s">
        <v>8301</v>
      </c>
      <c r="O3044" s="11">
        <f t="shared" si="192"/>
        <v>128</v>
      </c>
      <c r="P3044" s="12">
        <f t="shared" si="193"/>
        <v>52</v>
      </c>
      <c r="Q3044" s="14" t="s">
        <v>8314</v>
      </c>
      <c r="R3044" t="s">
        <v>8354</v>
      </c>
      <c r="S3044" s="17">
        <f t="shared" si="194"/>
        <v>42253.688043981485</v>
      </c>
      <c r="T3044" s="17">
        <f t="shared" si="195"/>
        <v>42283.688043981485</v>
      </c>
      <c r="U3044">
        <f>MONTH(Table1[[#This Row],[Launched]])</f>
        <v>9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 s="8">
        <v>1429152600</v>
      </c>
      <c r="J3045">
        <v>1426815699</v>
      </c>
      <c r="K3045" t="b">
        <v>0</v>
      </c>
      <c r="L3045" s="10">
        <v>128</v>
      </c>
      <c r="M3045" t="b">
        <v>1</v>
      </c>
      <c r="N3045" t="s">
        <v>8301</v>
      </c>
      <c r="O3045" s="11">
        <f t="shared" si="192"/>
        <v>110</v>
      </c>
      <c r="P3045" s="12">
        <f t="shared" si="193"/>
        <v>129</v>
      </c>
      <c r="Q3045" s="14" t="s">
        <v>8314</v>
      </c>
      <c r="R3045" t="s">
        <v>8354</v>
      </c>
      <c r="S3045" s="17">
        <f t="shared" si="194"/>
        <v>42083.070590277777</v>
      </c>
      <c r="T3045" s="17">
        <f t="shared" si="195"/>
        <v>42110.118055555555</v>
      </c>
      <c r="U3045">
        <f>MONTH(Table1[[#This Row],[Launched]])</f>
        <v>3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 s="8">
        <v>1454433998</v>
      </c>
      <c r="J3046">
        <v>1453137998</v>
      </c>
      <c r="K3046" t="b">
        <v>0</v>
      </c>
      <c r="L3046" s="10">
        <v>156</v>
      </c>
      <c r="M3046" t="b">
        <v>1</v>
      </c>
      <c r="N3046" t="s">
        <v>8301</v>
      </c>
      <c r="O3046" s="11">
        <f t="shared" si="192"/>
        <v>109</v>
      </c>
      <c r="P3046" s="12">
        <f t="shared" si="193"/>
        <v>84</v>
      </c>
      <c r="Q3046" s="14" t="s">
        <v>8314</v>
      </c>
      <c r="R3046" t="s">
        <v>8354</v>
      </c>
      <c r="S3046" s="17">
        <f t="shared" si="194"/>
        <v>42387.7268287037</v>
      </c>
      <c r="T3046" s="17">
        <f t="shared" si="195"/>
        <v>42402.7268287037</v>
      </c>
      <c r="U3046">
        <f>MONTH(Table1[[#This Row],[Launched]])</f>
        <v>1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 s="8">
        <v>1408679055</v>
      </c>
      <c r="J3047">
        <v>1406087055</v>
      </c>
      <c r="K3047" t="b">
        <v>0</v>
      </c>
      <c r="L3047" s="10">
        <v>64</v>
      </c>
      <c r="M3047" t="b">
        <v>1</v>
      </c>
      <c r="N3047" t="s">
        <v>8301</v>
      </c>
      <c r="O3047" s="11">
        <f t="shared" si="192"/>
        <v>133</v>
      </c>
      <c r="P3047" s="12">
        <f t="shared" si="193"/>
        <v>83</v>
      </c>
      <c r="Q3047" s="14" t="s">
        <v>8314</v>
      </c>
      <c r="R3047" t="s">
        <v>8354</v>
      </c>
      <c r="S3047" s="17">
        <f t="shared" si="194"/>
        <v>41843.155729166669</v>
      </c>
      <c r="T3047" s="17">
        <f t="shared" si="195"/>
        <v>41873.155729166669</v>
      </c>
      <c r="U3047">
        <f>MONTH(Table1[[#This Row],[Launched]])</f>
        <v>7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 s="8">
        <v>1410324720</v>
      </c>
      <c r="J3048">
        <v>1407784586</v>
      </c>
      <c r="K3048" t="b">
        <v>0</v>
      </c>
      <c r="L3048" s="10">
        <v>58</v>
      </c>
      <c r="M3048" t="b">
        <v>1</v>
      </c>
      <c r="N3048" t="s">
        <v>8301</v>
      </c>
      <c r="O3048" s="11">
        <f t="shared" si="192"/>
        <v>191</v>
      </c>
      <c r="P3048" s="12">
        <f t="shared" si="193"/>
        <v>260</v>
      </c>
      <c r="Q3048" s="14" t="s">
        <v>8314</v>
      </c>
      <c r="R3048" t="s">
        <v>8354</v>
      </c>
      <c r="S3048" s="17">
        <f t="shared" si="194"/>
        <v>41862.803078703706</v>
      </c>
      <c r="T3048" s="17">
        <f t="shared" si="195"/>
        <v>41892.202777777777</v>
      </c>
      <c r="U3048">
        <f>MONTH(Table1[[#This Row],[Launched]])</f>
        <v>8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8218</v>
      </c>
      <c r="G3049" t="s">
        <v>8223</v>
      </c>
      <c r="H3049" t="s">
        <v>8245</v>
      </c>
      <c r="I3049" s="8">
        <v>1461762960</v>
      </c>
      <c r="J3049">
        <v>1457999054</v>
      </c>
      <c r="K3049" t="b">
        <v>0</v>
      </c>
      <c r="L3049" s="10">
        <v>20</v>
      </c>
      <c r="M3049" t="b">
        <v>1</v>
      </c>
      <c r="N3049" t="s">
        <v>8301</v>
      </c>
      <c r="O3049" s="11">
        <f t="shared" si="192"/>
        <v>149</v>
      </c>
      <c r="P3049" s="12">
        <f t="shared" si="193"/>
        <v>37</v>
      </c>
      <c r="Q3049" s="14" t="s">
        <v>8314</v>
      </c>
      <c r="R3049" t="s">
        <v>8354</v>
      </c>
      <c r="S3049" s="17">
        <f t="shared" si="194"/>
        <v>42443.989050925928</v>
      </c>
      <c r="T3049" s="17">
        <f t="shared" si="195"/>
        <v>42487.552777777775</v>
      </c>
      <c r="U3049">
        <f>MONTH(Table1[[#This Row],[Launched]])</f>
        <v>3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 s="8">
        <v>1420060920</v>
      </c>
      <c r="J3050">
        <v>1417556262</v>
      </c>
      <c r="K3050" t="b">
        <v>0</v>
      </c>
      <c r="L3050" s="10">
        <v>47</v>
      </c>
      <c r="M3050" t="b">
        <v>1</v>
      </c>
      <c r="N3050" t="s">
        <v>8301</v>
      </c>
      <c r="O3050" s="11">
        <f t="shared" si="192"/>
        <v>166</v>
      </c>
      <c r="P3050" s="12">
        <f t="shared" si="193"/>
        <v>177</v>
      </c>
      <c r="Q3050" s="14" t="s">
        <v>8314</v>
      </c>
      <c r="R3050" t="s">
        <v>8354</v>
      </c>
      <c r="S3050" s="17">
        <f t="shared" si="194"/>
        <v>41975.901180555549</v>
      </c>
      <c r="T3050" s="17">
        <f t="shared" si="195"/>
        <v>42004.890277777777</v>
      </c>
      <c r="U3050">
        <f>MONTH(Table1[[#This Row],[Launched]])</f>
        <v>12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 s="8">
        <v>1434241255</v>
      </c>
      <c r="J3051">
        <v>1431649255</v>
      </c>
      <c r="K3051" t="b">
        <v>0</v>
      </c>
      <c r="L3051" s="10">
        <v>54</v>
      </c>
      <c r="M3051" t="b">
        <v>1</v>
      </c>
      <c r="N3051" t="s">
        <v>8301</v>
      </c>
      <c r="O3051" s="11">
        <f t="shared" si="192"/>
        <v>107</v>
      </c>
      <c r="P3051" s="12">
        <f t="shared" si="193"/>
        <v>74</v>
      </c>
      <c r="Q3051" s="14" t="s">
        <v>8314</v>
      </c>
      <c r="R3051" t="s">
        <v>8354</v>
      </c>
      <c r="S3051" s="17">
        <f t="shared" si="194"/>
        <v>42139.014525462961</v>
      </c>
      <c r="T3051" s="17">
        <f t="shared" si="195"/>
        <v>42169.014525462961</v>
      </c>
      <c r="U3051">
        <f>MONTH(Table1[[#This Row],[Launched]])</f>
        <v>5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8218</v>
      </c>
      <c r="G3052" t="s">
        <v>8223</v>
      </c>
      <c r="H3052" t="s">
        <v>8245</v>
      </c>
      <c r="I3052" s="8">
        <v>1462420960</v>
      </c>
      <c r="J3052">
        <v>1459828960</v>
      </c>
      <c r="K3052" t="b">
        <v>0</v>
      </c>
      <c r="L3052" s="10">
        <v>9</v>
      </c>
      <c r="M3052" t="b">
        <v>1</v>
      </c>
      <c r="N3052" t="s">
        <v>8301</v>
      </c>
      <c r="O3052" s="11">
        <f t="shared" si="192"/>
        <v>106</v>
      </c>
      <c r="P3052" s="12">
        <f t="shared" si="193"/>
        <v>71</v>
      </c>
      <c r="Q3052" s="14" t="s">
        <v>8314</v>
      </c>
      <c r="R3052" t="s">
        <v>8354</v>
      </c>
      <c r="S3052" s="17">
        <f t="shared" si="194"/>
        <v>42465.16851851852</v>
      </c>
      <c r="T3052" s="17">
        <f t="shared" si="195"/>
        <v>42495.16851851852</v>
      </c>
      <c r="U3052">
        <f>MONTH(Table1[[#This Row],[Launched]])</f>
        <v>4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8220</v>
      </c>
      <c r="G3053" t="s">
        <v>8224</v>
      </c>
      <c r="H3053" t="s">
        <v>8246</v>
      </c>
      <c r="I3053" s="8">
        <v>1486547945</v>
      </c>
      <c r="J3053">
        <v>1483955945</v>
      </c>
      <c r="K3053" t="b">
        <v>1</v>
      </c>
      <c r="L3053" s="10">
        <v>35</v>
      </c>
      <c r="M3053" t="b">
        <v>0</v>
      </c>
      <c r="N3053" t="s">
        <v>8301</v>
      </c>
      <c r="O3053" s="11">
        <f t="shared" si="192"/>
        <v>24</v>
      </c>
      <c r="P3053" s="12">
        <f t="shared" si="193"/>
        <v>24</v>
      </c>
      <c r="Q3053" s="14" t="s">
        <v>8314</v>
      </c>
      <c r="R3053" t="s">
        <v>8354</v>
      </c>
      <c r="S3053" s="17">
        <f t="shared" si="194"/>
        <v>42744.416030092587</v>
      </c>
      <c r="T3053" s="17">
        <f t="shared" si="195"/>
        <v>42774.416030092587</v>
      </c>
      <c r="U3053">
        <f>MONTH(Table1[[#This Row],[Launched]])</f>
        <v>1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8220</v>
      </c>
      <c r="G3054" t="s">
        <v>8223</v>
      </c>
      <c r="H3054" t="s">
        <v>8245</v>
      </c>
      <c r="I3054" s="8">
        <v>1432828740</v>
      </c>
      <c r="J3054">
        <v>1430237094</v>
      </c>
      <c r="K3054" t="b">
        <v>0</v>
      </c>
      <c r="L3054" s="10">
        <v>2</v>
      </c>
      <c r="M3054" t="b">
        <v>0</v>
      </c>
      <c r="N3054" t="s">
        <v>8301</v>
      </c>
      <c r="O3054" s="11">
        <f t="shared" si="192"/>
        <v>0</v>
      </c>
      <c r="P3054" s="12">
        <f t="shared" si="193"/>
        <v>38</v>
      </c>
      <c r="Q3054" s="14" t="s">
        <v>8314</v>
      </c>
      <c r="R3054" t="s">
        <v>8354</v>
      </c>
      <c r="S3054" s="17">
        <f t="shared" si="194"/>
        <v>42122.670069444444</v>
      </c>
      <c r="T3054" s="17">
        <f t="shared" si="195"/>
        <v>42152.665972222225</v>
      </c>
      <c r="U3054">
        <f>MONTH(Table1[[#This Row],[Launched]])</f>
        <v>4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8220</v>
      </c>
      <c r="G3055" t="s">
        <v>8223</v>
      </c>
      <c r="H3055" t="s">
        <v>8245</v>
      </c>
      <c r="I3055" s="8">
        <v>1412222340</v>
      </c>
      <c r="J3055">
        <v>1407781013</v>
      </c>
      <c r="K3055" t="b">
        <v>0</v>
      </c>
      <c r="L3055" s="10">
        <v>3</v>
      </c>
      <c r="M3055" t="b">
        <v>0</v>
      </c>
      <c r="N3055" t="s">
        <v>8301</v>
      </c>
      <c r="O3055" s="11">
        <f t="shared" si="192"/>
        <v>0</v>
      </c>
      <c r="P3055" s="12">
        <f t="shared" si="193"/>
        <v>13</v>
      </c>
      <c r="Q3055" s="14" t="s">
        <v>8314</v>
      </c>
      <c r="R3055" t="s">
        <v>8354</v>
      </c>
      <c r="S3055" s="17">
        <f t="shared" si="194"/>
        <v>41862.761724537035</v>
      </c>
      <c r="T3055" s="17">
        <f t="shared" si="195"/>
        <v>41914.165972222225</v>
      </c>
      <c r="U3055">
        <f>MONTH(Table1[[#This Row],[Launched]])</f>
        <v>8</v>
      </c>
    </row>
    <row r="3056" spans="1:21" ht="57.6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8220</v>
      </c>
      <c r="G3056" t="s">
        <v>8223</v>
      </c>
      <c r="H3056" t="s">
        <v>8245</v>
      </c>
      <c r="I3056" s="8">
        <v>1425258240</v>
      </c>
      <c r="J3056">
        <v>1422043154</v>
      </c>
      <c r="K3056" t="b">
        <v>0</v>
      </c>
      <c r="L3056" s="10">
        <v>0</v>
      </c>
      <c r="M3056" t="b">
        <v>0</v>
      </c>
      <c r="N3056" t="s">
        <v>8301</v>
      </c>
      <c r="O3056" s="11">
        <f t="shared" si="192"/>
        <v>0</v>
      </c>
      <c r="P3056" s="12" t="str">
        <f t="shared" si="193"/>
        <v>No Backers</v>
      </c>
      <c r="Q3056" s="14" t="s">
        <v>8314</v>
      </c>
      <c r="R3056" t="s">
        <v>8354</v>
      </c>
      <c r="S3056" s="17">
        <f t="shared" si="194"/>
        <v>42027.832800925928</v>
      </c>
      <c r="T3056" s="17">
        <f t="shared" si="195"/>
        <v>42065.044444444444</v>
      </c>
      <c r="U3056">
        <f>MONTH(Table1[[#This Row],[Launched]])</f>
        <v>1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8220</v>
      </c>
      <c r="G3057" t="s">
        <v>8223</v>
      </c>
      <c r="H3057" t="s">
        <v>8245</v>
      </c>
      <c r="I3057" s="8">
        <v>1420844390</v>
      </c>
      <c r="J3057">
        <v>1415660390</v>
      </c>
      <c r="K3057" t="b">
        <v>0</v>
      </c>
      <c r="L3057" s="10">
        <v>1</v>
      </c>
      <c r="M3057" t="b">
        <v>0</v>
      </c>
      <c r="N3057" t="s">
        <v>8301</v>
      </c>
      <c r="O3057" s="11">
        <f t="shared" si="192"/>
        <v>0</v>
      </c>
      <c r="P3057" s="12">
        <f t="shared" si="193"/>
        <v>1</v>
      </c>
      <c r="Q3057" s="14" t="s">
        <v>8314</v>
      </c>
      <c r="R3057" t="s">
        <v>8354</v>
      </c>
      <c r="S3057" s="17">
        <f t="shared" si="194"/>
        <v>41953.95821759259</v>
      </c>
      <c r="T3057" s="17">
        <f t="shared" si="195"/>
        <v>42013.95821759259</v>
      </c>
      <c r="U3057">
        <f>MONTH(Table1[[#This Row],[Launched]])</f>
        <v>11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8220</v>
      </c>
      <c r="G3058" t="s">
        <v>8223</v>
      </c>
      <c r="H3058" t="s">
        <v>8245</v>
      </c>
      <c r="I3058" s="8">
        <v>1412003784</v>
      </c>
      <c r="J3058">
        <v>1406819784</v>
      </c>
      <c r="K3058" t="b">
        <v>0</v>
      </c>
      <c r="L3058" s="10">
        <v>0</v>
      </c>
      <c r="M3058" t="b">
        <v>0</v>
      </c>
      <c r="N3058" t="s">
        <v>8301</v>
      </c>
      <c r="O3058" s="11">
        <f t="shared" si="192"/>
        <v>0</v>
      </c>
      <c r="P3058" s="12" t="str">
        <f t="shared" si="193"/>
        <v>No Backers</v>
      </c>
      <c r="Q3058" s="14" t="s">
        <v>8314</v>
      </c>
      <c r="R3058" t="s">
        <v>8354</v>
      </c>
      <c r="S3058" s="17">
        <f t="shared" si="194"/>
        <v>41851.636388888888</v>
      </c>
      <c r="T3058" s="17">
        <f t="shared" si="195"/>
        <v>41911.636388888888</v>
      </c>
      <c r="U3058">
        <f>MONTH(Table1[[#This Row],[Launched]])</f>
        <v>7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8220</v>
      </c>
      <c r="G3059" t="s">
        <v>8224</v>
      </c>
      <c r="H3059" t="s">
        <v>8246</v>
      </c>
      <c r="I3059" s="8">
        <v>1459694211</v>
      </c>
      <c r="J3059">
        <v>1457105811</v>
      </c>
      <c r="K3059" t="b">
        <v>0</v>
      </c>
      <c r="L3059" s="10">
        <v>0</v>
      </c>
      <c r="M3059" t="b">
        <v>0</v>
      </c>
      <c r="N3059" t="s">
        <v>8301</v>
      </c>
      <c r="O3059" s="11">
        <f t="shared" si="192"/>
        <v>0</v>
      </c>
      <c r="P3059" s="12" t="str">
        <f t="shared" si="193"/>
        <v>No Backers</v>
      </c>
      <c r="Q3059" s="14" t="s">
        <v>8314</v>
      </c>
      <c r="R3059" t="s">
        <v>8354</v>
      </c>
      <c r="S3059" s="17">
        <f t="shared" si="194"/>
        <v>42433.650590277779</v>
      </c>
      <c r="T3059" s="17">
        <f t="shared" si="195"/>
        <v>42463.608923611115</v>
      </c>
      <c r="U3059">
        <f>MONTH(Table1[[#This Row],[Launched]])</f>
        <v>3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8220</v>
      </c>
      <c r="G3060" t="s">
        <v>8236</v>
      </c>
      <c r="H3060" t="s">
        <v>8248</v>
      </c>
      <c r="I3060" s="8">
        <v>1463734740</v>
      </c>
      <c r="J3060">
        <v>1459414740</v>
      </c>
      <c r="K3060" t="b">
        <v>0</v>
      </c>
      <c r="L3060" s="10">
        <v>3</v>
      </c>
      <c r="M3060" t="b">
        <v>0</v>
      </c>
      <c r="N3060" t="s">
        <v>8301</v>
      </c>
      <c r="O3060" s="11">
        <f t="shared" si="192"/>
        <v>0</v>
      </c>
      <c r="P3060" s="12">
        <f t="shared" si="193"/>
        <v>1</v>
      </c>
      <c r="Q3060" s="14" t="s">
        <v>8314</v>
      </c>
      <c r="R3060" t="s">
        <v>8354</v>
      </c>
      <c r="S3060" s="17">
        <f t="shared" si="194"/>
        <v>42460.374305555553</v>
      </c>
      <c r="T3060" s="17">
        <f t="shared" si="195"/>
        <v>42510.374305555553</v>
      </c>
      <c r="U3060">
        <f>MONTH(Table1[[#This Row],[Launched]])</f>
        <v>3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 s="8">
        <v>1407536846</v>
      </c>
      <c r="J3061">
        <v>1404944846</v>
      </c>
      <c r="K3061" t="b">
        <v>0</v>
      </c>
      <c r="L3061" s="10">
        <v>11</v>
      </c>
      <c r="M3061" t="b">
        <v>0</v>
      </c>
      <c r="N3061" t="s">
        <v>8301</v>
      </c>
      <c r="O3061" s="11">
        <f t="shared" si="192"/>
        <v>3</v>
      </c>
      <c r="P3061" s="12">
        <f t="shared" si="193"/>
        <v>41</v>
      </c>
      <c r="Q3061" s="14" t="s">
        <v>8314</v>
      </c>
      <c r="R3061" t="s">
        <v>8354</v>
      </c>
      <c r="S3061" s="17">
        <f t="shared" si="194"/>
        <v>41829.935717592591</v>
      </c>
      <c r="T3061" s="17">
        <f t="shared" si="195"/>
        <v>41859.935717592591</v>
      </c>
      <c r="U3061">
        <f>MONTH(Table1[[#This Row],[Launched]])</f>
        <v>7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 s="8">
        <v>1443422134</v>
      </c>
      <c r="J3062">
        <v>1440830134</v>
      </c>
      <c r="K3062" t="b">
        <v>0</v>
      </c>
      <c r="L3062" s="10">
        <v>6</v>
      </c>
      <c r="M3062" t="b">
        <v>0</v>
      </c>
      <c r="N3062" t="s">
        <v>8301</v>
      </c>
      <c r="O3062" s="11">
        <f t="shared" si="192"/>
        <v>0</v>
      </c>
      <c r="P3062" s="12">
        <f t="shared" si="193"/>
        <v>56</v>
      </c>
      <c r="Q3062" s="14" t="s">
        <v>8314</v>
      </c>
      <c r="R3062" t="s">
        <v>8354</v>
      </c>
      <c r="S3062" s="17">
        <f t="shared" si="194"/>
        <v>42245.274699074071</v>
      </c>
      <c r="T3062" s="17">
        <f t="shared" si="195"/>
        <v>42275.274699074071</v>
      </c>
      <c r="U3062">
        <f>MONTH(Table1[[#This Row],[Launched]])</f>
        <v>8</v>
      </c>
    </row>
    <row r="3063" spans="1:21" ht="15.6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 s="8">
        <v>1407955748</v>
      </c>
      <c r="J3063">
        <v>1405363748</v>
      </c>
      <c r="K3063" t="b">
        <v>0</v>
      </c>
      <c r="L3063" s="10">
        <v>0</v>
      </c>
      <c r="M3063" t="b">
        <v>0</v>
      </c>
      <c r="N3063" t="s">
        <v>8301</v>
      </c>
      <c r="O3063" s="11">
        <f t="shared" si="192"/>
        <v>0</v>
      </c>
      <c r="P3063" s="12" t="str">
        <f t="shared" si="193"/>
        <v>No Backers</v>
      </c>
      <c r="Q3063" s="14" t="s">
        <v>8314</v>
      </c>
      <c r="R3063" t="s">
        <v>8354</v>
      </c>
      <c r="S3063" s="17">
        <f t="shared" si="194"/>
        <v>41834.784120370372</v>
      </c>
      <c r="T3063" s="17">
        <f t="shared" si="195"/>
        <v>41864.784120370372</v>
      </c>
      <c r="U3063">
        <f>MONTH(Table1[[#This Row],[Launched]])</f>
        <v>7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 s="8">
        <v>1443636000</v>
      </c>
      <c r="J3064">
        <v>1441111892</v>
      </c>
      <c r="K3064" t="b">
        <v>0</v>
      </c>
      <c r="L3064" s="10">
        <v>67</v>
      </c>
      <c r="M3064" t="b">
        <v>0</v>
      </c>
      <c r="N3064" t="s">
        <v>8301</v>
      </c>
      <c r="O3064" s="11">
        <f t="shared" si="192"/>
        <v>67</v>
      </c>
      <c r="P3064" s="12">
        <f t="shared" si="193"/>
        <v>100</v>
      </c>
      <c r="Q3064" s="14" t="s">
        <v>8314</v>
      </c>
      <c r="R3064" t="s">
        <v>8354</v>
      </c>
      <c r="S3064" s="17">
        <f t="shared" si="194"/>
        <v>42248.535787037035</v>
      </c>
      <c r="T3064" s="17">
        <f t="shared" si="195"/>
        <v>42277.75</v>
      </c>
      <c r="U3064">
        <f>MONTH(Table1[[#This Row],[Launched]])</f>
        <v>9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8220</v>
      </c>
      <c r="G3065" t="s">
        <v>8223</v>
      </c>
      <c r="H3065" t="s">
        <v>8245</v>
      </c>
      <c r="I3065" s="8">
        <v>1477174138</v>
      </c>
      <c r="J3065">
        <v>1474150138</v>
      </c>
      <c r="K3065" t="b">
        <v>0</v>
      </c>
      <c r="L3065" s="10">
        <v>23</v>
      </c>
      <c r="M3065" t="b">
        <v>0</v>
      </c>
      <c r="N3065" t="s">
        <v>8301</v>
      </c>
      <c r="O3065" s="11">
        <f t="shared" si="192"/>
        <v>20</v>
      </c>
      <c r="P3065" s="12">
        <f t="shared" si="193"/>
        <v>26</v>
      </c>
      <c r="Q3065" s="14" t="s">
        <v>8314</v>
      </c>
      <c r="R3065" t="s">
        <v>8354</v>
      </c>
      <c r="S3065" s="17">
        <f t="shared" si="194"/>
        <v>42630.922893518517</v>
      </c>
      <c r="T3065" s="17">
        <f t="shared" si="195"/>
        <v>42665.922893518517</v>
      </c>
      <c r="U3065">
        <f>MONTH(Table1[[#This Row],[Launched]])</f>
        <v>9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 s="8">
        <v>1448175540</v>
      </c>
      <c r="J3066">
        <v>1445483246</v>
      </c>
      <c r="K3066" t="b">
        <v>0</v>
      </c>
      <c r="L3066" s="10">
        <v>72</v>
      </c>
      <c r="M3066" t="b">
        <v>0</v>
      </c>
      <c r="N3066" t="s">
        <v>8301</v>
      </c>
      <c r="O3066" s="11">
        <f t="shared" si="192"/>
        <v>11</v>
      </c>
      <c r="P3066" s="12">
        <f t="shared" si="193"/>
        <v>118</v>
      </c>
      <c r="Q3066" s="14" t="s">
        <v>8314</v>
      </c>
      <c r="R3066" t="s">
        <v>8354</v>
      </c>
      <c r="S3066" s="17">
        <f t="shared" si="194"/>
        <v>42299.130162037036</v>
      </c>
      <c r="T3066" s="17">
        <f t="shared" si="195"/>
        <v>42330.290972222225</v>
      </c>
      <c r="U3066">
        <f>MONTH(Table1[[#This Row],[Launched]])</f>
        <v>10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8220</v>
      </c>
      <c r="G3067" t="s">
        <v>8223</v>
      </c>
      <c r="H3067" t="s">
        <v>8245</v>
      </c>
      <c r="I3067" s="8">
        <v>1406683172</v>
      </c>
      <c r="J3067">
        <v>1404523172</v>
      </c>
      <c r="K3067" t="b">
        <v>0</v>
      </c>
      <c r="L3067" s="10">
        <v>2</v>
      </c>
      <c r="M3067" t="b">
        <v>0</v>
      </c>
      <c r="N3067" t="s">
        <v>8301</v>
      </c>
      <c r="O3067" s="11">
        <f t="shared" si="192"/>
        <v>0</v>
      </c>
      <c r="P3067" s="12">
        <f t="shared" si="193"/>
        <v>5</v>
      </c>
      <c r="Q3067" s="14" t="s">
        <v>8314</v>
      </c>
      <c r="R3067" t="s">
        <v>8354</v>
      </c>
      <c r="S3067" s="17">
        <f t="shared" si="194"/>
        <v>41825.055231481485</v>
      </c>
      <c r="T3067" s="17">
        <f t="shared" si="195"/>
        <v>41850.055231481485</v>
      </c>
      <c r="U3067">
        <f>MONTH(Table1[[#This Row],[Launched]])</f>
        <v>7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 s="8">
        <v>1468128537</v>
      </c>
      <c r="J3068">
        <v>1465536537</v>
      </c>
      <c r="K3068" t="b">
        <v>0</v>
      </c>
      <c r="L3068" s="10">
        <v>15</v>
      </c>
      <c r="M3068" t="b">
        <v>0</v>
      </c>
      <c r="N3068" t="s">
        <v>8301</v>
      </c>
      <c r="O3068" s="11">
        <f t="shared" si="192"/>
        <v>12</v>
      </c>
      <c r="P3068" s="12">
        <f t="shared" si="193"/>
        <v>2797</v>
      </c>
      <c r="Q3068" s="14" t="s">
        <v>8314</v>
      </c>
      <c r="R3068" t="s">
        <v>8354</v>
      </c>
      <c r="S3068" s="17">
        <f t="shared" si="194"/>
        <v>42531.228437500002</v>
      </c>
      <c r="T3068" s="17">
        <f t="shared" si="195"/>
        <v>42561.228437500002</v>
      </c>
      <c r="U3068">
        <f>MONTH(Table1[[#This Row],[Launched]])</f>
        <v>6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8220</v>
      </c>
      <c r="G3069" t="s">
        <v>8227</v>
      </c>
      <c r="H3069" t="s">
        <v>8249</v>
      </c>
      <c r="I3069" s="8">
        <v>1441837879</v>
      </c>
      <c r="J3069">
        <v>1439245879</v>
      </c>
      <c r="K3069" t="b">
        <v>0</v>
      </c>
      <c r="L3069" s="10">
        <v>1</v>
      </c>
      <c r="M3069" t="b">
        <v>0</v>
      </c>
      <c r="N3069" t="s">
        <v>8301</v>
      </c>
      <c r="O3069" s="11">
        <f t="shared" si="192"/>
        <v>3</v>
      </c>
      <c r="P3069" s="12">
        <f t="shared" si="193"/>
        <v>200</v>
      </c>
      <c r="Q3069" s="14" t="s">
        <v>8314</v>
      </c>
      <c r="R3069" t="s">
        <v>8354</v>
      </c>
      <c r="S3069" s="17">
        <f t="shared" si="194"/>
        <v>42226.938414351855</v>
      </c>
      <c r="T3069" s="17">
        <f t="shared" si="195"/>
        <v>42256.938414351855</v>
      </c>
      <c r="U3069">
        <f>MONTH(Table1[[#This Row],[Launched]])</f>
        <v>8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 s="8">
        <v>1445013352</v>
      </c>
      <c r="J3070">
        <v>1442421352</v>
      </c>
      <c r="K3070" t="b">
        <v>0</v>
      </c>
      <c r="L3070" s="10">
        <v>2</v>
      </c>
      <c r="M3070" t="b">
        <v>0</v>
      </c>
      <c r="N3070" t="s">
        <v>8301</v>
      </c>
      <c r="O3070" s="11">
        <f t="shared" si="192"/>
        <v>0</v>
      </c>
      <c r="P3070" s="12">
        <f t="shared" si="193"/>
        <v>88</v>
      </c>
      <c r="Q3070" s="14" t="s">
        <v>8314</v>
      </c>
      <c r="R3070" t="s">
        <v>8354</v>
      </c>
      <c r="S3070" s="17">
        <f t="shared" si="194"/>
        <v>42263.691574074073</v>
      </c>
      <c r="T3070" s="17">
        <f t="shared" si="195"/>
        <v>42293.691574074073</v>
      </c>
      <c r="U3070">
        <f>MONTH(Table1[[#This Row],[Launched]])</f>
        <v>9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8220</v>
      </c>
      <c r="G3071" t="s">
        <v>8223</v>
      </c>
      <c r="H3071" t="s">
        <v>8245</v>
      </c>
      <c r="I3071" s="8">
        <v>1418587234</v>
      </c>
      <c r="J3071">
        <v>1415995234</v>
      </c>
      <c r="K3071" t="b">
        <v>0</v>
      </c>
      <c r="L3071" s="10">
        <v>7</v>
      </c>
      <c r="M3071" t="b">
        <v>0</v>
      </c>
      <c r="N3071" t="s">
        <v>8301</v>
      </c>
      <c r="O3071" s="11">
        <f t="shared" si="192"/>
        <v>14</v>
      </c>
      <c r="P3071" s="12">
        <f t="shared" si="193"/>
        <v>20</v>
      </c>
      <c r="Q3071" s="14" t="s">
        <v>8314</v>
      </c>
      <c r="R3071" t="s">
        <v>8354</v>
      </c>
      <c r="S3071" s="17">
        <f t="shared" si="194"/>
        <v>41957.833726851852</v>
      </c>
      <c r="T3071" s="17">
        <f t="shared" si="195"/>
        <v>41987.833726851852</v>
      </c>
      <c r="U3071">
        <f>MONTH(Table1[[#This Row],[Launched]])</f>
        <v>11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 s="8">
        <v>1481132169</v>
      </c>
      <c r="J3072">
        <v>1479317769</v>
      </c>
      <c r="K3072" t="b">
        <v>0</v>
      </c>
      <c r="L3072" s="10">
        <v>16</v>
      </c>
      <c r="M3072" t="b">
        <v>0</v>
      </c>
      <c r="N3072" t="s">
        <v>8301</v>
      </c>
      <c r="O3072" s="11">
        <f t="shared" si="192"/>
        <v>3</v>
      </c>
      <c r="P3072" s="12">
        <f t="shared" si="193"/>
        <v>21</v>
      </c>
      <c r="Q3072" s="14" t="s">
        <v>8314</v>
      </c>
      <c r="R3072" t="s">
        <v>8354</v>
      </c>
      <c r="S3072" s="17">
        <f t="shared" si="194"/>
        <v>42690.733437499999</v>
      </c>
      <c r="T3072" s="17">
        <f t="shared" si="195"/>
        <v>42711.733437499999</v>
      </c>
      <c r="U3072">
        <f>MONTH(Table1[[#This Row],[Launched]])</f>
        <v>11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 s="8">
        <v>1429595940</v>
      </c>
      <c r="J3073">
        <v>1428082481</v>
      </c>
      <c r="K3073" t="b">
        <v>0</v>
      </c>
      <c r="L3073" s="10">
        <v>117</v>
      </c>
      <c r="M3073" t="b">
        <v>0</v>
      </c>
      <c r="N3073" t="s">
        <v>8301</v>
      </c>
      <c r="O3073" s="11">
        <f t="shared" si="192"/>
        <v>60</v>
      </c>
      <c r="P3073" s="12">
        <f t="shared" si="193"/>
        <v>61</v>
      </c>
      <c r="Q3073" s="14" t="s">
        <v>8314</v>
      </c>
      <c r="R3073" t="s">
        <v>8354</v>
      </c>
      <c r="S3073" s="17">
        <f t="shared" si="194"/>
        <v>42097.732418981483</v>
      </c>
      <c r="T3073" s="17">
        <f t="shared" si="195"/>
        <v>42115.249305555553</v>
      </c>
      <c r="U3073">
        <f>MONTH(Table1[[#This Row],[Launched]])</f>
        <v>4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8220</v>
      </c>
      <c r="G3074" t="s">
        <v>8223</v>
      </c>
      <c r="H3074" t="s">
        <v>8245</v>
      </c>
      <c r="I3074" s="8">
        <v>1477791960</v>
      </c>
      <c r="J3074">
        <v>1476549262</v>
      </c>
      <c r="K3074" t="b">
        <v>0</v>
      </c>
      <c r="L3074" s="10">
        <v>2</v>
      </c>
      <c r="M3074" t="b">
        <v>0</v>
      </c>
      <c r="N3074" t="s">
        <v>8301</v>
      </c>
      <c r="O3074" s="11">
        <f t="shared" ref="O3074:O3137" si="196">ROUND(E3074/D3074*100,0)</f>
        <v>0</v>
      </c>
      <c r="P3074" s="12">
        <f t="shared" si="193"/>
        <v>1</v>
      </c>
      <c r="Q3074" s="14" t="s">
        <v>8314</v>
      </c>
      <c r="R3074" t="s">
        <v>8354</v>
      </c>
      <c r="S3074" s="17">
        <f t="shared" si="194"/>
        <v>42658.690532407403</v>
      </c>
      <c r="T3074" s="17">
        <f t="shared" si="195"/>
        <v>42673.073611111111</v>
      </c>
      <c r="U3074">
        <f>MONTH(Table1[[#This Row],[Launched]])</f>
        <v>10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 s="8">
        <v>1434309540</v>
      </c>
      <c r="J3075">
        <v>1429287900</v>
      </c>
      <c r="K3075" t="b">
        <v>0</v>
      </c>
      <c r="L3075" s="10">
        <v>7</v>
      </c>
      <c r="M3075" t="b">
        <v>0</v>
      </c>
      <c r="N3075" t="s">
        <v>8301</v>
      </c>
      <c r="O3075" s="11">
        <f t="shared" si="196"/>
        <v>0</v>
      </c>
      <c r="P3075" s="12">
        <f t="shared" ref="P3075:P3138" si="197">IFERROR(ROUND(E3075/L3075,),"No Backers")</f>
        <v>92</v>
      </c>
      <c r="Q3075" s="14" t="s">
        <v>8314</v>
      </c>
      <c r="R3075" t="s">
        <v>8354</v>
      </c>
      <c r="S3075" s="17">
        <f t="shared" ref="S3075:S3138" si="198">(((J3075/60)/60)/24)+DATE(1970,1,1)</f>
        <v>42111.684027777781</v>
      </c>
      <c r="T3075" s="17">
        <f t="shared" ref="T3075:T3138" si="199">(((I3075/60)/60)/24)+DATE(1970,1,1)</f>
        <v>42169.804861111115</v>
      </c>
      <c r="U3075">
        <f>MONTH(Table1[[#This Row],[Launched]])</f>
        <v>4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8220</v>
      </c>
      <c r="G3076" t="s">
        <v>8229</v>
      </c>
      <c r="H3076" t="s">
        <v>8248</v>
      </c>
      <c r="I3076" s="8">
        <v>1457617359</v>
      </c>
      <c r="J3076">
        <v>1455025359</v>
      </c>
      <c r="K3076" t="b">
        <v>0</v>
      </c>
      <c r="L3076" s="10">
        <v>3</v>
      </c>
      <c r="M3076" t="b">
        <v>0</v>
      </c>
      <c r="N3076" t="s">
        <v>8301</v>
      </c>
      <c r="O3076" s="11">
        <f t="shared" si="196"/>
        <v>0</v>
      </c>
      <c r="P3076" s="12">
        <f t="shared" si="197"/>
        <v>7</v>
      </c>
      <c r="Q3076" s="14" t="s">
        <v>8314</v>
      </c>
      <c r="R3076" t="s">
        <v>8354</v>
      </c>
      <c r="S3076" s="17">
        <f t="shared" si="198"/>
        <v>42409.571284722217</v>
      </c>
      <c r="T3076" s="17">
        <f t="shared" si="199"/>
        <v>42439.571284722217</v>
      </c>
      <c r="U3076">
        <f>MONTH(Table1[[#This Row],[Launched]])</f>
        <v>2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 s="8">
        <v>1471573640</v>
      </c>
      <c r="J3077">
        <v>1467253640</v>
      </c>
      <c r="K3077" t="b">
        <v>0</v>
      </c>
      <c r="L3077" s="10">
        <v>20</v>
      </c>
      <c r="M3077" t="b">
        <v>0</v>
      </c>
      <c r="N3077" t="s">
        <v>8301</v>
      </c>
      <c r="O3077" s="11">
        <f t="shared" si="196"/>
        <v>9</v>
      </c>
      <c r="P3077" s="12">
        <f t="shared" si="197"/>
        <v>65</v>
      </c>
      <c r="Q3077" s="14" t="s">
        <v>8314</v>
      </c>
      <c r="R3077" t="s">
        <v>8354</v>
      </c>
      <c r="S3077" s="17">
        <f t="shared" si="198"/>
        <v>42551.102314814809</v>
      </c>
      <c r="T3077" s="17">
        <f t="shared" si="199"/>
        <v>42601.102314814809</v>
      </c>
      <c r="U3077">
        <f>MONTH(Table1[[#This Row],[Launched]])</f>
        <v>6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 s="8">
        <v>1444405123</v>
      </c>
      <c r="J3078">
        <v>1439221123</v>
      </c>
      <c r="K3078" t="b">
        <v>0</v>
      </c>
      <c r="L3078" s="10">
        <v>50</v>
      </c>
      <c r="M3078" t="b">
        <v>0</v>
      </c>
      <c r="N3078" t="s">
        <v>8301</v>
      </c>
      <c r="O3078" s="11">
        <f t="shared" si="196"/>
        <v>15</v>
      </c>
      <c r="P3078" s="12">
        <f t="shared" si="197"/>
        <v>30</v>
      </c>
      <c r="Q3078" s="14" t="s">
        <v>8314</v>
      </c>
      <c r="R3078" t="s">
        <v>8354</v>
      </c>
      <c r="S3078" s="17">
        <f t="shared" si="198"/>
        <v>42226.651886574073</v>
      </c>
      <c r="T3078" s="17">
        <f t="shared" si="199"/>
        <v>42286.651886574073</v>
      </c>
      <c r="U3078">
        <f>MONTH(Table1[[#This Row],[Launched]])</f>
        <v>8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 s="8">
        <v>1488495478</v>
      </c>
      <c r="J3079">
        <v>1485903478</v>
      </c>
      <c r="K3079" t="b">
        <v>0</v>
      </c>
      <c r="L3079" s="10">
        <v>2</v>
      </c>
      <c r="M3079" t="b">
        <v>0</v>
      </c>
      <c r="N3079" t="s">
        <v>8301</v>
      </c>
      <c r="O3079" s="11">
        <f t="shared" si="196"/>
        <v>0</v>
      </c>
      <c r="P3079" s="12">
        <f t="shared" si="197"/>
        <v>53</v>
      </c>
      <c r="Q3079" s="14" t="s">
        <v>8314</v>
      </c>
      <c r="R3079" t="s">
        <v>8354</v>
      </c>
      <c r="S3079" s="17">
        <f t="shared" si="198"/>
        <v>42766.956921296296</v>
      </c>
      <c r="T3079" s="17">
        <f t="shared" si="199"/>
        <v>42796.956921296296</v>
      </c>
      <c r="U3079">
        <f>MONTH(Table1[[#This Row],[Launched]])</f>
        <v>1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8220</v>
      </c>
      <c r="G3080" t="s">
        <v>8223</v>
      </c>
      <c r="H3080" t="s">
        <v>8245</v>
      </c>
      <c r="I3080" s="8">
        <v>1424920795</v>
      </c>
      <c r="J3080">
        <v>1422328795</v>
      </c>
      <c r="K3080" t="b">
        <v>0</v>
      </c>
      <c r="L3080" s="10">
        <v>3</v>
      </c>
      <c r="M3080" t="b">
        <v>0</v>
      </c>
      <c r="N3080" t="s">
        <v>8301</v>
      </c>
      <c r="O3080" s="11">
        <f t="shared" si="196"/>
        <v>0</v>
      </c>
      <c r="P3080" s="12">
        <f t="shared" si="197"/>
        <v>24</v>
      </c>
      <c r="Q3080" s="14" t="s">
        <v>8314</v>
      </c>
      <c r="R3080" t="s">
        <v>8354</v>
      </c>
      <c r="S3080" s="17">
        <f t="shared" si="198"/>
        <v>42031.138831018514</v>
      </c>
      <c r="T3080" s="17">
        <f t="shared" si="199"/>
        <v>42061.138831018514</v>
      </c>
      <c r="U3080">
        <f>MONTH(Table1[[#This Row],[Launched]])</f>
        <v>1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 s="8">
        <v>1427040435</v>
      </c>
      <c r="J3081">
        <v>1424452035</v>
      </c>
      <c r="K3081" t="b">
        <v>0</v>
      </c>
      <c r="L3081" s="10">
        <v>27</v>
      </c>
      <c r="M3081" t="b">
        <v>0</v>
      </c>
      <c r="N3081" t="s">
        <v>8301</v>
      </c>
      <c r="O3081" s="11">
        <f t="shared" si="196"/>
        <v>1</v>
      </c>
      <c r="P3081" s="12">
        <f t="shared" si="197"/>
        <v>416</v>
      </c>
      <c r="Q3081" s="14" t="s">
        <v>8314</v>
      </c>
      <c r="R3081" t="s">
        <v>8354</v>
      </c>
      <c r="S3081" s="17">
        <f t="shared" si="198"/>
        <v>42055.713368055556</v>
      </c>
      <c r="T3081" s="17">
        <f t="shared" si="199"/>
        <v>42085.671701388885</v>
      </c>
      <c r="U3081">
        <f>MONTH(Table1[[#This Row],[Launched]])</f>
        <v>2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 s="8">
        <v>1419644444</v>
      </c>
      <c r="J3082">
        <v>1414456844</v>
      </c>
      <c r="K3082" t="b">
        <v>0</v>
      </c>
      <c r="L3082" s="10">
        <v>7</v>
      </c>
      <c r="M3082" t="b">
        <v>0</v>
      </c>
      <c r="N3082" t="s">
        <v>8301</v>
      </c>
      <c r="O3082" s="11">
        <f t="shared" si="196"/>
        <v>0</v>
      </c>
      <c r="P3082" s="12">
        <f t="shared" si="197"/>
        <v>54</v>
      </c>
      <c r="Q3082" s="14" t="s">
        <v>8314</v>
      </c>
      <c r="R3082" t="s">
        <v>8354</v>
      </c>
      <c r="S3082" s="17">
        <f t="shared" si="198"/>
        <v>41940.028287037036</v>
      </c>
      <c r="T3082" s="17">
        <f t="shared" si="199"/>
        <v>42000.0699537037</v>
      </c>
      <c r="U3082">
        <f>MONTH(Table1[[#This Row],[Launched]])</f>
        <v>10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 s="8">
        <v>1442722891</v>
      </c>
      <c r="J3083">
        <v>1440130891</v>
      </c>
      <c r="K3083" t="b">
        <v>0</v>
      </c>
      <c r="L3083" s="10">
        <v>5</v>
      </c>
      <c r="M3083" t="b">
        <v>0</v>
      </c>
      <c r="N3083" t="s">
        <v>8301</v>
      </c>
      <c r="O3083" s="11">
        <f t="shared" si="196"/>
        <v>0</v>
      </c>
      <c r="P3083" s="12">
        <f t="shared" si="197"/>
        <v>421</v>
      </c>
      <c r="Q3083" s="14" t="s">
        <v>8314</v>
      </c>
      <c r="R3083" t="s">
        <v>8354</v>
      </c>
      <c r="S3083" s="17">
        <f t="shared" si="198"/>
        <v>42237.181608796294</v>
      </c>
      <c r="T3083" s="17">
        <f t="shared" si="199"/>
        <v>42267.181608796294</v>
      </c>
      <c r="U3083">
        <f>MONTH(Table1[[#This Row],[Launched]])</f>
        <v>8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8220</v>
      </c>
      <c r="G3084" t="s">
        <v>8223</v>
      </c>
      <c r="H3084" t="s">
        <v>8245</v>
      </c>
      <c r="I3084" s="8">
        <v>1447628946</v>
      </c>
      <c r="J3084">
        <v>1445033346</v>
      </c>
      <c r="K3084" t="b">
        <v>0</v>
      </c>
      <c r="L3084" s="10">
        <v>0</v>
      </c>
      <c r="M3084" t="b">
        <v>0</v>
      </c>
      <c r="N3084" t="s">
        <v>8301</v>
      </c>
      <c r="O3084" s="11">
        <f t="shared" si="196"/>
        <v>0</v>
      </c>
      <c r="P3084" s="12" t="str">
        <f t="shared" si="197"/>
        <v>No Backers</v>
      </c>
      <c r="Q3084" s="14" t="s">
        <v>8314</v>
      </c>
      <c r="R3084" t="s">
        <v>8354</v>
      </c>
      <c r="S3084" s="17">
        <f t="shared" si="198"/>
        <v>42293.922986111109</v>
      </c>
      <c r="T3084" s="17">
        <f t="shared" si="199"/>
        <v>42323.96465277778</v>
      </c>
      <c r="U3084">
        <f>MONTH(Table1[[#This Row],[Launched]])</f>
        <v>10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8220</v>
      </c>
      <c r="G3085" t="s">
        <v>8223</v>
      </c>
      <c r="H3085" t="s">
        <v>8245</v>
      </c>
      <c r="I3085" s="8">
        <v>1409547600</v>
      </c>
      <c r="J3085">
        <v>1406986278</v>
      </c>
      <c r="K3085" t="b">
        <v>0</v>
      </c>
      <c r="L3085" s="10">
        <v>3</v>
      </c>
      <c r="M3085" t="b">
        <v>0</v>
      </c>
      <c r="N3085" t="s">
        <v>8301</v>
      </c>
      <c r="O3085" s="11">
        <f t="shared" si="196"/>
        <v>0</v>
      </c>
      <c r="P3085" s="12">
        <f t="shared" si="197"/>
        <v>19</v>
      </c>
      <c r="Q3085" s="14" t="s">
        <v>8314</v>
      </c>
      <c r="R3085" t="s">
        <v>8354</v>
      </c>
      <c r="S3085" s="17">
        <f t="shared" si="198"/>
        <v>41853.563402777778</v>
      </c>
      <c r="T3085" s="17">
        <f t="shared" si="199"/>
        <v>41883.208333333336</v>
      </c>
      <c r="U3085">
        <f>MONTH(Table1[[#This Row],[Launched]])</f>
        <v>8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8220</v>
      </c>
      <c r="G3086" t="s">
        <v>8223</v>
      </c>
      <c r="H3086" t="s">
        <v>8245</v>
      </c>
      <c r="I3086" s="8">
        <v>1430851680</v>
      </c>
      <c r="J3086">
        <v>1428340931</v>
      </c>
      <c r="K3086" t="b">
        <v>0</v>
      </c>
      <c r="L3086" s="10">
        <v>6</v>
      </c>
      <c r="M3086" t="b">
        <v>0</v>
      </c>
      <c r="N3086" t="s">
        <v>8301</v>
      </c>
      <c r="O3086" s="11">
        <f t="shared" si="196"/>
        <v>12</v>
      </c>
      <c r="P3086" s="12">
        <f t="shared" si="197"/>
        <v>78</v>
      </c>
      <c r="Q3086" s="14" t="s">
        <v>8314</v>
      </c>
      <c r="R3086" t="s">
        <v>8354</v>
      </c>
      <c r="S3086" s="17">
        <f t="shared" si="198"/>
        <v>42100.723738425921</v>
      </c>
      <c r="T3086" s="17">
        <f t="shared" si="199"/>
        <v>42129.783333333333</v>
      </c>
      <c r="U3086">
        <f>MONTH(Table1[[#This Row],[Launched]])</f>
        <v>4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 s="8">
        <v>1443561159</v>
      </c>
      <c r="J3087">
        <v>1440969159</v>
      </c>
      <c r="K3087" t="b">
        <v>0</v>
      </c>
      <c r="L3087" s="10">
        <v>9</v>
      </c>
      <c r="M3087" t="b">
        <v>0</v>
      </c>
      <c r="N3087" t="s">
        <v>8301</v>
      </c>
      <c r="O3087" s="11">
        <f t="shared" si="196"/>
        <v>2</v>
      </c>
      <c r="P3087" s="12">
        <f t="shared" si="197"/>
        <v>68</v>
      </c>
      <c r="Q3087" s="14" t="s">
        <v>8314</v>
      </c>
      <c r="R3087" t="s">
        <v>8354</v>
      </c>
      <c r="S3087" s="17">
        <f t="shared" si="198"/>
        <v>42246.883784722217</v>
      </c>
      <c r="T3087" s="17">
        <f t="shared" si="199"/>
        <v>42276.883784722217</v>
      </c>
      <c r="U3087">
        <f>MONTH(Table1[[#This Row],[Launched]])</f>
        <v>8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8220</v>
      </c>
      <c r="G3088" t="s">
        <v>8236</v>
      </c>
      <c r="H3088" t="s">
        <v>8248</v>
      </c>
      <c r="I3088" s="8">
        <v>1439827559</v>
      </c>
      <c r="J3088">
        <v>1434643559</v>
      </c>
      <c r="K3088" t="b">
        <v>0</v>
      </c>
      <c r="L3088" s="10">
        <v>3</v>
      </c>
      <c r="M3088" t="b">
        <v>0</v>
      </c>
      <c r="N3088" t="s">
        <v>8301</v>
      </c>
      <c r="O3088" s="11">
        <f t="shared" si="196"/>
        <v>0</v>
      </c>
      <c r="P3088" s="12">
        <f t="shared" si="197"/>
        <v>17</v>
      </c>
      <c r="Q3088" s="14" t="s">
        <v>8314</v>
      </c>
      <c r="R3088" t="s">
        <v>8354</v>
      </c>
      <c r="S3088" s="17">
        <f t="shared" si="198"/>
        <v>42173.67082175926</v>
      </c>
      <c r="T3088" s="17">
        <f t="shared" si="199"/>
        <v>42233.67082175926</v>
      </c>
      <c r="U3088">
        <f>MONTH(Table1[[#This Row],[Launched]])</f>
        <v>6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 s="8">
        <v>1482294990</v>
      </c>
      <c r="J3089">
        <v>1477107390</v>
      </c>
      <c r="K3089" t="b">
        <v>0</v>
      </c>
      <c r="L3089" s="10">
        <v>2</v>
      </c>
      <c r="M3089" t="b">
        <v>0</v>
      </c>
      <c r="N3089" t="s">
        <v>8301</v>
      </c>
      <c r="O3089" s="11">
        <f t="shared" si="196"/>
        <v>1</v>
      </c>
      <c r="P3089" s="12">
        <f t="shared" si="197"/>
        <v>63</v>
      </c>
      <c r="Q3089" s="14" t="s">
        <v>8314</v>
      </c>
      <c r="R3089" t="s">
        <v>8354</v>
      </c>
      <c r="S3089" s="17">
        <f t="shared" si="198"/>
        <v>42665.150347222225</v>
      </c>
      <c r="T3089" s="17">
        <f t="shared" si="199"/>
        <v>42725.192013888889</v>
      </c>
      <c r="U3089">
        <f>MONTH(Table1[[#This Row],[Launched]])</f>
        <v>10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 s="8">
        <v>1420724460</v>
      </c>
      <c r="J3090">
        <v>1418046247</v>
      </c>
      <c r="K3090" t="b">
        <v>0</v>
      </c>
      <c r="L3090" s="10">
        <v>3</v>
      </c>
      <c r="M3090" t="b">
        <v>0</v>
      </c>
      <c r="N3090" t="s">
        <v>8301</v>
      </c>
      <c r="O3090" s="11">
        <f t="shared" si="196"/>
        <v>0</v>
      </c>
      <c r="P3090" s="12">
        <f t="shared" si="197"/>
        <v>42</v>
      </c>
      <c r="Q3090" s="14" t="s">
        <v>8314</v>
      </c>
      <c r="R3090" t="s">
        <v>8354</v>
      </c>
      <c r="S3090" s="17">
        <f t="shared" si="198"/>
        <v>41981.57230324074</v>
      </c>
      <c r="T3090" s="17">
        <f t="shared" si="199"/>
        <v>42012.570138888885</v>
      </c>
      <c r="U3090">
        <f>MONTH(Table1[[#This Row],[Launched]])</f>
        <v>12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 s="8">
        <v>1468029540</v>
      </c>
      <c r="J3091">
        <v>1465304483</v>
      </c>
      <c r="K3091" t="b">
        <v>0</v>
      </c>
      <c r="L3091" s="10">
        <v>45</v>
      </c>
      <c r="M3091" t="b">
        <v>0</v>
      </c>
      <c r="N3091" t="s">
        <v>8301</v>
      </c>
      <c r="O3091" s="11">
        <f t="shared" si="196"/>
        <v>23</v>
      </c>
      <c r="P3091" s="12">
        <f t="shared" si="197"/>
        <v>130</v>
      </c>
      <c r="Q3091" s="14" t="s">
        <v>8314</v>
      </c>
      <c r="R3091" t="s">
        <v>8354</v>
      </c>
      <c r="S3091" s="17">
        <f t="shared" si="198"/>
        <v>42528.542627314819</v>
      </c>
      <c r="T3091" s="17">
        <f t="shared" si="199"/>
        <v>42560.082638888889</v>
      </c>
      <c r="U3091">
        <f>MONTH(Table1[[#This Row],[Launched]])</f>
        <v>6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 s="8">
        <v>1430505545</v>
      </c>
      <c r="J3092">
        <v>1425325145</v>
      </c>
      <c r="K3092" t="b">
        <v>0</v>
      </c>
      <c r="L3092" s="10">
        <v>9</v>
      </c>
      <c r="M3092" t="b">
        <v>0</v>
      </c>
      <c r="N3092" t="s">
        <v>8301</v>
      </c>
      <c r="O3092" s="11">
        <f t="shared" si="196"/>
        <v>5</v>
      </c>
      <c r="P3092" s="12">
        <f t="shared" si="197"/>
        <v>1270</v>
      </c>
      <c r="Q3092" s="14" t="s">
        <v>8314</v>
      </c>
      <c r="R3092" t="s">
        <v>8354</v>
      </c>
      <c r="S3092" s="17">
        <f t="shared" si="198"/>
        <v>42065.818807870368</v>
      </c>
      <c r="T3092" s="17">
        <f t="shared" si="199"/>
        <v>42125.777141203704</v>
      </c>
      <c r="U3092">
        <f>MONTH(Table1[[#This Row],[Launched]])</f>
        <v>3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8220</v>
      </c>
      <c r="G3093" t="s">
        <v>8223</v>
      </c>
      <c r="H3093" t="s">
        <v>8245</v>
      </c>
      <c r="I3093" s="8">
        <v>1471214743</v>
      </c>
      <c r="J3093">
        <v>1468622743</v>
      </c>
      <c r="K3093" t="b">
        <v>0</v>
      </c>
      <c r="L3093" s="10">
        <v>9</v>
      </c>
      <c r="M3093" t="b">
        <v>0</v>
      </c>
      <c r="N3093" t="s">
        <v>8301</v>
      </c>
      <c r="O3093" s="11">
        <f t="shared" si="196"/>
        <v>16</v>
      </c>
      <c r="P3093" s="12">
        <f t="shared" si="197"/>
        <v>88</v>
      </c>
      <c r="Q3093" s="14" t="s">
        <v>8314</v>
      </c>
      <c r="R3093" t="s">
        <v>8354</v>
      </c>
      <c r="S3093" s="17">
        <f t="shared" si="198"/>
        <v>42566.948414351849</v>
      </c>
      <c r="T3093" s="17">
        <f t="shared" si="199"/>
        <v>42596.948414351849</v>
      </c>
      <c r="U3093">
        <f>MONTH(Table1[[#This Row],[Launched]])</f>
        <v>7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 s="8">
        <v>1444946400</v>
      </c>
      <c r="J3094">
        <v>1441723912</v>
      </c>
      <c r="K3094" t="b">
        <v>0</v>
      </c>
      <c r="L3094" s="10">
        <v>21</v>
      </c>
      <c r="M3094" t="b">
        <v>0</v>
      </c>
      <c r="N3094" t="s">
        <v>8301</v>
      </c>
      <c r="O3094" s="11">
        <f t="shared" si="196"/>
        <v>1</v>
      </c>
      <c r="P3094" s="12">
        <f t="shared" si="197"/>
        <v>56</v>
      </c>
      <c r="Q3094" s="14" t="s">
        <v>8314</v>
      </c>
      <c r="R3094" t="s">
        <v>8354</v>
      </c>
      <c r="S3094" s="17">
        <f t="shared" si="198"/>
        <v>42255.619351851856</v>
      </c>
      <c r="T3094" s="17">
        <f t="shared" si="199"/>
        <v>42292.916666666672</v>
      </c>
      <c r="U3094">
        <f>MONTH(Table1[[#This Row],[Launched]])</f>
        <v>9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8220</v>
      </c>
      <c r="G3095" t="s">
        <v>8228</v>
      </c>
      <c r="H3095" t="s">
        <v>8250</v>
      </c>
      <c r="I3095" s="8">
        <v>1401595140</v>
      </c>
      <c r="J3095">
        <v>1398980941</v>
      </c>
      <c r="K3095" t="b">
        <v>0</v>
      </c>
      <c r="L3095" s="10">
        <v>17</v>
      </c>
      <c r="M3095" t="b">
        <v>0</v>
      </c>
      <c r="N3095" t="s">
        <v>8301</v>
      </c>
      <c r="O3095" s="11">
        <f t="shared" si="196"/>
        <v>23</v>
      </c>
      <c r="P3095" s="12">
        <f t="shared" si="197"/>
        <v>54</v>
      </c>
      <c r="Q3095" s="14" t="s">
        <v>8314</v>
      </c>
      <c r="R3095" t="s">
        <v>8354</v>
      </c>
      <c r="S3095" s="17">
        <f t="shared" si="198"/>
        <v>41760.909039351849</v>
      </c>
      <c r="T3095" s="17">
        <f t="shared" si="199"/>
        <v>41791.165972222225</v>
      </c>
      <c r="U3095">
        <f>MONTH(Table1[[#This Row],[Launched]])</f>
        <v>5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 s="8">
        <v>1442775956</v>
      </c>
      <c r="J3096">
        <v>1437591956</v>
      </c>
      <c r="K3096" t="b">
        <v>0</v>
      </c>
      <c r="L3096" s="10">
        <v>1</v>
      </c>
      <c r="M3096" t="b">
        <v>0</v>
      </c>
      <c r="N3096" t="s">
        <v>8301</v>
      </c>
      <c r="O3096" s="11">
        <f t="shared" si="196"/>
        <v>0</v>
      </c>
      <c r="P3096" s="12">
        <f t="shared" si="197"/>
        <v>25</v>
      </c>
      <c r="Q3096" s="14" t="s">
        <v>8314</v>
      </c>
      <c r="R3096" t="s">
        <v>8354</v>
      </c>
      <c r="S3096" s="17">
        <f t="shared" si="198"/>
        <v>42207.795787037037</v>
      </c>
      <c r="T3096" s="17">
        <f t="shared" si="199"/>
        <v>42267.795787037037</v>
      </c>
      <c r="U3096">
        <f>MONTH(Table1[[#This Row],[Launched]])</f>
        <v>7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8220</v>
      </c>
      <c r="G3097" t="s">
        <v>8223</v>
      </c>
      <c r="H3097" t="s">
        <v>8245</v>
      </c>
      <c r="I3097" s="8">
        <v>1470011780</v>
      </c>
      <c r="J3097">
        <v>1464827780</v>
      </c>
      <c r="K3097" t="b">
        <v>0</v>
      </c>
      <c r="L3097" s="10">
        <v>1</v>
      </c>
      <c r="M3097" t="b">
        <v>0</v>
      </c>
      <c r="N3097" t="s">
        <v>8301</v>
      </c>
      <c r="O3097" s="11">
        <f t="shared" si="196"/>
        <v>0</v>
      </c>
      <c r="P3097" s="12">
        <f t="shared" si="197"/>
        <v>50</v>
      </c>
      <c r="Q3097" s="14" t="s">
        <v>8314</v>
      </c>
      <c r="R3097" t="s">
        <v>8354</v>
      </c>
      <c r="S3097" s="17">
        <f t="shared" si="198"/>
        <v>42523.025231481486</v>
      </c>
      <c r="T3097" s="17">
        <f t="shared" si="199"/>
        <v>42583.025231481486</v>
      </c>
      <c r="U3097">
        <f>MONTH(Table1[[#This Row],[Launched]])</f>
        <v>6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 s="8">
        <v>1432151326</v>
      </c>
      <c r="J3098">
        <v>1429559326</v>
      </c>
      <c r="K3098" t="b">
        <v>0</v>
      </c>
      <c r="L3098" s="10">
        <v>14</v>
      </c>
      <c r="M3098" t="b">
        <v>0</v>
      </c>
      <c r="N3098" t="s">
        <v>8301</v>
      </c>
      <c r="O3098" s="11">
        <f t="shared" si="196"/>
        <v>4</v>
      </c>
      <c r="P3098" s="12">
        <f t="shared" si="197"/>
        <v>57</v>
      </c>
      <c r="Q3098" s="14" t="s">
        <v>8314</v>
      </c>
      <c r="R3098" t="s">
        <v>8354</v>
      </c>
      <c r="S3098" s="17">
        <f t="shared" si="198"/>
        <v>42114.825532407413</v>
      </c>
      <c r="T3098" s="17">
        <f t="shared" si="199"/>
        <v>42144.825532407413</v>
      </c>
      <c r="U3098">
        <f>MONTH(Table1[[#This Row],[Launched]])</f>
        <v>4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 s="8">
        <v>1475848800</v>
      </c>
      <c r="J3099">
        <v>1474027501</v>
      </c>
      <c r="K3099" t="b">
        <v>0</v>
      </c>
      <c r="L3099" s="10">
        <v>42</v>
      </c>
      <c r="M3099" t="b">
        <v>0</v>
      </c>
      <c r="N3099" t="s">
        <v>8301</v>
      </c>
      <c r="O3099" s="11">
        <f t="shared" si="196"/>
        <v>17</v>
      </c>
      <c r="P3099" s="12">
        <f t="shared" si="197"/>
        <v>41</v>
      </c>
      <c r="Q3099" s="14" t="s">
        <v>8314</v>
      </c>
      <c r="R3099" t="s">
        <v>8354</v>
      </c>
      <c r="S3099" s="17">
        <f t="shared" si="198"/>
        <v>42629.503483796296</v>
      </c>
      <c r="T3099" s="17">
        <f t="shared" si="199"/>
        <v>42650.583333333328</v>
      </c>
      <c r="U3099">
        <f>MONTH(Table1[[#This Row],[Launched]])</f>
        <v>9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 s="8">
        <v>1454890620</v>
      </c>
      <c r="J3100">
        <v>1450724449</v>
      </c>
      <c r="K3100" t="b">
        <v>0</v>
      </c>
      <c r="L3100" s="10">
        <v>27</v>
      </c>
      <c r="M3100" t="b">
        <v>0</v>
      </c>
      <c r="N3100" t="s">
        <v>8301</v>
      </c>
      <c r="O3100" s="11">
        <f t="shared" si="196"/>
        <v>4</v>
      </c>
      <c r="P3100" s="12">
        <f t="shared" si="197"/>
        <v>65</v>
      </c>
      <c r="Q3100" s="14" t="s">
        <v>8314</v>
      </c>
      <c r="R3100" t="s">
        <v>8354</v>
      </c>
      <c r="S3100" s="17">
        <f t="shared" si="198"/>
        <v>42359.792233796295</v>
      </c>
      <c r="T3100" s="17">
        <f t="shared" si="199"/>
        <v>42408.01180555555</v>
      </c>
      <c r="U3100">
        <f>MONTH(Table1[[#This Row],[Launched]])</f>
        <v>12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8220</v>
      </c>
      <c r="G3101" t="s">
        <v>8223</v>
      </c>
      <c r="H3101" t="s">
        <v>8245</v>
      </c>
      <c r="I3101" s="8">
        <v>1455251591</v>
      </c>
      <c r="J3101">
        <v>1452659591</v>
      </c>
      <c r="K3101" t="b">
        <v>0</v>
      </c>
      <c r="L3101" s="10">
        <v>5</v>
      </c>
      <c r="M3101" t="b">
        <v>0</v>
      </c>
      <c r="N3101" t="s">
        <v>8301</v>
      </c>
      <c r="O3101" s="11">
        <f t="shared" si="196"/>
        <v>14</v>
      </c>
      <c r="P3101" s="12">
        <f t="shared" si="197"/>
        <v>56</v>
      </c>
      <c r="Q3101" s="14" t="s">
        <v>8314</v>
      </c>
      <c r="R3101" t="s">
        <v>8354</v>
      </c>
      <c r="S3101" s="17">
        <f t="shared" si="198"/>
        <v>42382.189710648148</v>
      </c>
      <c r="T3101" s="17">
        <f t="shared" si="199"/>
        <v>42412.189710648148</v>
      </c>
      <c r="U3101">
        <f>MONTH(Table1[[#This Row],[Launched]])</f>
        <v>1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 s="8">
        <v>1413816975</v>
      </c>
      <c r="J3102">
        <v>1411224975</v>
      </c>
      <c r="K3102" t="b">
        <v>0</v>
      </c>
      <c r="L3102" s="10">
        <v>13</v>
      </c>
      <c r="M3102" t="b">
        <v>0</v>
      </c>
      <c r="N3102" t="s">
        <v>8301</v>
      </c>
      <c r="O3102" s="11">
        <f t="shared" si="196"/>
        <v>15</v>
      </c>
      <c r="P3102" s="12">
        <f t="shared" si="197"/>
        <v>141</v>
      </c>
      <c r="Q3102" s="14" t="s">
        <v>8314</v>
      </c>
      <c r="R3102" t="s">
        <v>8354</v>
      </c>
      <c r="S3102" s="17">
        <f t="shared" si="198"/>
        <v>41902.622395833336</v>
      </c>
      <c r="T3102" s="17">
        <f t="shared" si="199"/>
        <v>41932.622395833336</v>
      </c>
      <c r="U3102">
        <f>MONTH(Table1[[#This Row],[Launched]])</f>
        <v>9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8220</v>
      </c>
      <c r="G3103" t="s">
        <v>8229</v>
      </c>
      <c r="H3103" t="s">
        <v>8248</v>
      </c>
      <c r="I3103" s="8">
        <v>1437033360</v>
      </c>
      <c r="J3103">
        <v>1434445937</v>
      </c>
      <c r="K3103" t="b">
        <v>0</v>
      </c>
      <c r="L3103" s="10">
        <v>12</v>
      </c>
      <c r="M3103" t="b">
        <v>0</v>
      </c>
      <c r="N3103" t="s">
        <v>8301</v>
      </c>
      <c r="O3103" s="11">
        <f t="shared" si="196"/>
        <v>12</v>
      </c>
      <c r="P3103" s="12">
        <f t="shared" si="197"/>
        <v>25</v>
      </c>
      <c r="Q3103" s="14" t="s">
        <v>8314</v>
      </c>
      <c r="R3103" t="s">
        <v>8354</v>
      </c>
      <c r="S3103" s="17">
        <f t="shared" si="198"/>
        <v>42171.383530092593</v>
      </c>
      <c r="T3103" s="17">
        <f t="shared" si="199"/>
        <v>42201.330555555556</v>
      </c>
      <c r="U3103">
        <f>MONTH(Table1[[#This Row],[Launched]])</f>
        <v>6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 s="8">
        <v>1471939818</v>
      </c>
      <c r="J3104">
        <v>1467619818</v>
      </c>
      <c r="K3104" t="b">
        <v>0</v>
      </c>
      <c r="L3104" s="10">
        <v>90</v>
      </c>
      <c r="M3104" t="b">
        <v>0</v>
      </c>
      <c r="N3104" t="s">
        <v>8301</v>
      </c>
      <c r="O3104" s="11">
        <f t="shared" si="196"/>
        <v>39</v>
      </c>
      <c r="P3104" s="12">
        <f t="shared" si="197"/>
        <v>70</v>
      </c>
      <c r="Q3104" s="14" t="s">
        <v>8314</v>
      </c>
      <c r="R3104" t="s">
        <v>8354</v>
      </c>
      <c r="S3104" s="17">
        <f t="shared" si="198"/>
        <v>42555.340486111112</v>
      </c>
      <c r="T3104" s="17">
        <f t="shared" si="199"/>
        <v>42605.340486111112</v>
      </c>
      <c r="U3104">
        <f>MONTH(Table1[[#This Row],[Launched]])</f>
        <v>7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8220</v>
      </c>
      <c r="G3105" t="s">
        <v>8223</v>
      </c>
      <c r="H3105" t="s">
        <v>8245</v>
      </c>
      <c r="I3105" s="8">
        <v>1434080706</v>
      </c>
      <c r="J3105">
        <v>1428896706</v>
      </c>
      <c r="K3105" t="b">
        <v>0</v>
      </c>
      <c r="L3105" s="10">
        <v>2</v>
      </c>
      <c r="M3105" t="b">
        <v>0</v>
      </c>
      <c r="N3105" t="s">
        <v>8301</v>
      </c>
      <c r="O3105" s="11">
        <f t="shared" si="196"/>
        <v>0</v>
      </c>
      <c r="P3105" s="12">
        <f t="shared" si="197"/>
        <v>6</v>
      </c>
      <c r="Q3105" s="14" t="s">
        <v>8314</v>
      </c>
      <c r="R3105" t="s">
        <v>8354</v>
      </c>
      <c r="S3105" s="17">
        <f t="shared" si="198"/>
        <v>42107.156319444446</v>
      </c>
      <c r="T3105" s="17">
        <f t="shared" si="199"/>
        <v>42167.156319444446</v>
      </c>
      <c r="U3105">
        <f>MONTH(Table1[[#This Row],[Launched]])</f>
        <v>4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 s="8">
        <v>1422928800</v>
      </c>
      <c r="J3106">
        <v>1420235311</v>
      </c>
      <c r="K3106" t="b">
        <v>0</v>
      </c>
      <c r="L3106" s="10">
        <v>5</v>
      </c>
      <c r="M3106" t="b">
        <v>0</v>
      </c>
      <c r="N3106" t="s">
        <v>8301</v>
      </c>
      <c r="O3106" s="11">
        <f t="shared" si="196"/>
        <v>30</v>
      </c>
      <c r="P3106" s="12">
        <f t="shared" si="197"/>
        <v>237</v>
      </c>
      <c r="Q3106" s="14" t="s">
        <v>8314</v>
      </c>
      <c r="R3106" t="s">
        <v>8354</v>
      </c>
      <c r="S3106" s="17">
        <f t="shared" si="198"/>
        <v>42006.908692129626</v>
      </c>
      <c r="T3106" s="17">
        <f t="shared" si="199"/>
        <v>42038.083333333328</v>
      </c>
      <c r="U3106">
        <f>MONTH(Table1[[#This Row],[Launched]])</f>
        <v>1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 s="8">
        <v>1413694800</v>
      </c>
      <c r="J3107">
        <v>1408986916</v>
      </c>
      <c r="K3107" t="b">
        <v>0</v>
      </c>
      <c r="L3107" s="10">
        <v>31</v>
      </c>
      <c r="M3107" t="b">
        <v>0</v>
      </c>
      <c r="N3107" t="s">
        <v>8301</v>
      </c>
      <c r="O3107" s="11">
        <f t="shared" si="196"/>
        <v>42</v>
      </c>
      <c r="P3107" s="12">
        <f t="shared" si="197"/>
        <v>80</v>
      </c>
      <c r="Q3107" s="14" t="s">
        <v>8314</v>
      </c>
      <c r="R3107" t="s">
        <v>8354</v>
      </c>
      <c r="S3107" s="17">
        <f t="shared" si="198"/>
        <v>41876.718935185185</v>
      </c>
      <c r="T3107" s="17">
        <f t="shared" si="199"/>
        <v>41931.208333333336</v>
      </c>
      <c r="U3107">
        <f>MONTH(Table1[[#This Row],[Launched]])</f>
        <v>8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8220</v>
      </c>
      <c r="G3108" t="s">
        <v>8224</v>
      </c>
      <c r="H3108" t="s">
        <v>8246</v>
      </c>
      <c r="I3108" s="8">
        <v>1442440800</v>
      </c>
      <c r="J3108">
        <v>1440497876</v>
      </c>
      <c r="K3108" t="b">
        <v>0</v>
      </c>
      <c r="L3108" s="10">
        <v>4</v>
      </c>
      <c r="M3108" t="b">
        <v>0</v>
      </c>
      <c r="N3108" t="s">
        <v>8301</v>
      </c>
      <c r="O3108" s="11">
        <f t="shared" si="196"/>
        <v>4</v>
      </c>
      <c r="P3108" s="12">
        <f t="shared" si="197"/>
        <v>10</v>
      </c>
      <c r="Q3108" s="14" t="s">
        <v>8314</v>
      </c>
      <c r="R3108" t="s">
        <v>8354</v>
      </c>
      <c r="S3108" s="17">
        <f t="shared" si="198"/>
        <v>42241.429120370376</v>
      </c>
      <c r="T3108" s="17">
        <f t="shared" si="199"/>
        <v>42263.916666666672</v>
      </c>
      <c r="U3108">
        <f>MONTH(Table1[[#This Row],[Launched]])</f>
        <v>8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 s="8">
        <v>1431372751</v>
      </c>
      <c r="J3109">
        <v>1430767951</v>
      </c>
      <c r="K3109" t="b">
        <v>0</v>
      </c>
      <c r="L3109" s="10">
        <v>29</v>
      </c>
      <c r="M3109" t="b">
        <v>0</v>
      </c>
      <c r="N3109" t="s">
        <v>8301</v>
      </c>
      <c r="O3109" s="11">
        <f t="shared" si="196"/>
        <v>20</v>
      </c>
      <c r="P3109" s="12">
        <f t="shared" si="197"/>
        <v>273</v>
      </c>
      <c r="Q3109" s="14" t="s">
        <v>8314</v>
      </c>
      <c r="R3109" t="s">
        <v>8354</v>
      </c>
      <c r="S3109" s="17">
        <f t="shared" si="198"/>
        <v>42128.814247685179</v>
      </c>
      <c r="T3109" s="17">
        <f t="shared" si="199"/>
        <v>42135.814247685179</v>
      </c>
      <c r="U3109">
        <f>MONTH(Table1[[#This Row],[Launched]])</f>
        <v>5</v>
      </c>
    </row>
    <row r="3110" spans="1:21" ht="15.6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8220</v>
      </c>
      <c r="G3110" t="s">
        <v>8223</v>
      </c>
      <c r="H3110" t="s">
        <v>8245</v>
      </c>
      <c r="I3110" s="8">
        <v>1430234394</v>
      </c>
      <c r="J3110">
        <v>1425053994</v>
      </c>
      <c r="K3110" t="b">
        <v>0</v>
      </c>
      <c r="L3110" s="10">
        <v>2</v>
      </c>
      <c r="M3110" t="b">
        <v>0</v>
      </c>
      <c r="N3110" t="s">
        <v>8301</v>
      </c>
      <c r="O3110" s="11">
        <f t="shared" si="196"/>
        <v>0</v>
      </c>
      <c r="P3110" s="12">
        <f t="shared" si="197"/>
        <v>13</v>
      </c>
      <c r="Q3110" s="14" t="s">
        <v>8314</v>
      </c>
      <c r="R3110" t="s">
        <v>8354</v>
      </c>
      <c r="S3110" s="17">
        <f t="shared" si="198"/>
        <v>42062.680486111116</v>
      </c>
      <c r="T3110" s="17">
        <f t="shared" si="199"/>
        <v>42122.638819444444</v>
      </c>
      <c r="U3110">
        <f>MONTH(Table1[[#This Row],[Launched]])</f>
        <v>2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 s="8">
        <v>1409194810</v>
      </c>
      <c r="J3111">
        <v>1406170810</v>
      </c>
      <c r="K3111" t="b">
        <v>0</v>
      </c>
      <c r="L3111" s="10">
        <v>114</v>
      </c>
      <c r="M3111" t="b">
        <v>0</v>
      </c>
      <c r="N3111" t="s">
        <v>8301</v>
      </c>
      <c r="O3111" s="11">
        <f t="shared" si="196"/>
        <v>25</v>
      </c>
      <c r="P3111" s="12">
        <f t="shared" si="197"/>
        <v>58</v>
      </c>
      <c r="Q3111" s="14" t="s">
        <v>8314</v>
      </c>
      <c r="R3111" t="s">
        <v>8354</v>
      </c>
      <c r="S3111" s="17">
        <f t="shared" si="198"/>
        <v>41844.125115740739</v>
      </c>
      <c r="T3111" s="17">
        <f t="shared" si="199"/>
        <v>41879.125115740739</v>
      </c>
      <c r="U3111">
        <f>MONTH(Table1[[#This Row],[Launched]])</f>
        <v>7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8220</v>
      </c>
      <c r="G3112" t="s">
        <v>8223</v>
      </c>
      <c r="H3112" t="s">
        <v>8245</v>
      </c>
      <c r="I3112" s="8">
        <v>1487465119</v>
      </c>
      <c r="J3112">
        <v>1484009119</v>
      </c>
      <c r="K3112" t="b">
        <v>0</v>
      </c>
      <c r="L3112" s="10">
        <v>1</v>
      </c>
      <c r="M3112" t="b">
        <v>0</v>
      </c>
      <c r="N3112" t="s">
        <v>8301</v>
      </c>
      <c r="O3112" s="11">
        <f t="shared" si="196"/>
        <v>0</v>
      </c>
      <c r="P3112" s="12">
        <f t="shared" si="197"/>
        <v>10</v>
      </c>
      <c r="Q3112" s="14" t="s">
        <v>8314</v>
      </c>
      <c r="R3112" t="s">
        <v>8354</v>
      </c>
      <c r="S3112" s="17">
        <f t="shared" si="198"/>
        <v>42745.031469907408</v>
      </c>
      <c r="T3112" s="17">
        <f t="shared" si="199"/>
        <v>42785.031469907408</v>
      </c>
      <c r="U3112">
        <f>MONTH(Table1[[#This Row],[Launched]])</f>
        <v>1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 s="8">
        <v>1412432220</v>
      </c>
      <c r="J3113">
        <v>1409753820</v>
      </c>
      <c r="K3113" t="b">
        <v>0</v>
      </c>
      <c r="L3113" s="10">
        <v>76</v>
      </c>
      <c r="M3113" t="b">
        <v>0</v>
      </c>
      <c r="N3113" t="s">
        <v>8301</v>
      </c>
      <c r="O3113" s="11">
        <f t="shared" si="196"/>
        <v>27</v>
      </c>
      <c r="P3113" s="12">
        <f t="shared" si="197"/>
        <v>70</v>
      </c>
      <c r="Q3113" s="14" t="s">
        <v>8314</v>
      </c>
      <c r="R3113" t="s">
        <v>8354</v>
      </c>
      <c r="S3113" s="17">
        <f t="shared" si="198"/>
        <v>41885.595138888886</v>
      </c>
      <c r="T3113" s="17">
        <f t="shared" si="199"/>
        <v>41916.595138888886</v>
      </c>
      <c r="U3113">
        <f>MONTH(Table1[[#This Row],[Launched]])</f>
        <v>9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 s="8">
        <v>1477968934</v>
      </c>
      <c r="J3114">
        <v>1472784934</v>
      </c>
      <c r="K3114" t="b">
        <v>0</v>
      </c>
      <c r="L3114" s="10">
        <v>9</v>
      </c>
      <c r="M3114" t="b">
        <v>0</v>
      </c>
      <c r="N3114" t="s">
        <v>8301</v>
      </c>
      <c r="O3114" s="11">
        <f t="shared" si="196"/>
        <v>5</v>
      </c>
      <c r="P3114" s="12">
        <f t="shared" si="197"/>
        <v>58</v>
      </c>
      <c r="Q3114" s="14" t="s">
        <v>8314</v>
      </c>
      <c r="R3114" t="s">
        <v>8354</v>
      </c>
      <c r="S3114" s="17">
        <f t="shared" si="198"/>
        <v>42615.121921296297</v>
      </c>
      <c r="T3114" s="17">
        <f t="shared" si="199"/>
        <v>42675.121921296297</v>
      </c>
      <c r="U3114">
        <f>MONTH(Table1[[#This Row],[Launched]])</f>
        <v>9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 s="8">
        <v>1429291982</v>
      </c>
      <c r="J3115">
        <v>1426699982</v>
      </c>
      <c r="K3115" t="b">
        <v>0</v>
      </c>
      <c r="L3115" s="10">
        <v>37</v>
      </c>
      <c r="M3115" t="b">
        <v>0</v>
      </c>
      <c r="N3115" t="s">
        <v>8301</v>
      </c>
      <c r="O3115" s="11">
        <f t="shared" si="196"/>
        <v>4</v>
      </c>
      <c r="P3115" s="12">
        <f t="shared" si="197"/>
        <v>125</v>
      </c>
      <c r="Q3115" s="14" t="s">
        <v>8314</v>
      </c>
      <c r="R3115" t="s">
        <v>8354</v>
      </c>
      <c r="S3115" s="17">
        <f t="shared" si="198"/>
        <v>42081.731273148151</v>
      </c>
      <c r="T3115" s="17">
        <f t="shared" si="199"/>
        <v>42111.731273148151</v>
      </c>
      <c r="U3115">
        <f>MONTH(Table1[[#This Row],[Launched]])</f>
        <v>3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8220</v>
      </c>
      <c r="G3116" t="s">
        <v>8223</v>
      </c>
      <c r="H3116" t="s">
        <v>8245</v>
      </c>
      <c r="I3116" s="8">
        <v>1411312250</v>
      </c>
      <c r="J3116">
        <v>1406128250</v>
      </c>
      <c r="K3116" t="b">
        <v>0</v>
      </c>
      <c r="L3116" s="10">
        <v>0</v>
      </c>
      <c r="M3116" t="b">
        <v>0</v>
      </c>
      <c r="N3116" t="s">
        <v>8301</v>
      </c>
      <c r="O3116" s="11">
        <f t="shared" si="196"/>
        <v>0</v>
      </c>
      <c r="P3116" s="12" t="str">
        <f t="shared" si="197"/>
        <v>No Backers</v>
      </c>
      <c r="Q3116" s="14" t="s">
        <v>8314</v>
      </c>
      <c r="R3116" t="s">
        <v>8354</v>
      </c>
      <c r="S3116" s="17">
        <f t="shared" si="198"/>
        <v>41843.632523148146</v>
      </c>
      <c r="T3116" s="17">
        <f t="shared" si="199"/>
        <v>41903.632523148146</v>
      </c>
      <c r="U3116">
        <f>MONTH(Table1[[#This Row],[Launched]])</f>
        <v>7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 s="8">
        <v>1465123427</v>
      </c>
      <c r="J3117">
        <v>1462531427</v>
      </c>
      <c r="K3117" t="b">
        <v>0</v>
      </c>
      <c r="L3117" s="10">
        <v>1</v>
      </c>
      <c r="M3117" t="b">
        <v>0</v>
      </c>
      <c r="N3117" t="s">
        <v>8301</v>
      </c>
      <c r="O3117" s="11">
        <f t="shared" si="196"/>
        <v>3</v>
      </c>
      <c r="P3117" s="12">
        <f t="shared" si="197"/>
        <v>300</v>
      </c>
      <c r="Q3117" s="14" t="s">
        <v>8314</v>
      </c>
      <c r="R3117" t="s">
        <v>8354</v>
      </c>
      <c r="S3117" s="17">
        <f t="shared" si="198"/>
        <v>42496.447071759263</v>
      </c>
      <c r="T3117" s="17">
        <f t="shared" si="199"/>
        <v>42526.447071759263</v>
      </c>
      <c r="U3117">
        <f>MONTH(Table1[[#This Row],[Launched]])</f>
        <v>5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8220</v>
      </c>
      <c r="G3118" t="s">
        <v>8223</v>
      </c>
      <c r="H3118" t="s">
        <v>8245</v>
      </c>
      <c r="I3118" s="8">
        <v>1427890925</v>
      </c>
      <c r="J3118">
        <v>1426681325</v>
      </c>
      <c r="K3118" t="b">
        <v>0</v>
      </c>
      <c r="L3118" s="10">
        <v>10</v>
      </c>
      <c r="M3118" t="b">
        <v>0</v>
      </c>
      <c r="N3118" t="s">
        <v>8301</v>
      </c>
      <c r="O3118" s="11">
        <f t="shared" si="196"/>
        <v>57</v>
      </c>
      <c r="P3118" s="12">
        <f t="shared" si="197"/>
        <v>43</v>
      </c>
      <c r="Q3118" s="14" t="s">
        <v>8314</v>
      </c>
      <c r="R3118" t="s">
        <v>8354</v>
      </c>
      <c r="S3118" s="17">
        <f t="shared" si="198"/>
        <v>42081.515335648146</v>
      </c>
      <c r="T3118" s="17">
        <f t="shared" si="199"/>
        <v>42095.515335648146</v>
      </c>
      <c r="U3118">
        <f>MONTH(Table1[[#This Row],[Launched]])</f>
        <v>3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8220</v>
      </c>
      <c r="G3119" t="s">
        <v>8224</v>
      </c>
      <c r="H3119" t="s">
        <v>8246</v>
      </c>
      <c r="I3119" s="8">
        <v>1464354720</v>
      </c>
      <c r="J3119">
        <v>1463648360</v>
      </c>
      <c r="K3119" t="b">
        <v>0</v>
      </c>
      <c r="L3119" s="10">
        <v>1</v>
      </c>
      <c r="M3119" t="b">
        <v>0</v>
      </c>
      <c r="N3119" t="s">
        <v>8301</v>
      </c>
      <c r="O3119" s="11">
        <f t="shared" si="196"/>
        <v>0</v>
      </c>
      <c r="P3119" s="12">
        <f t="shared" si="197"/>
        <v>1</v>
      </c>
      <c r="Q3119" s="14" t="s">
        <v>8314</v>
      </c>
      <c r="R3119" t="s">
        <v>8354</v>
      </c>
      <c r="S3119" s="17">
        <f t="shared" si="198"/>
        <v>42509.374537037031</v>
      </c>
      <c r="T3119" s="17">
        <f t="shared" si="199"/>
        <v>42517.55</v>
      </c>
      <c r="U3119">
        <f>MONTH(Table1[[#This Row],[Launched]])</f>
        <v>5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 s="8">
        <v>1467473723</v>
      </c>
      <c r="J3120">
        <v>1465832123</v>
      </c>
      <c r="K3120" t="b">
        <v>0</v>
      </c>
      <c r="L3120" s="10">
        <v>2</v>
      </c>
      <c r="M3120" t="b">
        <v>0</v>
      </c>
      <c r="N3120" t="s">
        <v>8301</v>
      </c>
      <c r="O3120" s="11">
        <f t="shared" si="196"/>
        <v>0</v>
      </c>
      <c r="P3120" s="12">
        <f t="shared" si="197"/>
        <v>775</v>
      </c>
      <c r="Q3120" s="14" t="s">
        <v>8314</v>
      </c>
      <c r="R3120" t="s">
        <v>8354</v>
      </c>
      <c r="S3120" s="17">
        <f t="shared" si="198"/>
        <v>42534.649571759262</v>
      </c>
      <c r="T3120" s="17">
        <f t="shared" si="199"/>
        <v>42553.649571759262</v>
      </c>
      <c r="U3120">
        <f>MONTH(Table1[[#This Row],[Launched]])</f>
        <v>6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8220</v>
      </c>
      <c r="G3121" t="s">
        <v>8223</v>
      </c>
      <c r="H3121" t="s">
        <v>8245</v>
      </c>
      <c r="I3121" s="8">
        <v>1427414732</v>
      </c>
      <c r="J3121">
        <v>1424826332</v>
      </c>
      <c r="K3121" t="b">
        <v>0</v>
      </c>
      <c r="L3121" s="10">
        <v>1</v>
      </c>
      <c r="M3121" t="b">
        <v>0</v>
      </c>
      <c r="N3121" t="s">
        <v>8301</v>
      </c>
      <c r="O3121" s="11">
        <f t="shared" si="196"/>
        <v>0</v>
      </c>
      <c r="P3121" s="12">
        <f t="shared" si="197"/>
        <v>5</v>
      </c>
      <c r="Q3121" s="14" t="s">
        <v>8314</v>
      </c>
      <c r="R3121" t="s">
        <v>8354</v>
      </c>
      <c r="S3121" s="17">
        <f t="shared" si="198"/>
        <v>42060.04550925926</v>
      </c>
      <c r="T3121" s="17">
        <f t="shared" si="199"/>
        <v>42090.003842592589</v>
      </c>
      <c r="U3121">
        <f>MONTH(Table1[[#This Row],[Launched]])</f>
        <v>2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 s="8">
        <v>1462484196</v>
      </c>
      <c r="J3122">
        <v>1457303796</v>
      </c>
      <c r="K3122" t="b">
        <v>0</v>
      </c>
      <c r="L3122" s="10">
        <v>10</v>
      </c>
      <c r="M3122" t="b">
        <v>0</v>
      </c>
      <c r="N3122" t="s">
        <v>8301</v>
      </c>
      <c r="O3122" s="11">
        <f t="shared" si="196"/>
        <v>0</v>
      </c>
      <c r="P3122" s="12">
        <f t="shared" si="197"/>
        <v>13</v>
      </c>
      <c r="Q3122" s="14" t="s">
        <v>8314</v>
      </c>
      <c r="R3122" t="s">
        <v>8354</v>
      </c>
      <c r="S3122" s="17">
        <f t="shared" si="198"/>
        <v>42435.942083333335</v>
      </c>
      <c r="T3122" s="17">
        <f t="shared" si="199"/>
        <v>42495.900416666671</v>
      </c>
      <c r="U3122">
        <f>MONTH(Table1[[#This Row],[Launched]])</f>
        <v>3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8219</v>
      </c>
      <c r="G3123" t="s">
        <v>8228</v>
      </c>
      <c r="H3123" t="s">
        <v>8250</v>
      </c>
      <c r="I3123" s="8">
        <v>1411748335</v>
      </c>
      <c r="J3123">
        <v>1406564335</v>
      </c>
      <c r="K3123" t="b">
        <v>0</v>
      </c>
      <c r="L3123" s="10">
        <v>1</v>
      </c>
      <c r="M3123" t="b">
        <v>0</v>
      </c>
      <c r="N3123" t="s">
        <v>8301</v>
      </c>
      <c r="O3123" s="11">
        <f t="shared" si="196"/>
        <v>1</v>
      </c>
      <c r="P3123" s="12">
        <f t="shared" si="197"/>
        <v>10</v>
      </c>
      <c r="Q3123" s="14" t="s">
        <v>8314</v>
      </c>
      <c r="R3123" t="s">
        <v>8354</v>
      </c>
      <c r="S3123" s="17">
        <f t="shared" si="198"/>
        <v>41848.679803240739</v>
      </c>
      <c r="T3123" s="17">
        <f t="shared" si="199"/>
        <v>41908.679803240739</v>
      </c>
      <c r="U3123">
        <f>MONTH(Table1[[#This Row],[Launched]])</f>
        <v>7</v>
      </c>
    </row>
    <row r="3124" spans="1:21" ht="15.6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8219</v>
      </c>
      <c r="G3124" t="s">
        <v>8223</v>
      </c>
      <c r="H3124" t="s">
        <v>8245</v>
      </c>
      <c r="I3124" s="8">
        <v>1478733732</v>
      </c>
      <c r="J3124">
        <v>1478298132</v>
      </c>
      <c r="K3124" t="b">
        <v>0</v>
      </c>
      <c r="L3124" s="10">
        <v>2</v>
      </c>
      <c r="M3124" t="b">
        <v>0</v>
      </c>
      <c r="N3124" t="s">
        <v>8301</v>
      </c>
      <c r="O3124" s="11">
        <f t="shared" si="196"/>
        <v>58</v>
      </c>
      <c r="P3124" s="12">
        <f t="shared" si="197"/>
        <v>58</v>
      </c>
      <c r="Q3124" s="14" t="s">
        <v>8314</v>
      </c>
      <c r="R3124" t="s">
        <v>8354</v>
      </c>
      <c r="S3124" s="17">
        <f t="shared" si="198"/>
        <v>42678.932083333333</v>
      </c>
      <c r="T3124" s="17">
        <f t="shared" si="199"/>
        <v>42683.973750000005</v>
      </c>
      <c r="U3124">
        <f>MONTH(Table1[[#This Row],[Launched]])</f>
        <v>11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 s="8">
        <v>1468108198</v>
      </c>
      <c r="J3125">
        <v>1465516198</v>
      </c>
      <c r="K3125" t="b">
        <v>0</v>
      </c>
      <c r="L3125" s="10">
        <v>348</v>
      </c>
      <c r="M3125" t="b">
        <v>0</v>
      </c>
      <c r="N3125" t="s">
        <v>8301</v>
      </c>
      <c r="O3125" s="11">
        <f t="shared" si="196"/>
        <v>68</v>
      </c>
      <c r="P3125" s="12">
        <f t="shared" si="197"/>
        <v>245</v>
      </c>
      <c r="Q3125" s="14" t="s">
        <v>8314</v>
      </c>
      <c r="R3125" t="s">
        <v>8354</v>
      </c>
      <c r="S3125" s="17">
        <f t="shared" si="198"/>
        <v>42530.993032407408</v>
      </c>
      <c r="T3125" s="17">
        <f t="shared" si="199"/>
        <v>42560.993032407408</v>
      </c>
      <c r="U3125">
        <f>MONTH(Table1[[#This Row],[Launched]])</f>
        <v>6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 s="8">
        <v>1422902601</v>
      </c>
      <c r="J3126">
        <v>1417718601</v>
      </c>
      <c r="K3126" t="b">
        <v>0</v>
      </c>
      <c r="L3126" s="10">
        <v>4</v>
      </c>
      <c r="M3126" t="b">
        <v>0</v>
      </c>
      <c r="N3126" t="s">
        <v>8301</v>
      </c>
      <c r="O3126" s="11">
        <f t="shared" si="196"/>
        <v>0</v>
      </c>
      <c r="P3126" s="12">
        <f t="shared" si="197"/>
        <v>7</v>
      </c>
      <c r="Q3126" s="14" t="s">
        <v>8314</v>
      </c>
      <c r="R3126" t="s">
        <v>8354</v>
      </c>
      <c r="S3126" s="17">
        <f t="shared" si="198"/>
        <v>41977.780104166668</v>
      </c>
      <c r="T3126" s="17">
        <f t="shared" si="199"/>
        <v>42037.780104166668</v>
      </c>
      <c r="U3126">
        <f>MONTH(Table1[[#This Row],[Launched]])</f>
        <v>12</v>
      </c>
    </row>
    <row r="3127" spans="1:21" ht="15.6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 s="8">
        <v>1452142672</v>
      </c>
      <c r="J3127">
        <v>1449550672</v>
      </c>
      <c r="K3127" t="b">
        <v>0</v>
      </c>
      <c r="L3127" s="10">
        <v>0</v>
      </c>
      <c r="M3127" t="b">
        <v>0</v>
      </c>
      <c r="N3127" t="s">
        <v>8301</v>
      </c>
      <c r="O3127" s="11">
        <f t="shared" si="196"/>
        <v>0</v>
      </c>
      <c r="P3127" s="12" t="str">
        <f t="shared" si="197"/>
        <v>No Backers</v>
      </c>
      <c r="Q3127" s="14" t="s">
        <v>8314</v>
      </c>
      <c r="R3127" t="s">
        <v>8354</v>
      </c>
      <c r="S3127" s="17">
        <f t="shared" si="198"/>
        <v>42346.20685185185</v>
      </c>
      <c r="T3127" s="17">
        <f t="shared" si="199"/>
        <v>42376.20685185185</v>
      </c>
      <c r="U3127">
        <f>MONTH(Table1[[#This Row],[Launched]])</f>
        <v>12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 s="8">
        <v>1459121162</v>
      </c>
      <c r="J3128">
        <v>1456532762</v>
      </c>
      <c r="K3128" t="b">
        <v>0</v>
      </c>
      <c r="L3128" s="10">
        <v>17</v>
      </c>
      <c r="M3128" t="b">
        <v>0</v>
      </c>
      <c r="N3128" t="s">
        <v>8301</v>
      </c>
      <c r="O3128" s="11">
        <f t="shared" si="196"/>
        <v>4</v>
      </c>
      <c r="P3128" s="12">
        <f t="shared" si="197"/>
        <v>61</v>
      </c>
      <c r="Q3128" s="14" t="s">
        <v>8314</v>
      </c>
      <c r="R3128" t="s">
        <v>8354</v>
      </c>
      <c r="S3128" s="17">
        <f t="shared" si="198"/>
        <v>42427.01807870371</v>
      </c>
      <c r="T3128" s="17">
        <f t="shared" si="199"/>
        <v>42456.976412037038</v>
      </c>
      <c r="U3128">
        <f>MONTH(Table1[[#This Row],[Launched]])</f>
        <v>2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8219</v>
      </c>
      <c r="G3129" t="s">
        <v>8223</v>
      </c>
      <c r="H3129" t="s">
        <v>8245</v>
      </c>
      <c r="I3129" s="8">
        <v>1425242029</v>
      </c>
      <c r="J3129">
        <v>1422650029</v>
      </c>
      <c r="K3129" t="b">
        <v>0</v>
      </c>
      <c r="L3129" s="10">
        <v>0</v>
      </c>
      <c r="M3129" t="b">
        <v>0</v>
      </c>
      <c r="N3129" t="s">
        <v>8301</v>
      </c>
      <c r="O3129" s="11">
        <f t="shared" si="196"/>
        <v>0</v>
      </c>
      <c r="P3129" s="12" t="str">
        <f t="shared" si="197"/>
        <v>No Backers</v>
      </c>
      <c r="Q3129" s="14" t="s">
        <v>8314</v>
      </c>
      <c r="R3129" t="s">
        <v>8354</v>
      </c>
      <c r="S3129" s="17">
        <f t="shared" si="198"/>
        <v>42034.856817129628</v>
      </c>
      <c r="T3129" s="17">
        <f t="shared" si="199"/>
        <v>42064.856817129628</v>
      </c>
      <c r="U3129">
        <f>MONTH(Table1[[#This Row],[Launched]])</f>
        <v>1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 s="8">
        <v>1489690141</v>
      </c>
      <c r="J3130">
        <v>1487101741</v>
      </c>
      <c r="K3130" t="b">
        <v>0</v>
      </c>
      <c r="L3130" s="10">
        <v>117</v>
      </c>
      <c r="M3130" t="b">
        <v>0</v>
      </c>
      <c r="N3130" t="s">
        <v>8269</v>
      </c>
      <c r="O3130" s="11">
        <f t="shared" si="196"/>
        <v>109</v>
      </c>
      <c r="P3130" s="12">
        <f t="shared" si="197"/>
        <v>139</v>
      </c>
      <c r="Q3130" s="14" t="s">
        <v>8314</v>
      </c>
      <c r="R3130" t="s">
        <v>8315</v>
      </c>
      <c r="S3130" s="17">
        <f t="shared" si="198"/>
        <v>42780.825706018513</v>
      </c>
      <c r="T3130" s="17">
        <f t="shared" si="199"/>
        <v>42810.784039351856</v>
      </c>
      <c r="U3130">
        <f>MONTH(Table1[[#This Row],[Launched]])</f>
        <v>2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8221</v>
      </c>
      <c r="G3131" t="s">
        <v>8223</v>
      </c>
      <c r="H3131" t="s">
        <v>8245</v>
      </c>
      <c r="I3131" s="8">
        <v>1492542819</v>
      </c>
      <c r="J3131">
        <v>1489090419</v>
      </c>
      <c r="K3131" t="b">
        <v>0</v>
      </c>
      <c r="L3131" s="10">
        <v>1</v>
      </c>
      <c r="M3131" t="b">
        <v>0</v>
      </c>
      <c r="N3131" t="s">
        <v>8269</v>
      </c>
      <c r="O3131" s="11">
        <f t="shared" si="196"/>
        <v>1</v>
      </c>
      <c r="P3131" s="12">
        <f t="shared" si="197"/>
        <v>10</v>
      </c>
      <c r="Q3131" s="14" t="s">
        <v>8314</v>
      </c>
      <c r="R3131" t="s">
        <v>8315</v>
      </c>
      <c r="S3131" s="17">
        <f t="shared" si="198"/>
        <v>42803.842812499999</v>
      </c>
      <c r="T3131" s="17">
        <f t="shared" si="199"/>
        <v>42843.801145833335</v>
      </c>
      <c r="U3131">
        <f>MONTH(Table1[[#This Row],[Launched]])</f>
        <v>3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 s="8">
        <v>1492145940</v>
      </c>
      <c r="J3132">
        <v>1489504916</v>
      </c>
      <c r="K3132" t="b">
        <v>0</v>
      </c>
      <c r="L3132" s="10">
        <v>4</v>
      </c>
      <c r="M3132" t="b">
        <v>0</v>
      </c>
      <c r="N3132" t="s">
        <v>8269</v>
      </c>
      <c r="O3132" s="11">
        <f t="shared" si="196"/>
        <v>4</v>
      </c>
      <c r="P3132" s="12">
        <f t="shared" si="197"/>
        <v>94</v>
      </c>
      <c r="Q3132" s="14" t="s">
        <v>8314</v>
      </c>
      <c r="R3132" t="s">
        <v>8315</v>
      </c>
      <c r="S3132" s="17">
        <f t="shared" si="198"/>
        <v>42808.640231481477</v>
      </c>
      <c r="T3132" s="17">
        <f t="shared" si="199"/>
        <v>42839.207638888889</v>
      </c>
      <c r="U3132">
        <f>MONTH(Table1[[#This Row],[Launched]])</f>
        <v>3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8221</v>
      </c>
      <c r="G3133" t="s">
        <v>8223</v>
      </c>
      <c r="H3133" t="s">
        <v>8245</v>
      </c>
      <c r="I3133" s="8">
        <v>1491656045</v>
      </c>
      <c r="J3133">
        <v>1489067645</v>
      </c>
      <c r="K3133" t="b">
        <v>0</v>
      </c>
      <c r="L3133" s="10">
        <v>12</v>
      </c>
      <c r="M3133" t="b">
        <v>0</v>
      </c>
      <c r="N3133" t="s">
        <v>8269</v>
      </c>
      <c r="O3133" s="11">
        <f t="shared" si="196"/>
        <v>16</v>
      </c>
      <c r="P3133" s="12">
        <f t="shared" si="197"/>
        <v>54</v>
      </c>
      <c r="Q3133" s="14" t="s">
        <v>8314</v>
      </c>
      <c r="R3133" t="s">
        <v>8315</v>
      </c>
      <c r="S3133" s="17">
        <f t="shared" si="198"/>
        <v>42803.579224537039</v>
      </c>
      <c r="T3133" s="17">
        <f t="shared" si="199"/>
        <v>42833.537557870368</v>
      </c>
      <c r="U3133">
        <f>MONTH(Table1[[#This Row],[Launched]])</f>
        <v>3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8221</v>
      </c>
      <c r="G3134" t="s">
        <v>8223</v>
      </c>
      <c r="H3134" t="s">
        <v>8245</v>
      </c>
      <c r="I3134" s="8">
        <v>1492759460</v>
      </c>
      <c r="J3134">
        <v>1487579060</v>
      </c>
      <c r="K3134" t="b">
        <v>0</v>
      </c>
      <c r="L3134" s="10">
        <v>1</v>
      </c>
      <c r="M3134" t="b">
        <v>0</v>
      </c>
      <c r="N3134" t="s">
        <v>8269</v>
      </c>
      <c r="O3134" s="11">
        <f t="shared" si="196"/>
        <v>0</v>
      </c>
      <c r="P3134" s="12">
        <f t="shared" si="197"/>
        <v>10</v>
      </c>
      <c r="Q3134" s="14" t="s">
        <v>8314</v>
      </c>
      <c r="R3134" t="s">
        <v>8315</v>
      </c>
      <c r="S3134" s="17">
        <f t="shared" si="198"/>
        <v>42786.350231481483</v>
      </c>
      <c r="T3134" s="17">
        <f t="shared" si="199"/>
        <v>42846.308564814812</v>
      </c>
      <c r="U3134">
        <f>MONTH(Table1[[#This Row],[Launched]])</f>
        <v>2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8221</v>
      </c>
      <c r="G3135" t="s">
        <v>8224</v>
      </c>
      <c r="H3135" t="s">
        <v>8246</v>
      </c>
      <c r="I3135" s="8">
        <v>1490358834</v>
      </c>
      <c r="J3135">
        <v>1487770434</v>
      </c>
      <c r="K3135" t="b">
        <v>0</v>
      </c>
      <c r="L3135" s="10">
        <v>16</v>
      </c>
      <c r="M3135" t="b">
        <v>0</v>
      </c>
      <c r="N3135" t="s">
        <v>8269</v>
      </c>
      <c r="O3135" s="11">
        <f t="shared" si="196"/>
        <v>108</v>
      </c>
      <c r="P3135" s="12">
        <f t="shared" si="197"/>
        <v>34</v>
      </c>
      <c r="Q3135" s="14" t="s">
        <v>8314</v>
      </c>
      <c r="R3135" t="s">
        <v>8315</v>
      </c>
      <c r="S3135" s="17">
        <f t="shared" si="198"/>
        <v>42788.565208333333</v>
      </c>
      <c r="T3135" s="17">
        <f t="shared" si="199"/>
        <v>42818.523541666669</v>
      </c>
      <c r="U3135">
        <f>MONTH(Table1[[#This Row],[Launched]])</f>
        <v>2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8221</v>
      </c>
      <c r="G3136" t="s">
        <v>8224</v>
      </c>
      <c r="H3136" t="s">
        <v>8246</v>
      </c>
      <c r="I3136" s="8">
        <v>1490631419</v>
      </c>
      <c r="J3136">
        <v>1488820619</v>
      </c>
      <c r="K3136" t="b">
        <v>0</v>
      </c>
      <c r="L3136" s="10">
        <v>12</v>
      </c>
      <c r="M3136" t="b">
        <v>0</v>
      </c>
      <c r="N3136" t="s">
        <v>8269</v>
      </c>
      <c r="O3136" s="11">
        <f t="shared" si="196"/>
        <v>23</v>
      </c>
      <c r="P3136" s="12">
        <f t="shared" si="197"/>
        <v>19</v>
      </c>
      <c r="Q3136" s="14" t="s">
        <v>8314</v>
      </c>
      <c r="R3136" t="s">
        <v>8315</v>
      </c>
      <c r="S3136" s="17">
        <f t="shared" si="198"/>
        <v>42800.720127314817</v>
      </c>
      <c r="T3136" s="17">
        <f t="shared" si="199"/>
        <v>42821.678460648152</v>
      </c>
      <c r="U3136">
        <f>MONTH(Table1[[#This Row],[Launched]])</f>
        <v>3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8221</v>
      </c>
      <c r="G3137" t="s">
        <v>8223</v>
      </c>
      <c r="H3137" t="s">
        <v>8245</v>
      </c>
      <c r="I3137" s="8">
        <v>1491277121</v>
      </c>
      <c r="J3137">
        <v>1489376321</v>
      </c>
      <c r="K3137" t="b">
        <v>0</v>
      </c>
      <c r="L3137" s="10">
        <v>7</v>
      </c>
      <c r="M3137" t="b">
        <v>0</v>
      </c>
      <c r="N3137" t="s">
        <v>8269</v>
      </c>
      <c r="O3137" s="11">
        <f t="shared" si="196"/>
        <v>21</v>
      </c>
      <c r="P3137" s="12">
        <f t="shared" si="197"/>
        <v>23</v>
      </c>
      <c r="Q3137" s="14" t="s">
        <v>8314</v>
      </c>
      <c r="R3137" t="s">
        <v>8315</v>
      </c>
      <c r="S3137" s="17">
        <f t="shared" si="198"/>
        <v>42807.151863425926</v>
      </c>
      <c r="T3137" s="17">
        <f t="shared" si="199"/>
        <v>42829.151863425926</v>
      </c>
      <c r="U3137">
        <f>MONTH(Table1[[#This Row],[Launched]])</f>
        <v>3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8221</v>
      </c>
      <c r="G3138" t="s">
        <v>8224</v>
      </c>
      <c r="H3138" t="s">
        <v>8246</v>
      </c>
      <c r="I3138" s="8">
        <v>1491001140</v>
      </c>
      <c r="J3138">
        <v>1487847954</v>
      </c>
      <c r="K3138" t="b">
        <v>0</v>
      </c>
      <c r="L3138" s="10">
        <v>22</v>
      </c>
      <c r="M3138" t="b">
        <v>0</v>
      </c>
      <c r="N3138" t="s">
        <v>8269</v>
      </c>
      <c r="O3138" s="11">
        <f t="shared" ref="O3138:O3201" si="200">ROUND(E3138/D3138*100,0)</f>
        <v>128</v>
      </c>
      <c r="P3138" s="12">
        <f t="shared" si="197"/>
        <v>29</v>
      </c>
      <c r="Q3138" s="14" t="s">
        <v>8314</v>
      </c>
      <c r="R3138" t="s">
        <v>8315</v>
      </c>
      <c r="S3138" s="17">
        <f t="shared" si="198"/>
        <v>42789.462430555555</v>
      </c>
      <c r="T3138" s="17">
        <f t="shared" si="199"/>
        <v>42825.957638888889</v>
      </c>
      <c r="U3138">
        <f>MONTH(Table1[[#This Row],[Launched]])</f>
        <v>2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8221</v>
      </c>
      <c r="G3139" t="s">
        <v>8223</v>
      </c>
      <c r="H3139" t="s">
        <v>8245</v>
      </c>
      <c r="I3139" s="8">
        <v>1493838720</v>
      </c>
      <c r="J3139">
        <v>1489439669</v>
      </c>
      <c r="K3139" t="b">
        <v>0</v>
      </c>
      <c r="L3139" s="10">
        <v>1</v>
      </c>
      <c r="M3139" t="b">
        <v>0</v>
      </c>
      <c r="N3139" t="s">
        <v>8269</v>
      </c>
      <c r="O3139" s="11">
        <f t="shared" si="200"/>
        <v>3</v>
      </c>
      <c r="P3139" s="12">
        <f t="shared" ref="P3139:P3202" si="201">IFERROR(ROUND(E3139/L3139,),"No Backers")</f>
        <v>50</v>
      </c>
      <c r="Q3139" s="14" t="s">
        <v>8314</v>
      </c>
      <c r="R3139" t="s">
        <v>8315</v>
      </c>
      <c r="S3139" s="17">
        <f t="shared" ref="S3139:S3202" si="202">(((J3139/60)/60)/24)+DATE(1970,1,1)</f>
        <v>42807.885057870371</v>
      </c>
      <c r="T3139" s="17">
        <f t="shared" ref="T3139:T3202" si="203">(((I3139/60)/60)/24)+DATE(1970,1,1)</f>
        <v>42858.8</v>
      </c>
      <c r="U3139">
        <f>MONTH(Table1[[#This Row],[Launched]])</f>
        <v>3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8221</v>
      </c>
      <c r="G3140" t="s">
        <v>8224</v>
      </c>
      <c r="H3140" t="s">
        <v>8246</v>
      </c>
      <c r="I3140" s="8">
        <v>1491233407</v>
      </c>
      <c r="J3140">
        <v>1489591807</v>
      </c>
      <c r="K3140" t="b">
        <v>0</v>
      </c>
      <c r="L3140" s="10">
        <v>0</v>
      </c>
      <c r="M3140" t="b">
        <v>0</v>
      </c>
      <c r="N3140" t="s">
        <v>8269</v>
      </c>
      <c r="O3140" s="11">
        <f t="shared" si="200"/>
        <v>0</v>
      </c>
      <c r="P3140" s="12" t="str">
        <f t="shared" si="201"/>
        <v>No Backers</v>
      </c>
      <c r="Q3140" s="14" t="s">
        <v>8314</v>
      </c>
      <c r="R3140" t="s">
        <v>8315</v>
      </c>
      <c r="S3140" s="17">
        <f t="shared" si="202"/>
        <v>42809.645914351851</v>
      </c>
      <c r="T3140" s="17">
        <f t="shared" si="203"/>
        <v>42828.645914351851</v>
      </c>
      <c r="U3140">
        <f>MONTH(Table1[[#This Row],[Launched]])</f>
        <v>3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 s="8">
        <v>1490416380</v>
      </c>
      <c r="J3141">
        <v>1487485760</v>
      </c>
      <c r="K3141" t="b">
        <v>0</v>
      </c>
      <c r="L3141" s="10">
        <v>6</v>
      </c>
      <c r="M3141" t="b">
        <v>0</v>
      </c>
      <c r="N3141" t="s">
        <v>8269</v>
      </c>
      <c r="O3141" s="11">
        <f t="shared" si="200"/>
        <v>5</v>
      </c>
      <c r="P3141" s="12">
        <f t="shared" si="201"/>
        <v>450</v>
      </c>
      <c r="Q3141" s="14" t="s">
        <v>8314</v>
      </c>
      <c r="R3141" t="s">
        <v>8315</v>
      </c>
      <c r="S3141" s="17">
        <f t="shared" si="202"/>
        <v>42785.270370370374</v>
      </c>
      <c r="T3141" s="17">
        <f t="shared" si="203"/>
        <v>42819.189583333333</v>
      </c>
      <c r="U3141">
        <f>MONTH(Table1[[#This Row],[Launched]])</f>
        <v>2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8221</v>
      </c>
      <c r="G3142" t="s">
        <v>8229</v>
      </c>
      <c r="H3142" t="s">
        <v>8248</v>
      </c>
      <c r="I3142" s="8">
        <v>1491581703</v>
      </c>
      <c r="J3142">
        <v>1488993303</v>
      </c>
      <c r="K3142" t="b">
        <v>0</v>
      </c>
      <c r="L3142" s="10">
        <v>4</v>
      </c>
      <c r="M3142" t="b">
        <v>0</v>
      </c>
      <c r="N3142" t="s">
        <v>8269</v>
      </c>
      <c r="O3142" s="11">
        <f t="shared" si="200"/>
        <v>1</v>
      </c>
      <c r="P3142" s="12">
        <f t="shared" si="201"/>
        <v>24</v>
      </c>
      <c r="Q3142" s="14" t="s">
        <v>8314</v>
      </c>
      <c r="R3142" t="s">
        <v>8315</v>
      </c>
      <c r="S3142" s="17">
        <f t="shared" si="202"/>
        <v>42802.718784722223</v>
      </c>
      <c r="T3142" s="17">
        <f t="shared" si="203"/>
        <v>42832.677118055552</v>
      </c>
      <c r="U3142">
        <f>MONTH(Table1[[#This Row],[Launched]])</f>
        <v>3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8221</v>
      </c>
      <c r="G3143" t="s">
        <v>8232</v>
      </c>
      <c r="H3143" t="s">
        <v>8248</v>
      </c>
      <c r="I3143" s="8">
        <v>1492372800</v>
      </c>
      <c r="J3143">
        <v>1488823488</v>
      </c>
      <c r="K3143" t="b">
        <v>0</v>
      </c>
      <c r="L3143" s="10">
        <v>8</v>
      </c>
      <c r="M3143" t="b">
        <v>0</v>
      </c>
      <c r="N3143" t="s">
        <v>8269</v>
      </c>
      <c r="O3143" s="11">
        <f t="shared" si="200"/>
        <v>52</v>
      </c>
      <c r="P3143" s="12">
        <f t="shared" si="201"/>
        <v>32</v>
      </c>
      <c r="Q3143" s="14" t="s">
        <v>8314</v>
      </c>
      <c r="R3143" t="s">
        <v>8315</v>
      </c>
      <c r="S3143" s="17">
        <f t="shared" si="202"/>
        <v>42800.753333333334</v>
      </c>
      <c r="T3143" s="17">
        <f t="shared" si="203"/>
        <v>42841.833333333328</v>
      </c>
      <c r="U3143">
        <f>MONTH(Table1[[#This Row],[Launched]])</f>
        <v>3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8221</v>
      </c>
      <c r="G3144" t="s">
        <v>8224</v>
      </c>
      <c r="H3144" t="s">
        <v>8246</v>
      </c>
      <c r="I3144" s="8">
        <v>1489922339</v>
      </c>
      <c r="J3144">
        <v>1487333939</v>
      </c>
      <c r="K3144" t="b">
        <v>0</v>
      </c>
      <c r="L3144" s="10">
        <v>3</v>
      </c>
      <c r="M3144" t="b">
        <v>0</v>
      </c>
      <c r="N3144" t="s">
        <v>8269</v>
      </c>
      <c r="O3144" s="11">
        <f t="shared" si="200"/>
        <v>2</v>
      </c>
      <c r="P3144" s="12">
        <f t="shared" si="201"/>
        <v>15</v>
      </c>
      <c r="Q3144" s="14" t="s">
        <v>8314</v>
      </c>
      <c r="R3144" t="s">
        <v>8315</v>
      </c>
      <c r="S3144" s="17">
        <f t="shared" si="202"/>
        <v>42783.513182870374</v>
      </c>
      <c r="T3144" s="17">
        <f t="shared" si="203"/>
        <v>42813.471516203703</v>
      </c>
      <c r="U3144">
        <f>MONTH(Table1[[#This Row],[Launched]])</f>
        <v>2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8221</v>
      </c>
      <c r="G3145" t="s">
        <v>8224</v>
      </c>
      <c r="H3145" t="s">
        <v>8246</v>
      </c>
      <c r="I3145" s="8">
        <v>1491726956</v>
      </c>
      <c r="J3145">
        <v>1489480556</v>
      </c>
      <c r="K3145" t="b">
        <v>0</v>
      </c>
      <c r="L3145" s="10">
        <v>0</v>
      </c>
      <c r="M3145" t="b">
        <v>0</v>
      </c>
      <c r="N3145" t="s">
        <v>8269</v>
      </c>
      <c r="O3145" s="11">
        <f t="shared" si="200"/>
        <v>0</v>
      </c>
      <c r="P3145" s="12" t="str">
        <f t="shared" si="201"/>
        <v>No Backers</v>
      </c>
      <c r="Q3145" s="14" t="s">
        <v>8314</v>
      </c>
      <c r="R3145" t="s">
        <v>8315</v>
      </c>
      <c r="S3145" s="17">
        <f t="shared" si="202"/>
        <v>42808.358287037037</v>
      </c>
      <c r="T3145" s="17">
        <f t="shared" si="203"/>
        <v>42834.358287037037</v>
      </c>
      <c r="U3145">
        <f>MONTH(Table1[[#This Row],[Launched]])</f>
        <v>3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 s="8">
        <v>1489903200</v>
      </c>
      <c r="J3146">
        <v>1488459307</v>
      </c>
      <c r="K3146" t="b">
        <v>0</v>
      </c>
      <c r="L3146" s="10">
        <v>30</v>
      </c>
      <c r="M3146" t="b">
        <v>0</v>
      </c>
      <c r="N3146" t="s">
        <v>8269</v>
      </c>
      <c r="O3146" s="11">
        <f t="shared" si="200"/>
        <v>75</v>
      </c>
      <c r="P3146" s="12">
        <f t="shared" si="201"/>
        <v>251</v>
      </c>
      <c r="Q3146" s="14" t="s">
        <v>8314</v>
      </c>
      <c r="R3146" t="s">
        <v>8315</v>
      </c>
      <c r="S3146" s="17">
        <f t="shared" si="202"/>
        <v>42796.538275462968</v>
      </c>
      <c r="T3146" s="17">
        <f t="shared" si="203"/>
        <v>42813.25</v>
      </c>
      <c r="U3146">
        <f>MONTH(Table1[[#This Row],[Launched]])</f>
        <v>3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8221</v>
      </c>
      <c r="G3147" t="s">
        <v>8223</v>
      </c>
      <c r="H3147" t="s">
        <v>8245</v>
      </c>
      <c r="I3147" s="8">
        <v>1490659134</v>
      </c>
      <c r="J3147">
        <v>1485478734</v>
      </c>
      <c r="K3147" t="b">
        <v>0</v>
      </c>
      <c r="L3147" s="10">
        <v>0</v>
      </c>
      <c r="M3147" t="b">
        <v>0</v>
      </c>
      <c r="N3147" t="s">
        <v>8269</v>
      </c>
      <c r="O3147" s="11">
        <f t="shared" si="200"/>
        <v>0</v>
      </c>
      <c r="P3147" s="12" t="str">
        <f t="shared" si="201"/>
        <v>No Backers</v>
      </c>
      <c r="Q3147" s="14" t="s">
        <v>8314</v>
      </c>
      <c r="R3147" t="s">
        <v>8315</v>
      </c>
      <c r="S3147" s="17">
        <f t="shared" si="202"/>
        <v>42762.040902777779</v>
      </c>
      <c r="T3147" s="17">
        <f t="shared" si="203"/>
        <v>42821.999236111107</v>
      </c>
      <c r="U3147">
        <f>MONTH(Table1[[#This Row],[Launched]])</f>
        <v>1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 s="8">
        <v>1492356166</v>
      </c>
      <c r="J3148">
        <v>1488471766</v>
      </c>
      <c r="K3148" t="b">
        <v>0</v>
      </c>
      <c r="L3148" s="10">
        <v>12</v>
      </c>
      <c r="M3148" t="b">
        <v>0</v>
      </c>
      <c r="N3148" t="s">
        <v>8269</v>
      </c>
      <c r="O3148" s="11">
        <f t="shared" si="200"/>
        <v>11</v>
      </c>
      <c r="P3148" s="12">
        <f t="shared" si="201"/>
        <v>438</v>
      </c>
      <c r="Q3148" s="14" t="s">
        <v>8314</v>
      </c>
      <c r="R3148" t="s">
        <v>8315</v>
      </c>
      <c r="S3148" s="17">
        <f t="shared" si="202"/>
        <v>42796.682476851856</v>
      </c>
      <c r="T3148" s="17">
        <f t="shared" si="203"/>
        <v>42841.640810185185</v>
      </c>
      <c r="U3148">
        <f>MONTH(Table1[[#This Row],[Launched]])</f>
        <v>3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 s="8">
        <v>1415319355</v>
      </c>
      <c r="J3149">
        <v>1411859755</v>
      </c>
      <c r="K3149" t="b">
        <v>1</v>
      </c>
      <c r="L3149" s="10">
        <v>213</v>
      </c>
      <c r="M3149" t="b">
        <v>1</v>
      </c>
      <c r="N3149" t="s">
        <v>8269</v>
      </c>
      <c r="O3149" s="11">
        <f t="shared" si="200"/>
        <v>118</v>
      </c>
      <c r="P3149" s="12">
        <f t="shared" si="201"/>
        <v>110</v>
      </c>
      <c r="Q3149" s="14" t="s">
        <v>8314</v>
      </c>
      <c r="R3149" t="s">
        <v>8315</v>
      </c>
      <c r="S3149" s="17">
        <f t="shared" si="202"/>
        <v>41909.969386574077</v>
      </c>
      <c r="T3149" s="17">
        <f t="shared" si="203"/>
        <v>41950.011053240742</v>
      </c>
      <c r="U3149">
        <f>MONTH(Table1[[#This Row],[Launched]])</f>
        <v>9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 s="8">
        <v>1412136000</v>
      </c>
      <c r="J3150">
        <v>1410278284</v>
      </c>
      <c r="K3150" t="b">
        <v>1</v>
      </c>
      <c r="L3150" s="10">
        <v>57</v>
      </c>
      <c r="M3150" t="b">
        <v>1</v>
      </c>
      <c r="N3150" t="s">
        <v>8269</v>
      </c>
      <c r="O3150" s="11">
        <f t="shared" si="200"/>
        <v>131</v>
      </c>
      <c r="P3150" s="12">
        <f t="shared" si="201"/>
        <v>41</v>
      </c>
      <c r="Q3150" s="14" t="s">
        <v>8314</v>
      </c>
      <c r="R3150" t="s">
        <v>8315</v>
      </c>
      <c r="S3150" s="17">
        <f t="shared" si="202"/>
        <v>41891.665324074071</v>
      </c>
      <c r="T3150" s="17">
        <f t="shared" si="203"/>
        <v>41913.166666666664</v>
      </c>
      <c r="U3150">
        <f>MONTH(Table1[[#This Row],[Launched]])</f>
        <v>9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 s="8">
        <v>1354845600</v>
      </c>
      <c r="J3151">
        <v>1352766300</v>
      </c>
      <c r="K3151" t="b">
        <v>1</v>
      </c>
      <c r="L3151" s="10">
        <v>25</v>
      </c>
      <c r="M3151" t="b">
        <v>1</v>
      </c>
      <c r="N3151" t="s">
        <v>8269</v>
      </c>
      <c r="O3151" s="11">
        <f t="shared" si="200"/>
        <v>104</v>
      </c>
      <c r="P3151" s="12">
        <f t="shared" si="201"/>
        <v>52</v>
      </c>
      <c r="Q3151" s="14" t="s">
        <v>8314</v>
      </c>
      <c r="R3151" t="s">
        <v>8315</v>
      </c>
      <c r="S3151" s="17">
        <f t="shared" si="202"/>
        <v>41226.017361111109</v>
      </c>
      <c r="T3151" s="17">
        <f t="shared" si="203"/>
        <v>41250.083333333336</v>
      </c>
      <c r="U3151">
        <f>MONTH(Table1[[#This Row],[Launched]])</f>
        <v>11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 s="8">
        <v>1295928000</v>
      </c>
      <c r="J3152">
        <v>1288160403</v>
      </c>
      <c r="K3152" t="b">
        <v>1</v>
      </c>
      <c r="L3152" s="10">
        <v>104</v>
      </c>
      <c r="M3152" t="b">
        <v>1</v>
      </c>
      <c r="N3152" t="s">
        <v>8269</v>
      </c>
      <c r="O3152" s="11">
        <f t="shared" si="200"/>
        <v>101</v>
      </c>
      <c r="P3152" s="12">
        <f t="shared" si="201"/>
        <v>34</v>
      </c>
      <c r="Q3152" s="14" t="s">
        <v>8314</v>
      </c>
      <c r="R3152" t="s">
        <v>8315</v>
      </c>
      <c r="S3152" s="17">
        <f t="shared" si="202"/>
        <v>40478.263923611114</v>
      </c>
      <c r="T3152" s="17">
        <f t="shared" si="203"/>
        <v>40568.166666666664</v>
      </c>
      <c r="U3152">
        <f>MONTH(Table1[[#This Row],[Launched]])</f>
        <v>10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 s="8">
        <v>1410379774</v>
      </c>
      <c r="J3153">
        <v>1407787774</v>
      </c>
      <c r="K3153" t="b">
        <v>1</v>
      </c>
      <c r="L3153" s="10">
        <v>34</v>
      </c>
      <c r="M3153" t="b">
        <v>1</v>
      </c>
      <c r="N3153" t="s">
        <v>8269</v>
      </c>
      <c r="O3153" s="11">
        <f t="shared" si="200"/>
        <v>100</v>
      </c>
      <c r="P3153" s="12">
        <f t="shared" si="201"/>
        <v>103</v>
      </c>
      <c r="Q3153" s="14" t="s">
        <v>8314</v>
      </c>
      <c r="R3153" t="s">
        <v>8315</v>
      </c>
      <c r="S3153" s="17">
        <f t="shared" si="202"/>
        <v>41862.83997685185</v>
      </c>
      <c r="T3153" s="17">
        <f t="shared" si="203"/>
        <v>41892.83997685185</v>
      </c>
      <c r="U3153">
        <f>MONTH(Table1[[#This Row],[Launched]])</f>
        <v>8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 s="8">
        <v>1383425367</v>
      </c>
      <c r="J3154">
        <v>1380833367</v>
      </c>
      <c r="K3154" t="b">
        <v>1</v>
      </c>
      <c r="L3154" s="10">
        <v>67</v>
      </c>
      <c r="M3154" t="b">
        <v>1</v>
      </c>
      <c r="N3154" t="s">
        <v>8269</v>
      </c>
      <c r="O3154" s="11">
        <f t="shared" si="200"/>
        <v>106</v>
      </c>
      <c r="P3154" s="12">
        <f t="shared" si="201"/>
        <v>35</v>
      </c>
      <c r="Q3154" s="14" t="s">
        <v>8314</v>
      </c>
      <c r="R3154" t="s">
        <v>8315</v>
      </c>
      <c r="S3154" s="17">
        <f t="shared" si="202"/>
        <v>41550.867673611108</v>
      </c>
      <c r="T3154" s="17">
        <f t="shared" si="203"/>
        <v>41580.867673611108</v>
      </c>
      <c r="U3154">
        <f>MONTH(Table1[[#This Row],[Launched]])</f>
        <v>10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 s="8">
        <v>1304225940</v>
      </c>
      <c r="J3155">
        <v>1301542937</v>
      </c>
      <c r="K3155" t="b">
        <v>1</v>
      </c>
      <c r="L3155" s="10">
        <v>241</v>
      </c>
      <c r="M3155" t="b">
        <v>1</v>
      </c>
      <c r="N3155" t="s">
        <v>8269</v>
      </c>
      <c r="O3155" s="11">
        <f t="shared" si="200"/>
        <v>336</v>
      </c>
      <c r="P3155" s="12">
        <f t="shared" si="201"/>
        <v>42</v>
      </c>
      <c r="Q3155" s="14" t="s">
        <v>8314</v>
      </c>
      <c r="R3155" t="s">
        <v>8315</v>
      </c>
      <c r="S3155" s="17">
        <f t="shared" si="202"/>
        <v>40633.154363425929</v>
      </c>
      <c r="T3155" s="17">
        <f t="shared" si="203"/>
        <v>40664.207638888889</v>
      </c>
      <c r="U3155">
        <f>MONTH(Table1[[#This Row],[Launched]])</f>
        <v>3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 s="8">
        <v>1333310458</v>
      </c>
      <c r="J3156">
        <v>1330722058</v>
      </c>
      <c r="K3156" t="b">
        <v>1</v>
      </c>
      <c r="L3156" s="10">
        <v>123</v>
      </c>
      <c r="M3156" t="b">
        <v>1</v>
      </c>
      <c r="N3156" t="s">
        <v>8269</v>
      </c>
      <c r="O3156" s="11">
        <f t="shared" si="200"/>
        <v>113</v>
      </c>
      <c r="P3156" s="12">
        <f t="shared" si="201"/>
        <v>64</v>
      </c>
      <c r="Q3156" s="14" t="s">
        <v>8314</v>
      </c>
      <c r="R3156" t="s">
        <v>8315</v>
      </c>
      <c r="S3156" s="17">
        <f t="shared" si="202"/>
        <v>40970.875671296293</v>
      </c>
      <c r="T3156" s="17">
        <f t="shared" si="203"/>
        <v>41000.834004629629</v>
      </c>
      <c r="U3156">
        <f>MONTH(Table1[[#This Row],[Launched]])</f>
        <v>3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 s="8">
        <v>1356004725</v>
      </c>
      <c r="J3157">
        <v>1353412725</v>
      </c>
      <c r="K3157" t="b">
        <v>1</v>
      </c>
      <c r="L3157" s="10">
        <v>302</v>
      </c>
      <c r="M3157" t="b">
        <v>1</v>
      </c>
      <c r="N3157" t="s">
        <v>8269</v>
      </c>
      <c r="O3157" s="11">
        <f t="shared" si="200"/>
        <v>189</v>
      </c>
      <c r="P3157" s="12">
        <f t="shared" si="201"/>
        <v>31</v>
      </c>
      <c r="Q3157" s="14" t="s">
        <v>8314</v>
      </c>
      <c r="R3157" t="s">
        <v>8315</v>
      </c>
      <c r="S3157" s="17">
        <f t="shared" si="202"/>
        <v>41233.499131944445</v>
      </c>
      <c r="T3157" s="17">
        <f t="shared" si="203"/>
        <v>41263.499131944445</v>
      </c>
      <c r="U3157">
        <f>MONTH(Table1[[#This Row],[Launched]])</f>
        <v>11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 s="8">
        <v>1338591144</v>
      </c>
      <c r="J3158">
        <v>1335567144</v>
      </c>
      <c r="K3158" t="b">
        <v>1</v>
      </c>
      <c r="L3158" s="10">
        <v>89</v>
      </c>
      <c r="M3158" t="b">
        <v>1</v>
      </c>
      <c r="N3158" t="s">
        <v>8269</v>
      </c>
      <c r="O3158" s="11">
        <f t="shared" si="200"/>
        <v>102</v>
      </c>
      <c r="P3158" s="12">
        <f t="shared" si="201"/>
        <v>63</v>
      </c>
      <c r="Q3158" s="14" t="s">
        <v>8314</v>
      </c>
      <c r="R3158" t="s">
        <v>8315</v>
      </c>
      <c r="S3158" s="17">
        <f t="shared" si="202"/>
        <v>41026.953055555554</v>
      </c>
      <c r="T3158" s="17">
        <f t="shared" si="203"/>
        <v>41061.953055555554</v>
      </c>
      <c r="U3158">
        <f>MONTH(Table1[[#This Row],[Launched]])</f>
        <v>4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 s="8">
        <v>1405746000</v>
      </c>
      <c r="J3159">
        <v>1404932105</v>
      </c>
      <c r="K3159" t="b">
        <v>1</v>
      </c>
      <c r="L3159" s="10">
        <v>41</v>
      </c>
      <c r="M3159" t="b">
        <v>1</v>
      </c>
      <c r="N3159" t="s">
        <v>8269</v>
      </c>
      <c r="O3159" s="11">
        <f t="shared" si="200"/>
        <v>101</v>
      </c>
      <c r="P3159" s="12">
        <f t="shared" si="201"/>
        <v>99</v>
      </c>
      <c r="Q3159" s="14" t="s">
        <v>8314</v>
      </c>
      <c r="R3159" t="s">
        <v>8315</v>
      </c>
      <c r="S3159" s="17">
        <f t="shared" si="202"/>
        <v>41829.788252314815</v>
      </c>
      <c r="T3159" s="17">
        <f t="shared" si="203"/>
        <v>41839.208333333336</v>
      </c>
      <c r="U3159">
        <f>MONTH(Table1[[#This Row],[Launched]])</f>
        <v>7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 s="8">
        <v>1374523752</v>
      </c>
      <c r="J3160">
        <v>1371931752</v>
      </c>
      <c r="K3160" t="b">
        <v>1</v>
      </c>
      <c r="L3160" s="10">
        <v>69</v>
      </c>
      <c r="M3160" t="b">
        <v>1</v>
      </c>
      <c r="N3160" t="s">
        <v>8269</v>
      </c>
      <c r="O3160" s="11">
        <f t="shared" si="200"/>
        <v>114</v>
      </c>
      <c r="P3160" s="12">
        <f t="shared" si="201"/>
        <v>83</v>
      </c>
      <c r="Q3160" s="14" t="s">
        <v>8314</v>
      </c>
      <c r="R3160" t="s">
        <v>8315</v>
      </c>
      <c r="S3160" s="17">
        <f t="shared" si="202"/>
        <v>41447.839722222219</v>
      </c>
      <c r="T3160" s="17">
        <f t="shared" si="203"/>
        <v>41477.839722222219</v>
      </c>
      <c r="U3160">
        <f>MONTH(Table1[[#This Row],[Launched]])</f>
        <v>6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 s="8">
        <v>1326927600</v>
      </c>
      <c r="J3161">
        <v>1323221761</v>
      </c>
      <c r="K3161" t="b">
        <v>1</v>
      </c>
      <c r="L3161" s="10">
        <v>52</v>
      </c>
      <c r="M3161" t="b">
        <v>1</v>
      </c>
      <c r="N3161" t="s">
        <v>8269</v>
      </c>
      <c r="O3161" s="11">
        <f t="shared" si="200"/>
        <v>133</v>
      </c>
      <c r="P3161" s="12">
        <f t="shared" si="201"/>
        <v>39</v>
      </c>
      <c r="Q3161" s="14" t="s">
        <v>8314</v>
      </c>
      <c r="R3161" t="s">
        <v>8315</v>
      </c>
      <c r="S3161" s="17">
        <f t="shared" si="202"/>
        <v>40884.066678240742</v>
      </c>
      <c r="T3161" s="17">
        <f t="shared" si="203"/>
        <v>40926.958333333336</v>
      </c>
      <c r="U3161">
        <f>MONTH(Table1[[#This Row],[Launched]])</f>
        <v>12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 s="8">
        <v>1407905940</v>
      </c>
      <c r="J3162">
        <v>1405923687</v>
      </c>
      <c r="K3162" t="b">
        <v>1</v>
      </c>
      <c r="L3162" s="10">
        <v>57</v>
      </c>
      <c r="M3162" t="b">
        <v>1</v>
      </c>
      <c r="N3162" t="s">
        <v>8269</v>
      </c>
      <c r="O3162" s="11">
        <f t="shared" si="200"/>
        <v>102</v>
      </c>
      <c r="P3162" s="12">
        <f t="shared" si="201"/>
        <v>80</v>
      </c>
      <c r="Q3162" s="14" t="s">
        <v>8314</v>
      </c>
      <c r="R3162" t="s">
        <v>8315</v>
      </c>
      <c r="S3162" s="17">
        <f t="shared" si="202"/>
        <v>41841.26489583333</v>
      </c>
      <c r="T3162" s="17">
        <f t="shared" si="203"/>
        <v>41864.207638888889</v>
      </c>
      <c r="U3162">
        <f>MONTH(Table1[[#This Row],[Launched]])</f>
        <v>7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 s="8">
        <v>1413377522</v>
      </c>
      <c r="J3163">
        <v>1410785522</v>
      </c>
      <c r="K3163" t="b">
        <v>1</v>
      </c>
      <c r="L3163" s="10">
        <v>74</v>
      </c>
      <c r="M3163" t="b">
        <v>1</v>
      </c>
      <c r="N3163" t="s">
        <v>8269</v>
      </c>
      <c r="O3163" s="11">
        <f t="shared" si="200"/>
        <v>105</v>
      </c>
      <c r="P3163" s="12">
        <f t="shared" si="201"/>
        <v>28</v>
      </c>
      <c r="Q3163" s="14" t="s">
        <v>8314</v>
      </c>
      <c r="R3163" t="s">
        <v>8315</v>
      </c>
      <c r="S3163" s="17">
        <f t="shared" si="202"/>
        <v>41897.536134259259</v>
      </c>
      <c r="T3163" s="17">
        <f t="shared" si="203"/>
        <v>41927.536134259259</v>
      </c>
      <c r="U3163">
        <f>MONTH(Table1[[#This Row],[Launched]])</f>
        <v>9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 s="8">
        <v>1404698400</v>
      </c>
      <c r="J3164">
        <v>1402331262</v>
      </c>
      <c r="K3164" t="b">
        <v>1</v>
      </c>
      <c r="L3164" s="10">
        <v>63</v>
      </c>
      <c r="M3164" t="b">
        <v>1</v>
      </c>
      <c r="N3164" t="s">
        <v>8269</v>
      </c>
      <c r="O3164" s="11">
        <f t="shared" si="200"/>
        <v>127</v>
      </c>
      <c r="P3164" s="12">
        <f t="shared" si="201"/>
        <v>81</v>
      </c>
      <c r="Q3164" s="14" t="s">
        <v>8314</v>
      </c>
      <c r="R3164" t="s">
        <v>8315</v>
      </c>
      <c r="S3164" s="17">
        <f t="shared" si="202"/>
        <v>41799.685902777775</v>
      </c>
      <c r="T3164" s="17">
        <f t="shared" si="203"/>
        <v>41827.083333333336</v>
      </c>
      <c r="U3164">
        <f>MONTH(Table1[[#This Row],[Launched]])</f>
        <v>6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 s="8">
        <v>1402855525</v>
      </c>
      <c r="J3165">
        <v>1400263525</v>
      </c>
      <c r="K3165" t="b">
        <v>1</v>
      </c>
      <c r="L3165" s="10">
        <v>72</v>
      </c>
      <c r="M3165" t="b">
        <v>1</v>
      </c>
      <c r="N3165" t="s">
        <v>8269</v>
      </c>
      <c r="O3165" s="11">
        <f t="shared" si="200"/>
        <v>111</v>
      </c>
      <c r="P3165" s="12">
        <f t="shared" si="201"/>
        <v>201</v>
      </c>
      <c r="Q3165" s="14" t="s">
        <v>8314</v>
      </c>
      <c r="R3165" t="s">
        <v>8315</v>
      </c>
      <c r="S3165" s="17">
        <f t="shared" si="202"/>
        <v>41775.753761574073</v>
      </c>
      <c r="T3165" s="17">
        <f t="shared" si="203"/>
        <v>41805.753761574073</v>
      </c>
      <c r="U3165">
        <f>MONTH(Table1[[#This Row],[Launched]])</f>
        <v>5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 s="8">
        <v>1402341615</v>
      </c>
      <c r="J3166">
        <v>1399490415</v>
      </c>
      <c r="K3166" t="b">
        <v>1</v>
      </c>
      <c r="L3166" s="10">
        <v>71</v>
      </c>
      <c r="M3166" t="b">
        <v>1</v>
      </c>
      <c r="N3166" t="s">
        <v>8269</v>
      </c>
      <c r="O3166" s="11">
        <f t="shared" si="200"/>
        <v>107</v>
      </c>
      <c r="P3166" s="12">
        <f t="shared" si="201"/>
        <v>38</v>
      </c>
      <c r="Q3166" s="14" t="s">
        <v>8314</v>
      </c>
      <c r="R3166" t="s">
        <v>8315</v>
      </c>
      <c r="S3166" s="17">
        <f t="shared" si="202"/>
        <v>41766.80572916667</v>
      </c>
      <c r="T3166" s="17">
        <f t="shared" si="203"/>
        <v>41799.80572916667</v>
      </c>
      <c r="U3166">
        <f>MONTH(Table1[[#This Row],[Launched]])</f>
        <v>5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8218</v>
      </c>
      <c r="G3167" t="s">
        <v>8223</v>
      </c>
      <c r="H3167" t="s">
        <v>8245</v>
      </c>
      <c r="I3167" s="8">
        <v>1304395140</v>
      </c>
      <c r="J3167">
        <v>1302493760</v>
      </c>
      <c r="K3167" t="b">
        <v>1</v>
      </c>
      <c r="L3167" s="10">
        <v>21</v>
      </c>
      <c r="M3167" t="b">
        <v>1</v>
      </c>
      <c r="N3167" t="s">
        <v>8269</v>
      </c>
      <c r="O3167" s="11">
        <f t="shared" si="200"/>
        <v>163</v>
      </c>
      <c r="P3167" s="12">
        <f t="shared" si="201"/>
        <v>58</v>
      </c>
      <c r="Q3167" s="14" t="s">
        <v>8314</v>
      </c>
      <c r="R3167" t="s">
        <v>8315</v>
      </c>
      <c r="S3167" s="17">
        <f t="shared" si="202"/>
        <v>40644.159259259257</v>
      </c>
      <c r="T3167" s="17">
        <f t="shared" si="203"/>
        <v>40666.165972222225</v>
      </c>
      <c r="U3167">
        <f>MONTH(Table1[[#This Row],[Launched]])</f>
        <v>4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 s="8">
        <v>1416988740</v>
      </c>
      <c r="J3168">
        <v>1414514153</v>
      </c>
      <c r="K3168" t="b">
        <v>1</v>
      </c>
      <c r="L3168" s="10">
        <v>930</v>
      </c>
      <c r="M3168" t="b">
        <v>1</v>
      </c>
      <c r="N3168" t="s">
        <v>8269</v>
      </c>
      <c r="O3168" s="11">
        <f t="shared" si="200"/>
        <v>160</v>
      </c>
      <c r="P3168" s="12">
        <f t="shared" si="201"/>
        <v>60</v>
      </c>
      <c r="Q3168" s="14" t="s">
        <v>8314</v>
      </c>
      <c r="R3168" t="s">
        <v>8315</v>
      </c>
      <c r="S3168" s="17">
        <f t="shared" si="202"/>
        <v>41940.69158564815</v>
      </c>
      <c r="T3168" s="17">
        <f t="shared" si="203"/>
        <v>41969.332638888889</v>
      </c>
      <c r="U3168">
        <f>MONTH(Table1[[#This Row],[Launched]])</f>
        <v>10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 s="8">
        <v>1406952781</v>
      </c>
      <c r="J3169">
        <v>1405743181</v>
      </c>
      <c r="K3169" t="b">
        <v>1</v>
      </c>
      <c r="L3169" s="10">
        <v>55</v>
      </c>
      <c r="M3169" t="b">
        <v>1</v>
      </c>
      <c r="N3169" t="s">
        <v>8269</v>
      </c>
      <c r="O3169" s="11">
        <f t="shared" si="200"/>
        <v>116</v>
      </c>
      <c r="P3169" s="12">
        <f t="shared" si="201"/>
        <v>63</v>
      </c>
      <c r="Q3169" s="14" t="s">
        <v>8314</v>
      </c>
      <c r="R3169" t="s">
        <v>8315</v>
      </c>
      <c r="S3169" s="17">
        <f t="shared" si="202"/>
        <v>41839.175706018519</v>
      </c>
      <c r="T3169" s="17">
        <f t="shared" si="203"/>
        <v>41853.175706018519</v>
      </c>
      <c r="U3169">
        <f>MONTH(Table1[[#This Row],[Launched]])</f>
        <v>7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 s="8">
        <v>1402696800</v>
      </c>
      <c r="J3170">
        <v>1399948353</v>
      </c>
      <c r="K3170" t="b">
        <v>1</v>
      </c>
      <c r="L3170" s="10">
        <v>61</v>
      </c>
      <c r="M3170" t="b">
        <v>1</v>
      </c>
      <c r="N3170" t="s">
        <v>8269</v>
      </c>
      <c r="O3170" s="11">
        <f t="shared" si="200"/>
        <v>124</v>
      </c>
      <c r="P3170" s="12">
        <f t="shared" si="201"/>
        <v>51</v>
      </c>
      <c r="Q3170" s="14" t="s">
        <v>8314</v>
      </c>
      <c r="R3170" t="s">
        <v>8315</v>
      </c>
      <c r="S3170" s="17">
        <f t="shared" si="202"/>
        <v>41772.105937500004</v>
      </c>
      <c r="T3170" s="17">
        <f t="shared" si="203"/>
        <v>41803.916666666664</v>
      </c>
      <c r="U3170">
        <f>MONTH(Table1[[#This Row],[Launched]])</f>
        <v>5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 s="8">
        <v>1386910740</v>
      </c>
      <c r="J3171">
        <v>1384364561</v>
      </c>
      <c r="K3171" t="b">
        <v>1</v>
      </c>
      <c r="L3171" s="10">
        <v>82</v>
      </c>
      <c r="M3171" t="b">
        <v>1</v>
      </c>
      <c r="N3171" t="s">
        <v>8269</v>
      </c>
      <c r="O3171" s="11">
        <f t="shared" si="200"/>
        <v>103</v>
      </c>
      <c r="P3171" s="12">
        <f t="shared" si="201"/>
        <v>101</v>
      </c>
      <c r="Q3171" s="14" t="s">
        <v>8314</v>
      </c>
      <c r="R3171" t="s">
        <v>8315</v>
      </c>
      <c r="S3171" s="17">
        <f t="shared" si="202"/>
        <v>41591.737974537034</v>
      </c>
      <c r="T3171" s="17">
        <f t="shared" si="203"/>
        <v>41621.207638888889</v>
      </c>
      <c r="U3171">
        <f>MONTH(Table1[[#This Row],[Launched]])</f>
        <v>11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 s="8">
        <v>1404273600</v>
      </c>
      <c r="J3172">
        <v>1401414944</v>
      </c>
      <c r="K3172" t="b">
        <v>1</v>
      </c>
      <c r="L3172" s="10">
        <v>71</v>
      </c>
      <c r="M3172" t="b">
        <v>1</v>
      </c>
      <c r="N3172" t="s">
        <v>8269</v>
      </c>
      <c r="O3172" s="11">
        <f t="shared" si="200"/>
        <v>112</v>
      </c>
      <c r="P3172" s="12">
        <f t="shared" si="201"/>
        <v>32</v>
      </c>
      <c r="Q3172" s="14" t="s">
        <v>8314</v>
      </c>
      <c r="R3172" t="s">
        <v>8315</v>
      </c>
      <c r="S3172" s="17">
        <f t="shared" si="202"/>
        <v>41789.080370370371</v>
      </c>
      <c r="T3172" s="17">
        <f t="shared" si="203"/>
        <v>41822.166666666664</v>
      </c>
      <c r="U3172">
        <f>MONTH(Table1[[#This Row],[Launched]])</f>
        <v>5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 s="8">
        <v>1462545358</v>
      </c>
      <c r="J3173">
        <v>1459953358</v>
      </c>
      <c r="K3173" t="b">
        <v>1</v>
      </c>
      <c r="L3173" s="10">
        <v>117</v>
      </c>
      <c r="M3173" t="b">
        <v>1</v>
      </c>
      <c r="N3173" t="s">
        <v>8269</v>
      </c>
      <c r="O3173" s="11">
        <f t="shared" si="200"/>
        <v>109</v>
      </c>
      <c r="P3173" s="12">
        <f t="shared" si="201"/>
        <v>65</v>
      </c>
      <c r="Q3173" s="14" t="s">
        <v>8314</v>
      </c>
      <c r="R3173" t="s">
        <v>8315</v>
      </c>
      <c r="S3173" s="17">
        <f t="shared" si="202"/>
        <v>42466.608310185184</v>
      </c>
      <c r="T3173" s="17">
        <f t="shared" si="203"/>
        <v>42496.608310185184</v>
      </c>
      <c r="U3173">
        <f>MONTH(Table1[[#This Row],[Launched]])</f>
        <v>4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 s="8">
        <v>1329240668</v>
      </c>
      <c r="J3174">
        <v>1326648668</v>
      </c>
      <c r="K3174" t="b">
        <v>1</v>
      </c>
      <c r="L3174" s="10">
        <v>29</v>
      </c>
      <c r="M3174" t="b">
        <v>1</v>
      </c>
      <c r="N3174" t="s">
        <v>8269</v>
      </c>
      <c r="O3174" s="11">
        <f t="shared" si="200"/>
        <v>115</v>
      </c>
      <c r="P3174" s="12">
        <f t="shared" si="201"/>
        <v>79</v>
      </c>
      <c r="Q3174" s="14" t="s">
        <v>8314</v>
      </c>
      <c r="R3174" t="s">
        <v>8315</v>
      </c>
      <c r="S3174" s="17">
        <f t="shared" si="202"/>
        <v>40923.729953703703</v>
      </c>
      <c r="T3174" s="17">
        <f t="shared" si="203"/>
        <v>40953.729953703703</v>
      </c>
      <c r="U3174">
        <f>MONTH(Table1[[#This Row],[Launched]])</f>
        <v>1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 s="8">
        <v>1411765492</v>
      </c>
      <c r="J3175">
        <v>1409173492</v>
      </c>
      <c r="K3175" t="b">
        <v>1</v>
      </c>
      <c r="L3175" s="10">
        <v>74</v>
      </c>
      <c r="M3175" t="b">
        <v>1</v>
      </c>
      <c r="N3175" t="s">
        <v>8269</v>
      </c>
      <c r="O3175" s="11">
        <f t="shared" si="200"/>
        <v>103</v>
      </c>
      <c r="P3175" s="12">
        <f t="shared" si="201"/>
        <v>139</v>
      </c>
      <c r="Q3175" s="14" t="s">
        <v>8314</v>
      </c>
      <c r="R3175" t="s">
        <v>8315</v>
      </c>
      <c r="S3175" s="17">
        <f t="shared" si="202"/>
        <v>41878.878379629627</v>
      </c>
      <c r="T3175" s="17">
        <f t="shared" si="203"/>
        <v>41908.878379629627</v>
      </c>
      <c r="U3175">
        <f>MONTH(Table1[[#This Row],[Launched]])</f>
        <v>8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 s="8">
        <v>1408999508</v>
      </c>
      <c r="J3176">
        <v>1407789908</v>
      </c>
      <c r="K3176" t="b">
        <v>1</v>
      </c>
      <c r="L3176" s="10">
        <v>23</v>
      </c>
      <c r="M3176" t="b">
        <v>1</v>
      </c>
      <c r="N3176" t="s">
        <v>8269</v>
      </c>
      <c r="O3176" s="11">
        <f t="shared" si="200"/>
        <v>101</v>
      </c>
      <c r="P3176" s="12">
        <f t="shared" si="201"/>
        <v>132</v>
      </c>
      <c r="Q3176" s="14" t="s">
        <v>8314</v>
      </c>
      <c r="R3176" t="s">
        <v>8315</v>
      </c>
      <c r="S3176" s="17">
        <f t="shared" si="202"/>
        <v>41862.864675925928</v>
      </c>
      <c r="T3176" s="17">
        <f t="shared" si="203"/>
        <v>41876.864675925928</v>
      </c>
      <c r="U3176">
        <f>MONTH(Table1[[#This Row],[Launched]])</f>
        <v>8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 s="8">
        <v>1297977427</v>
      </c>
      <c r="J3177">
        <v>1292793427</v>
      </c>
      <c r="K3177" t="b">
        <v>1</v>
      </c>
      <c r="L3177" s="10">
        <v>60</v>
      </c>
      <c r="M3177" t="b">
        <v>1</v>
      </c>
      <c r="N3177" t="s">
        <v>8269</v>
      </c>
      <c r="O3177" s="11">
        <f t="shared" si="200"/>
        <v>110</v>
      </c>
      <c r="P3177" s="12">
        <f t="shared" si="201"/>
        <v>91</v>
      </c>
      <c r="Q3177" s="14" t="s">
        <v>8314</v>
      </c>
      <c r="R3177" t="s">
        <v>8315</v>
      </c>
      <c r="S3177" s="17">
        <f t="shared" si="202"/>
        <v>40531.886886574073</v>
      </c>
      <c r="T3177" s="17">
        <f t="shared" si="203"/>
        <v>40591.886886574073</v>
      </c>
      <c r="U3177">
        <f>MONTH(Table1[[#This Row],[Launched]])</f>
        <v>12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 s="8">
        <v>1376838000</v>
      </c>
      <c r="J3178">
        <v>1374531631</v>
      </c>
      <c r="K3178" t="b">
        <v>1</v>
      </c>
      <c r="L3178" s="10">
        <v>55</v>
      </c>
      <c r="M3178" t="b">
        <v>1</v>
      </c>
      <c r="N3178" t="s">
        <v>8269</v>
      </c>
      <c r="O3178" s="11">
        <f t="shared" si="200"/>
        <v>115</v>
      </c>
      <c r="P3178" s="12">
        <f t="shared" si="201"/>
        <v>40</v>
      </c>
      <c r="Q3178" s="14" t="s">
        <v>8314</v>
      </c>
      <c r="R3178" t="s">
        <v>8315</v>
      </c>
      <c r="S3178" s="17">
        <f t="shared" si="202"/>
        <v>41477.930914351848</v>
      </c>
      <c r="T3178" s="17">
        <f t="shared" si="203"/>
        <v>41504.625</v>
      </c>
      <c r="U3178">
        <f>MONTH(Table1[[#This Row],[Launched]])</f>
        <v>7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 s="8">
        <v>1403366409</v>
      </c>
      <c r="J3179">
        <v>1400774409</v>
      </c>
      <c r="K3179" t="b">
        <v>1</v>
      </c>
      <c r="L3179" s="10">
        <v>51</v>
      </c>
      <c r="M3179" t="b">
        <v>1</v>
      </c>
      <c r="N3179" t="s">
        <v>8269</v>
      </c>
      <c r="O3179" s="11">
        <f t="shared" si="200"/>
        <v>117</v>
      </c>
      <c r="P3179" s="12">
        <f t="shared" si="201"/>
        <v>58</v>
      </c>
      <c r="Q3179" s="14" t="s">
        <v>8314</v>
      </c>
      <c r="R3179" t="s">
        <v>8315</v>
      </c>
      <c r="S3179" s="17">
        <f t="shared" si="202"/>
        <v>41781.666770833333</v>
      </c>
      <c r="T3179" s="17">
        <f t="shared" si="203"/>
        <v>41811.666770833333</v>
      </c>
      <c r="U3179">
        <f>MONTH(Table1[[#This Row],[Launched]])</f>
        <v>5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 s="8">
        <v>1405521075</v>
      </c>
      <c r="J3180">
        <v>1402929075</v>
      </c>
      <c r="K3180" t="b">
        <v>1</v>
      </c>
      <c r="L3180" s="10">
        <v>78</v>
      </c>
      <c r="M3180" t="b">
        <v>1</v>
      </c>
      <c r="N3180" t="s">
        <v>8269</v>
      </c>
      <c r="O3180" s="11">
        <f t="shared" si="200"/>
        <v>172</v>
      </c>
      <c r="P3180" s="12">
        <f t="shared" si="201"/>
        <v>33</v>
      </c>
      <c r="Q3180" s="14" t="s">
        <v>8314</v>
      </c>
      <c r="R3180" t="s">
        <v>8315</v>
      </c>
      <c r="S3180" s="17">
        <f t="shared" si="202"/>
        <v>41806.605034722219</v>
      </c>
      <c r="T3180" s="17">
        <f t="shared" si="203"/>
        <v>41836.605034722219</v>
      </c>
      <c r="U3180">
        <f>MONTH(Table1[[#This Row],[Launched]])</f>
        <v>6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 s="8">
        <v>1367859071</v>
      </c>
      <c r="J3181">
        <v>1365699071</v>
      </c>
      <c r="K3181" t="b">
        <v>1</v>
      </c>
      <c r="L3181" s="10">
        <v>62</v>
      </c>
      <c r="M3181" t="b">
        <v>1</v>
      </c>
      <c r="N3181" t="s">
        <v>8269</v>
      </c>
      <c r="O3181" s="11">
        <f t="shared" si="200"/>
        <v>114</v>
      </c>
      <c r="P3181" s="12">
        <f t="shared" si="201"/>
        <v>77</v>
      </c>
      <c r="Q3181" s="14" t="s">
        <v>8314</v>
      </c>
      <c r="R3181" t="s">
        <v>8315</v>
      </c>
      <c r="S3181" s="17">
        <f t="shared" si="202"/>
        <v>41375.702210648145</v>
      </c>
      <c r="T3181" s="17">
        <f t="shared" si="203"/>
        <v>41400.702210648145</v>
      </c>
      <c r="U3181">
        <f>MONTH(Table1[[#This Row],[Launched]])</f>
        <v>4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 s="8">
        <v>1403258049</v>
      </c>
      <c r="J3182">
        <v>1400666049</v>
      </c>
      <c r="K3182" t="b">
        <v>1</v>
      </c>
      <c r="L3182" s="10">
        <v>45</v>
      </c>
      <c r="M3182" t="b">
        <v>1</v>
      </c>
      <c r="N3182" t="s">
        <v>8269</v>
      </c>
      <c r="O3182" s="11">
        <f t="shared" si="200"/>
        <v>120</v>
      </c>
      <c r="P3182" s="12">
        <f t="shared" si="201"/>
        <v>32</v>
      </c>
      <c r="Q3182" s="14" t="s">
        <v>8314</v>
      </c>
      <c r="R3182" t="s">
        <v>8315</v>
      </c>
      <c r="S3182" s="17">
        <f t="shared" si="202"/>
        <v>41780.412604166668</v>
      </c>
      <c r="T3182" s="17">
        <f t="shared" si="203"/>
        <v>41810.412604166668</v>
      </c>
      <c r="U3182">
        <f>MONTH(Table1[[#This Row],[Launched]])</f>
        <v>5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8218</v>
      </c>
      <c r="G3183" t="s">
        <v>8224</v>
      </c>
      <c r="H3183" t="s">
        <v>8246</v>
      </c>
      <c r="I3183" s="8">
        <v>1402848000</v>
      </c>
      <c r="J3183">
        <v>1400570787</v>
      </c>
      <c r="K3183" t="b">
        <v>1</v>
      </c>
      <c r="L3183" s="10">
        <v>15</v>
      </c>
      <c r="M3183" t="b">
        <v>1</v>
      </c>
      <c r="N3183" t="s">
        <v>8269</v>
      </c>
      <c r="O3183" s="11">
        <f t="shared" si="200"/>
        <v>109</v>
      </c>
      <c r="P3183" s="12">
        <f t="shared" si="201"/>
        <v>36</v>
      </c>
      <c r="Q3183" s="14" t="s">
        <v>8314</v>
      </c>
      <c r="R3183" t="s">
        <v>8315</v>
      </c>
      <c r="S3183" s="17">
        <f t="shared" si="202"/>
        <v>41779.310034722221</v>
      </c>
      <c r="T3183" s="17">
        <f t="shared" si="203"/>
        <v>41805.666666666664</v>
      </c>
      <c r="U3183">
        <f>MONTH(Table1[[#This Row],[Launched]])</f>
        <v>5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 s="8">
        <v>1328029200</v>
      </c>
      <c r="J3184">
        <v>1323211621</v>
      </c>
      <c r="K3184" t="b">
        <v>1</v>
      </c>
      <c r="L3184" s="10">
        <v>151</v>
      </c>
      <c r="M3184" t="b">
        <v>1</v>
      </c>
      <c r="N3184" t="s">
        <v>8269</v>
      </c>
      <c r="O3184" s="11">
        <f t="shared" si="200"/>
        <v>101</v>
      </c>
      <c r="P3184" s="12">
        <f t="shared" si="201"/>
        <v>47</v>
      </c>
      <c r="Q3184" s="14" t="s">
        <v>8314</v>
      </c>
      <c r="R3184" t="s">
        <v>8315</v>
      </c>
      <c r="S3184" s="17">
        <f t="shared" si="202"/>
        <v>40883.949317129627</v>
      </c>
      <c r="T3184" s="17">
        <f t="shared" si="203"/>
        <v>40939.708333333336</v>
      </c>
      <c r="U3184">
        <f>MONTH(Table1[[#This Row],[Launched]])</f>
        <v>12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 s="8">
        <v>1377284669</v>
      </c>
      <c r="J3185">
        <v>1375729469</v>
      </c>
      <c r="K3185" t="b">
        <v>1</v>
      </c>
      <c r="L3185" s="10">
        <v>68</v>
      </c>
      <c r="M3185" t="b">
        <v>1</v>
      </c>
      <c r="N3185" t="s">
        <v>8269</v>
      </c>
      <c r="O3185" s="11">
        <f t="shared" si="200"/>
        <v>109</v>
      </c>
      <c r="P3185" s="12">
        <f t="shared" si="201"/>
        <v>40</v>
      </c>
      <c r="Q3185" s="14" t="s">
        <v>8314</v>
      </c>
      <c r="R3185" t="s">
        <v>8315</v>
      </c>
      <c r="S3185" s="17">
        <f t="shared" si="202"/>
        <v>41491.79478009259</v>
      </c>
      <c r="T3185" s="17">
        <f t="shared" si="203"/>
        <v>41509.79478009259</v>
      </c>
      <c r="U3185">
        <f>MONTH(Table1[[#This Row],[Launched]])</f>
        <v>8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 s="8">
        <v>1404258631</v>
      </c>
      <c r="J3186">
        <v>1401666631</v>
      </c>
      <c r="K3186" t="b">
        <v>1</v>
      </c>
      <c r="L3186" s="10">
        <v>46</v>
      </c>
      <c r="M3186" t="b">
        <v>1</v>
      </c>
      <c r="N3186" t="s">
        <v>8269</v>
      </c>
      <c r="O3186" s="11">
        <f t="shared" si="200"/>
        <v>107</v>
      </c>
      <c r="P3186" s="12">
        <f t="shared" si="201"/>
        <v>100</v>
      </c>
      <c r="Q3186" s="14" t="s">
        <v>8314</v>
      </c>
      <c r="R3186" t="s">
        <v>8315</v>
      </c>
      <c r="S3186" s="17">
        <f t="shared" si="202"/>
        <v>41791.993414351848</v>
      </c>
      <c r="T3186" s="17">
        <f t="shared" si="203"/>
        <v>41821.993414351848</v>
      </c>
      <c r="U3186">
        <f>MONTH(Table1[[#This Row],[Launched]])</f>
        <v>6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 s="8">
        <v>1405553241</v>
      </c>
      <c r="J3187">
        <v>1404948441</v>
      </c>
      <c r="K3187" t="b">
        <v>1</v>
      </c>
      <c r="L3187" s="10">
        <v>24</v>
      </c>
      <c r="M3187" t="b">
        <v>1</v>
      </c>
      <c r="N3187" t="s">
        <v>8269</v>
      </c>
      <c r="O3187" s="11">
        <f t="shared" si="200"/>
        <v>100</v>
      </c>
      <c r="P3187" s="12">
        <f t="shared" si="201"/>
        <v>42</v>
      </c>
      <c r="Q3187" s="14" t="s">
        <v>8314</v>
      </c>
      <c r="R3187" t="s">
        <v>8315</v>
      </c>
      <c r="S3187" s="17">
        <f t="shared" si="202"/>
        <v>41829.977326388893</v>
      </c>
      <c r="T3187" s="17">
        <f t="shared" si="203"/>
        <v>41836.977326388893</v>
      </c>
      <c r="U3187">
        <f>MONTH(Table1[[#This Row],[Launched]])</f>
        <v>7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 s="8">
        <v>1410901200</v>
      </c>
      <c r="J3188">
        <v>1408313438</v>
      </c>
      <c r="K3188" t="b">
        <v>1</v>
      </c>
      <c r="L3188" s="10">
        <v>70</v>
      </c>
      <c r="M3188" t="b">
        <v>1</v>
      </c>
      <c r="N3188" t="s">
        <v>8269</v>
      </c>
      <c r="O3188" s="11">
        <f t="shared" si="200"/>
        <v>102</v>
      </c>
      <c r="P3188" s="12">
        <f t="shared" si="201"/>
        <v>47</v>
      </c>
      <c r="Q3188" s="14" t="s">
        <v>8314</v>
      </c>
      <c r="R3188" t="s">
        <v>8315</v>
      </c>
      <c r="S3188" s="17">
        <f t="shared" si="202"/>
        <v>41868.924050925925</v>
      </c>
      <c r="T3188" s="17">
        <f t="shared" si="203"/>
        <v>41898.875</v>
      </c>
      <c r="U3188">
        <f>MONTH(Table1[[#This Row],[Launched]])</f>
        <v>8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 s="8">
        <v>1407167973</v>
      </c>
      <c r="J3189">
        <v>1405439973</v>
      </c>
      <c r="K3189" t="b">
        <v>1</v>
      </c>
      <c r="L3189" s="10">
        <v>244</v>
      </c>
      <c r="M3189" t="b">
        <v>1</v>
      </c>
      <c r="N3189" t="s">
        <v>8269</v>
      </c>
      <c r="O3189" s="11">
        <f t="shared" si="200"/>
        <v>116</v>
      </c>
      <c r="P3189" s="12">
        <f t="shared" si="201"/>
        <v>71</v>
      </c>
      <c r="Q3189" s="14" t="s">
        <v>8314</v>
      </c>
      <c r="R3189" t="s">
        <v>8315</v>
      </c>
      <c r="S3189" s="17">
        <f t="shared" si="202"/>
        <v>41835.666354166664</v>
      </c>
      <c r="T3189" s="17">
        <f t="shared" si="203"/>
        <v>41855.666354166664</v>
      </c>
      <c r="U3189">
        <f>MONTH(Table1[[#This Row],[Launched]])</f>
        <v>7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8220</v>
      </c>
      <c r="G3190" t="s">
        <v>8224</v>
      </c>
      <c r="H3190" t="s">
        <v>8246</v>
      </c>
      <c r="I3190" s="8">
        <v>1433930302</v>
      </c>
      <c r="J3190">
        <v>1432115902</v>
      </c>
      <c r="K3190" t="b">
        <v>0</v>
      </c>
      <c r="L3190" s="10">
        <v>9</v>
      </c>
      <c r="M3190" t="b">
        <v>0</v>
      </c>
      <c r="N3190" t="s">
        <v>8303</v>
      </c>
      <c r="O3190" s="11">
        <f t="shared" si="200"/>
        <v>65</v>
      </c>
      <c r="P3190" s="12">
        <f t="shared" si="201"/>
        <v>14</v>
      </c>
      <c r="Q3190" s="14" t="s">
        <v>8314</v>
      </c>
      <c r="R3190" t="s">
        <v>8356</v>
      </c>
      <c r="S3190" s="17">
        <f t="shared" si="202"/>
        <v>42144.415532407409</v>
      </c>
      <c r="T3190" s="17">
        <f t="shared" si="203"/>
        <v>42165.415532407409</v>
      </c>
      <c r="U3190">
        <f>MONTH(Table1[[#This Row],[Launched]])</f>
        <v>5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 s="8">
        <v>1432455532</v>
      </c>
      <c r="J3191">
        <v>1429863532</v>
      </c>
      <c r="K3191" t="b">
        <v>0</v>
      </c>
      <c r="L3191" s="10">
        <v>19</v>
      </c>
      <c r="M3191" t="b">
        <v>0</v>
      </c>
      <c r="N3191" t="s">
        <v>8303</v>
      </c>
      <c r="O3191" s="11">
        <f t="shared" si="200"/>
        <v>12</v>
      </c>
      <c r="P3191" s="12">
        <f t="shared" si="201"/>
        <v>357</v>
      </c>
      <c r="Q3191" s="14" t="s">
        <v>8314</v>
      </c>
      <c r="R3191" t="s">
        <v>8356</v>
      </c>
      <c r="S3191" s="17">
        <f t="shared" si="202"/>
        <v>42118.346435185187</v>
      </c>
      <c r="T3191" s="17">
        <f t="shared" si="203"/>
        <v>42148.346435185187</v>
      </c>
      <c r="U3191">
        <f>MONTH(Table1[[#This Row],[Launched]])</f>
        <v>4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8220</v>
      </c>
      <c r="G3192" t="s">
        <v>8228</v>
      </c>
      <c r="H3192" t="s">
        <v>8250</v>
      </c>
      <c r="I3192" s="8">
        <v>1481258275</v>
      </c>
      <c r="J3192">
        <v>1478662675</v>
      </c>
      <c r="K3192" t="b">
        <v>0</v>
      </c>
      <c r="L3192" s="10">
        <v>0</v>
      </c>
      <c r="M3192" t="b">
        <v>0</v>
      </c>
      <c r="N3192" t="s">
        <v>8303</v>
      </c>
      <c r="O3192" s="11">
        <f t="shared" si="200"/>
        <v>0</v>
      </c>
      <c r="P3192" s="12" t="str">
        <f t="shared" si="201"/>
        <v>No Backers</v>
      </c>
      <c r="Q3192" s="14" t="s">
        <v>8314</v>
      </c>
      <c r="R3192" t="s">
        <v>8356</v>
      </c>
      <c r="S3192" s="17">
        <f t="shared" si="202"/>
        <v>42683.151331018518</v>
      </c>
      <c r="T3192" s="17">
        <f t="shared" si="203"/>
        <v>42713.192997685182</v>
      </c>
      <c r="U3192">
        <f>MONTH(Table1[[#This Row],[Launched]])</f>
        <v>11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8220</v>
      </c>
      <c r="G3193" t="s">
        <v>8223</v>
      </c>
      <c r="H3193" t="s">
        <v>8245</v>
      </c>
      <c r="I3193" s="8">
        <v>1471370869</v>
      </c>
      <c r="J3193">
        <v>1466186869</v>
      </c>
      <c r="K3193" t="b">
        <v>0</v>
      </c>
      <c r="L3193" s="10">
        <v>4</v>
      </c>
      <c r="M3193" t="b">
        <v>0</v>
      </c>
      <c r="N3193" t="s">
        <v>8303</v>
      </c>
      <c r="O3193" s="11">
        <f t="shared" si="200"/>
        <v>4</v>
      </c>
      <c r="P3193" s="12">
        <f t="shared" si="201"/>
        <v>38</v>
      </c>
      <c r="Q3193" s="14" t="s">
        <v>8314</v>
      </c>
      <c r="R3193" t="s">
        <v>8356</v>
      </c>
      <c r="S3193" s="17">
        <f t="shared" si="202"/>
        <v>42538.755428240736</v>
      </c>
      <c r="T3193" s="17">
        <f t="shared" si="203"/>
        <v>42598.755428240736</v>
      </c>
      <c r="U3193">
        <f>MONTH(Table1[[#This Row],[Launched]])</f>
        <v>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 s="8">
        <v>1425160800</v>
      </c>
      <c r="J3194">
        <v>1421274859</v>
      </c>
      <c r="K3194" t="b">
        <v>0</v>
      </c>
      <c r="L3194" s="10">
        <v>8</v>
      </c>
      <c r="M3194" t="b">
        <v>0</v>
      </c>
      <c r="N3194" t="s">
        <v>8303</v>
      </c>
      <c r="O3194" s="11">
        <f t="shared" si="200"/>
        <v>1</v>
      </c>
      <c r="P3194" s="12">
        <f t="shared" si="201"/>
        <v>13</v>
      </c>
      <c r="Q3194" s="14" t="s">
        <v>8314</v>
      </c>
      <c r="R3194" t="s">
        <v>8356</v>
      </c>
      <c r="S3194" s="17">
        <f t="shared" si="202"/>
        <v>42018.94049768518</v>
      </c>
      <c r="T3194" s="17">
        <f t="shared" si="203"/>
        <v>42063.916666666672</v>
      </c>
      <c r="U3194">
        <f>MONTH(Table1[[#This Row],[Launched]])</f>
        <v>1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8220</v>
      </c>
      <c r="G3195" t="s">
        <v>8224</v>
      </c>
      <c r="H3195" t="s">
        <v>8246</v>
      </c>
      <c r="I3195" s="8">
        <v>1424474056</v>
      </c>
      <c r="J3195">
        <v>1420586056</v>
      </c>
      <c r="K3195" t="b">
        <v>0</v>
      </c>
      <c r="L3195" s="10">
        <v>24</v>
      </c>
      <c r="M3195" t="b">
        <v>0</v>
      </c>
      <c r="N3195" t="s">
        <v>8303</v>
      </c>
      <c r="O3195" s="11">
        <f t="shared" si="200"/>
        <v>12</v>
      </c>
      <c r="P3195" s="12">
        <f t="shared" si="201"/>
        <v>24</v>
      </c>
      <c r="Q3195" s="14" t="s">
        <v>8314</v>
      </c>
      <c r="R3195" t="s">
        <v>8356</v>
      </c>
      <c r="S3195" s="17">
        <f t="shared" si="202"/>
        <v>42010.968240740738</v>
      </c>
      <c r="T3195" s="17">
        <f t="shared" si="203"/>
        <v>42055.968240740738</v>
      </c>
      <c r="U3195">
        <f>MONTH(Table1[[#This Row],[Launched]])</f>
        <v>1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8220</v>
      </c>
      <c r="G3196" t="s">
        <v>8223</v>
      </c>
      <c r="H3196" t="s">
        <v>8245</v>
      </c>
      <c r="I3196" s="8">
        <v>1437960598</v>
      </c>
      <c r="J3196">
        <v>1435368598</v>
      </c>
      <c r="K3196" t="b">
        <v>0</v>
      </c>
      <c r="L3196" s="10">
        <v>0</v>
      </c>
      <c r="M3196" t="b">
        <v>0</v>
      </c>
      <c r="N3196" t="s">
        <v>8303</v>
      </c>
      <c r="O3196" s="11">
        <f t="shared" si="200"/>
        <v>0</v>
      </c>
      <c r="P3196" s="12" t="str">
        <f t="shared" si="201"/>
        <v>No Backers</v>
      </c>
      <c r="Q3196" s="14" t="s">
        <v>8314</v>
      </c>
      <c r="R3196" t="s">
        <v>8356</v>
      </c>
      <c r="S3196" s="17">
        <f t="shared" si="202"/>
        <v>42182.062476851846</v>
      </c>
      <c r="T3196" s="17">
        <f t="shared" si="203"/>
        <v>42212.062476851846</v>
      </c>
      <c r="U3196">
        <f>MONTH(Table1[[#This Row],[Launched]])</f>
        <v>6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 s="8">
        <v>1423750542</v>
      </c>
      <c r="J3197">
        <v>1421158542</v>
      </c>
      <c r="K3197" t="b">
        <v>0</v>
      </c>
      <c r="L3197" s="10">
        <v>39</v>
      </c>
      <c r="M3197" t="b">
        <v>0</v>
      </c>
      <c r="N3197" t="s">
        <v>8303</v>
      </c>
      <c r="O3197" s="11">
        <f t="shared" si="200"/>
        <v>59</v>
      </c>
      <c r="P3197" s="12">
        <f t="shared" si="201"/>
        <v>53</v>
      </c>
      <c r="Q3197" s="14" t="s">
        <v>8314</v>
      </c>
      <c r="R3197" t="s">
        <v>8356</v>
      </c>
      <c r="S3197" s="17">
        <f t="shared" si="202"/>
        <v>42017.594236111108</v>
      </c>
      <c r="T3197" s="17">
        <f t="shared" si="203"/>
        <v>42047.594236111108</v>
      </c>
      <c r="U3197">
        <f>MONTH(Table1[[#This Row],[Launched]])</f>
        <v>1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 s="8">
        <v>1438437600</v>
      </c>
      <c r="J3198">
        <v>1433254875</v>
      </c>
      <c r="K3198" t="b">
        <v>0</v>
      </c>
      <c r="L3198" s="10">
        <v>6</v>
      </c>
      <c r="M3198" t="b">
        <v>0</v>
      </c>
      <c r="N3198" t="s">
        <v>8303</v>
      </c>
      <c r="O3198" s="11">
        <f t="shared" si="200"/>
        <v>0</v>
      </c>
      <c r="P3198" s="12">
        <f t="shared" si="201"/>
        <v>300</v>
      </c>
      <c r="Q3198" s="14" t="s">
        <v>8314</v>
      </c>
      <c r="R3198" t="s">
        <v>8356</v>
      </c>
      <c r="S3198" s="17">
        <f t="shared" si="202"/>
        <v>42157.598090277781</v>
      </c>
      <c r="T3198" s="17">
        <f t="shared" si="203"/>
        <v>42217.583333333328</v>
      </c>
      <c r="U3198">
        <f>MONTH(Table1[[#This Row],[Launched]])</f>
        <v>6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 s="8">
        <v>1423050618</v>
      </c>
      <c r="J3199">
        <v>1420458618</v>
      </c>
      <c r="K3199" t="b">
        <v>0</v>
      </c>
      <c r="L3199" s="10">
        <v>4</v>
      </c>
      <c r="M3199" t="b">
        <v>0</v>
      </c>
      <c r="N3199" t="s">
        <v>8303</v>
      </c>
      <c r="O3199" s="11">
        <f t="shared" si="200"/>
        <v>11</v>
      </c>
      <c r="P3199" s="12">
        <f t="shared" si="201"/>
        <v>286</v>
      </c>
      <c r="Q3199" s="14" t="s">
        <v>8314</v>
      </c>
      <c r="R3199" t="s">
        <v>8356</v>
      </c>
      <c r="S3199" s="17">
        <f t="shared" si="202"/>
        <v>42009.493263888886</v>
      </c>
      <c r="T3199" s="17">
        <f t="shared" si="203"/>
        <v>42039.493263888886</v>
      </c>
      <c r="U3199">
        <f>MONTH(Table1[[#This Row],[Launched]])</f>
        <v>1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 s="8">
        <v>1424081477</v>
      </c>
      <c r="J3200">
        <v>1420798277</v>
      </c>
      <c r="K3200" t="b">
        <v>0</v>
      </c>
      <c r="L3200" s="10">
        <v>3</v>
      </c>
      <c r="M3200" t="b">
        <v>0</v>
      </c>
      <c r="N3200" t="s">
        <v>8303</v>
      </c>
      <c r="O3200" s="11">
        <f t="shared" si="200"/>
        <v>0</v>
      </c>
      <c r="P3200" s="12">
        <f t="shared" si="201"/>
        <v>37</v>
      </c>
      <c r="Q3200" s="14" t="s">
        <v>8314</v>
      </c>
      <c r="R3200" t="s">
        <v>8356</v>
      </c>
      <c r="S3200" s="17">
        <f t="shared" si="202"/>
        <v>42013.424502314811</v>
      </c>
      <c r="T3200" s="17">
        <f t="shared" si="203"/>
        <v>42051.424502314811</v>
      </c>
      <c r="U3200">
        <f>MONTH(Table1[[#This Row],[Launched]])</f>
        <v>1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 s="8">
        <v>1410037200</v>
      </c>
      <c r="J3201">
        <v>1407435418</v>
      </c>
      <c r="K3201" t="b">
        <v>0</v>
      </c>
      <c r="L3201" s="10">
        <v>53</v>
      </c>
      <c r="M3201" t="b">
        <v>0</v>
      </c>
      <c r="N3201" t="s">
        <v>8303</v>
      </c>
      <c r="O3201" s="11">
        <f t="shared" si="200"/>
        <v>52</v>
      </c>
      <c r="P3201" s="12">
        <f t="shared" si="201"/>
        <v>49</v>
      </c>
      <c r="Q3201" s="14" t="s">
        <v>8314</v>
      </c>
      <c r="R3201" t="s">
        <v>8356</v>
      </c>
      <c r="S3201" s="17">
        <f t="shared" si="202"/>
        <v>41858.761782407404</v>
      </c>
      <c r="T3201" s="17">
        <f t="shared" si="203"/>
        <v>41888.875</v>
      </c>
      <c r="U3201">
        <f>MONTH(Table1[[#This Row],[Launched]])</f>
        <v>8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8220</v>
      </c>
      <c r="G3202" t="s">
        <v>8223</v>
      </c>
      <c r="H3202" t="s">
        <v>8245</v>
      </c>
      <c r="I3202" s="8">
        <v>1461994440</v>
      </c>
      <c r="J3202">
        <v>1459410101</v>
      </c>
      <c r="K3202" t="b">
        <v>0</v>
      </c>
      <c r="L3202" s="10">
        <v>1</v>
      </c>
      <c r="M3202" t="b">
        <v>0</v>
      </c>
      <c r="N3202" t="s">
        <v>8303</v>
      </c>
      <c r="O3202" s="11">
        <f t="shared" ref="O3202:O3265" si="204">ROUND(E3202/D3202*100,0)</f>
        <v>0</v>
      </c>
      <c r="P3202" s="12">
        <f t="shared" si="201"/>
        <v>1</v>
      </c>
      <c r="Q3202" s="14" t="s">
        <v>8314</v>
      </c>
      <c r="R3202" t="s">
        <v>8356</v>
      </c>
      <c r="S3202" s="17">
        <f t="shared" si="202"/>
        <v>42460.320613425924</v>
      </c>
      <c r="T3202" s="17">
        <f t="shared" si="203"/>
        <v>42490.231944444444</v>
      </c>
      <c r="U3202">
        <f>MONTH(Table1[[#This Row],[Launched]])</f>
        <v>3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8220</v>
      </c>
      <c r="G3203" t="s">
        <v>8224</v>
      </c>
      <c r="H3203" t="s">
        <v>8246</v>
      </c>
      <c r="I3203" s="8">
        <v>1409509477</v>
      </c>
      <c r="J3203">
        <v>1407695077</v>
      </c>
      <c r="K3203" t="b">
        <v>0</v>
      </c>
      <c r="L3203" s="10">
        <v>2</v>
      </c>
      <c r="M3203" t="b">
        <v>0</v>
      </c>
      <c r="N3203" t="s">
        <v>8303</v>
      </c>
      <c r="O3203" s="11">
        <f t="shared" si="204"/>
        <v>1</v>
      </c>
      <c r="P3203" s="12">
        <f t="shared" ref="P3203:P3266" si="205">IFERROR(ROUND(E3203/L3203,),"No Backers")</f>
        <v>13</v>
      </c>
      <c r="Q3203" s="14" t="s">
        <v>8314</v>
      </c>
      <c r="R3203" t="s">
        <v>8356</v>
      </c>
      <c r="S3203" s="17">
        <f t="shared" ref="S3203:S3266" si="206">(((J3203/60)/60)/24)+DATE(1970,1,1)</f>
        <v>41861.767094907409</v>
      </c>
      <c r="T3203" s="17">
        <f t="shared" ref="T3203:T3266" si="207">(((I3203/60)/60)/24)+DATE(1970,1,1)</f>
        <v>41882.767094907409</v>
      </c>
      <c r="U3203">
        <f>MONTH(Table1[[#This Row],[Launched]])</f>
        <v>8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 s="8">
        <v>1450072740</v>
      </c>
      <c r="J3204">
        <v>1445027346</v>
      </c>
      <c r="K3204" t="b">
        <v>0</v>
      </c>
      <c r="L3204" s="10">
        <v>25</v>
      </c>
      <c r="M3204" t="b">
        <v>0</v>
      </c>
      <c r="N3204" t="s">
        <v>8303</v>
      </c>
      <c r="O3204" s="11">
        <f t="shared" si="204"/>
        <v>55</v>
      </c>
      <c r="P3204" s="12">
        <f t="shared" si="205"/>
        <v>109</v>
      </c>
      <c r="Q3204" s="14" t="s">
        <v>8314</v>
      </c>
      <c r="R3204" t="s">
        <v>8356</v>
      </c>
      <c r="S3204" s="17">
        <f t="shared" si="206"/>
        <v>42293.853541666671</v>
      </c>
      <c r="T3204" s="17">
        <f t="shared" si="207"/>
        <v>42352.249305555553</v>
      </c>
      <c r="U3204">
        <f>MONTH(Table1[[#This Row],[Launched]])</f>
        <v>10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8220</v>
      </c>
      <c r="G3205" t="s">
        <v>8223</v>
      </c>
      <c r="H3205" t="s">
        <v>8245</v>
      </c>
      <c r="I3205" s="8">
        <v>1443224622</v>
      </c>
      <c r="J3205">
        <v>1440632622</v>
      </c>
      <c r="K3205" t="b">
        <v>0</v>
      </c>
      <c r="L3205" s="10">
        <v>6</v>
      </c>
      <c r="M3205" t="b">
        <v>0</v>
      </c>
      <c r="N3205" t="s">
        <v>8303</v>
      </c>
      <c r="O3205" s="11">
        <f t="shared" si="204"/>
        <v>25</v>
      </c>
      <c r="P3205" s="12">
        <f t="shared" si="205"/>
        <v>42</v>
      </c>
      <c r="Q3205" s="14" t="s">
        <v>8314</v>
      </c>
      <c r="R3205" t="s">
        <v>8356</v>
      </c>
      <c r="S3205" s="17">
        <f t="shared" si="206"/>
        <v>42242.988680555558</v>
      </c>
      <c r="T3205" s="17">
        <f t="shared" si="207"/>
        <v>42272.988680555558</v>
      </c>
      <c r="U3205">
        <f>MONTH(Table1[[#This Row],[Launched]])</f>
        <v>8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8220</v>
      </c>
      <c r="G3206" t="s">
        <v>8223</v>
      </c>
      <c r="H3206" t="s">
        <v>8245</v>
      </c>
      <c r="I3206" s="8">
        <v>1437149640</v>
      </c>
      <c r="J3206">
        <v>1434558479</v>
      </c>
      <c r="K3206" t="b">
        <v>0</v>
      </c>
      <c r="L3206" s="10">
        <v>0</v>
      </c>
      <c r="M3206" t="b">
        <v>0</v>
      </c>
      <c r="N3206" t="s">
        <v>8303</v>
      </c>
      <c r="O3206" s="11">
        <f t="shared" si="204"/>
        <v>0</v>
      </c>
      <c r="P3206" s="12" t="str">
        <f t="shared" si="205"/>
        <v>No Backers</v>
      </c>
      <c r="Q3206" s="14" t="s">
        <v>8314</v>
      </c>
      <c r="R3206" t="s">
        <v>8356</v>
      </c>
      <c r="S3206" s="17">
        <f t="shared" si="206"/>
        <v>42172.686099537037</v>
      </c>
      <c r="T3206" s="17">
        <f t="shared" si="207"/>
        <v>42202.676388888889</v>
      </c>
      <c r="U3206">
        <f>MONTH(Table1[[#This Row],[Launched]])</f>
        <v>6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8220</v>
      </c>
      <c r="G3207" t="s">
        <v>8224</v>
      </c>
      <c r="H3207" t="s">
        <v>8246</v>
      </c>
      <c r="I3207" s="8">
        <v>1430470772</v>
      </c>
      <c r="J3207">
        <v>1427878772</v>
      </c>
      <c r="K3207" t="b">
        <v>0</v>
      </c>
      <c r="L3207" s="10">
        <v>12</v>
      </c>
      <c r="M3207" t="b">
        <v>0</v>
      </c>
      <c r="N3207" t="s">
        <v>8303</v>
      </c>
      <c r="O3207" s="11">
        <f t="shared" si="204"/>
        <v>3</v>
      </c>
      <c r="P3207" s="12">
        <f t="shared" si="205"/>
        <v>23</v>
      </c>
      <c r="Q3207" s="14" t="s">
        <v>8314</v>
      </c>
      <c r="R3207" t="s">
        <v>8356</v>
      </c>
      <c r="S3207" s="17">
        <f t="shared" si="206"/>
        <v>42095.374675925923</v>
      </c>
      <c r="T3207" s="17">
        <f t="shared" si="207"/>
        <v>42125.374675925923</v>
      </c>
      <c r="U3207">
        <f>MONTH(Table1[[#This Row],[Launched]])</f>
        <v>4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8220</v>
      </c>
      <c r="G3208" t="s">
        <v>8223</v>
      </c>
      <c r="H3208" t="s">
        <v>8245</v>
      </c>
      <c r="I3208" s="8">
        <v>1442644651</v>
      </c>
      <c r="J3208">
        <v>1440052651</v>
      </c>
      <c r="K3208" t="b">
        <v>0</v>
      </c>
      <c r="L3208" s="10">
        <v>0</v>
      </c>
      <c r="M3208" t="b">
        <v>0</v>
      </c>
      <c r="N3208" t="s">
        <v>8303</v>
      </c>
      <c r="O3208" s="11">
        <f t="shared" si="204"/>
        <v>0</v>
      </c>
      <c r="P3208" s="12" t="str">
        <f t="shared" si="205"/>
        <v>No Backers</v>
      </c>
      <c r="Q3208" s="14" t="s">
        <v>8314</v>
      </c>
      <c r="R3208" t="s">
        <v>8356</v>
      </c>
      <c r="S3208" s="17">
        <f t="shared" si="206"/>
        <v>42236.276053240741</v>
      </c>
      <c r="T3208" s="17">
        <f t="shared" si="207"/>
        <v>42266.276053240741</v>
      </c>
      <c r="U3208">
        <f>MONTH(Table1[[#This Row],[Launched]])</f>
        <v>8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 s="8">
        <v>1429767607</v>
      </c>
      <c r="J3209">
        <v>1424587207</v>
      </c>
      <c r="K3209" t="b">
        <v>0</v>
      </c>
      <c r="L3209" s="10">
        <v>36</v>
      </c>
      <c r="M3209" t="b">
        <v>0</v>
      </c>
      <c r="N3209" t="s">
        <v>8303</v>
      </c>
      <c r="O3209" s="11">
        <f t="shared" si="204"/>
        <v>46</v>
      </c>
      <c r="P3209" s="12">
        <f t="shared" si="205"/>
        <v>71</v>
      </c>
      <c r="Q3209" s="14" t="s">
        <v>8314</v>
      </c>
      <c r="R3209" t="s">
        <v>8356</v>
      </c>
      <c r="S3209" s="17">
        <f t="shared" si="206"/>
        <v>42057.277858796297</v>
      </c>
      <c r="T3209" s="17">
        <f t="shared" si="207"/>
        <v>42117.236192129625</v>
      </c>
      <c r="U3209">
        <f>MONTH(Table1[[#This Row],[Launched]])</f>
        <v>2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 s="8">
        <v>1406557877</v>
      </c>
      <c r="J3210">
        <v>1404743477</v>
      </c>
      <c r="K3210" t="b">
        <v>1</v>
      </c>
      <c r="L3210" s="10">
        <v>82</v>
      </c>
      <c r="M3210" t="b">
        <v>1</v>
      </c>
      <c r="N3210" t="s">
        <v>8269</v>
      </c>
      <c r="O3210" s="11">
        <f t="shared" si="204"/>
        <v>104</v>
      </c>
      <c r="P3210" s="12">
        <f t="shared" si="205"/>
        <v>63</v>
      </c>
      <c r="Q3210" s="14" t="s">
        <v>8314</v>
      </c>
      <c r="R3210" t="s">
        <v>8315</v>
      </c>
      <c r="S3210" s="17">
        <f t="shared" si="206"/>
        <v>41827.605057870373</v>
      </c>
      <c r="T3210" s="17">
        <f t="shared" si="207"/>
        <v>41848.605057870373</v>
      </c>
      <c r="U3210">
        <f>MONTH(Table1[[#This Row],[Launched]])</f>
        <v>7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 s="8">
        <v>1403305200</v>
      </c>
      <c r="J3211">
        <v>1400512658</v>
      </c>
      <c r="K3211" t="b">
        <v>1</v>
      </c>
      <c r="L3211" s="10">
        <v>226</v>
      </c>
      <c r="M3211" t="b">
        <v>1</v>
      </c>
      <c r="N3211" t="s">
        <v>8269</v>
      </c>
      <c r="O3211" s="11">
        <f t="shared" si="204"/>
        <v>119</v>
      </c>
      <c r="P3211" s="12">
        <f t="shared" si="205"/>
        <v>50</v>
      </c>
      <c r="Q3211" s="14" t="s">
        <v>8314</v>
      </c>
      <c r="R3211" t="s">
        <v>8315</v>
      </c>
      <c r="S3211" s="17">
        <f t="shared" si="206"/>
        <v>41778.637245370373</v>
      </c>
      <c r="T3211" s="17">
        <f t="shared" si="207"/>
        <v>41810.958333333336</v>
      </c>
      <c r="U3211">
        <f>MONTH(Table1[[#This Row],[Launched]])</f>
        <v>5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 s="8">
        <v>1338523140</v>
      </c>
      <c r="J3212">
        <v>1334442519</v>
      </c>
      <c r="K3212" t="b">
        <v>1</v>
      </c>
      <c r="L3212" s="10">
        <v>60</v>
      </c>
      <c r="M3212" t="b">
        <v>1</v>
      </c>
      <c r="N3212" t="s">
        <v>8269</v>
      </c>
      <c r="O3212" s="11">
        <f t="shared" si="204"/>
        <v>126</v>
      </c>
      <c r="P3212" s="12">
        <f t="shared" si="205"/>
        <v>63</v>
      </c>
      <c r="Q3212" s="14" t="s">
        <v>8314</v>
      </c>
      <c r="R3212" t="s">
        <v>8315</v>
      </c>
      <c r="S3212" s="17">
        <f t="shared" si="206"/>
        <v>41013.936562499999</v>
      </c>
      <c r="T3212" s="17">
        <f t="shared" si="207"/>
        <v>41061.165972222225</v>
      </c>
      <c r="U3212">
        <f>MONTH(Table1[[#This Row],[Launched]])</f>
        <v>4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 s="8">
        <v>1408068000</v>
      </c>
      <c r="J3213">
        <v>1405346680</v>
      </c>
      <c r="K3213" t="b">
        <v>1</v>
      </c>
      <c r="L3213" s="10">
        <v>322</v>
      </c>
      <c r="M3213" t="b">
        <v>1</v>
      </c>
      <c r="N3213" t="s">
        <v>8269</v>
      </c>
      <c r="O3213" s="11">
        <f t="shared" si="204"/>
        <v>120</v>
      </c>
      <c r="P3213" s="12">
        <f t="shared" si="205"/>
        <v>86</v>
      </c>
      <c r="Q3213" s="14" t="s">
        <v>8314</v>
      </c>
      <c r="R3213" t="s">
        <v>8315</v>
      </c>
      <c r="S3213" s="17">
        <f t="shared" si="206"/>
        <v>41834.586574074077</v>
      </c>
      <c r="T3213" s="17">
        <f t="shared" si="207"/>
        <v>41866.083333333336</v>
      </c>
      <c r="U3213">
        <f>MONTH(Table1[[#This Row],[Launched]])</f>
        <v>7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 s="8">
        <v>1407524751</v>
      </c>
      <c r="J3214">
        <v>1404932751</v>
      </c>
      <c r="K3214" t="b">
        <v>1</v>
      </c>
      <c r="L3214" s="10">
        <v>94</v>
      </c>
      <c r="M3214" t="b">
        <v>1</v>
      </c>
      <c r="N3214" t="s">
        <v>8269</v>
      </c>
      <c r="O3214" s="11">
        <f t="shared" si="204"/>
        <v>126</v>
      </c>
      <c r="P3214" s="12">
        <f t="shared" si="205"/>
        <v>54</v>
      </c>
      <c r="Q3214" s="14" t="s">
        <v>8314</v>
      </c>
      <c r="R3214" t="s">
        <v>8315</v>
      </c>
      <c r="S3214" s="17">
        <f t="shared" si="206"/>
        <v>41829.795729166668</v>
      </c>
      <c r="T3214" s="17">
        <f t="shared" si="207"/>
        <v>41859.795729166668</v>
      </c>
      <c r="U3214">
        <f>MONTH(Table1[[#This Row],[Launched]])</f>
        <v>7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 s="8">
        <v>1437934759</v>
      </c>
      <c r="J3215">
        <v>1434478759</v>
      </c>
      <c r="K3215" t="b">
        <v>1</v>
      </c>
      <c r="L3215" s="10">
        <v>47</v>
      </c>
      <c r="M3215" t="b">
        <v>1</v>
      </c>
      <c r="N3215" t="s">
        <v>8269</v>
      </c>
      <c r="O3215" s="11">
        <f t="shared" si="204"/>
        <v>100</v>
      </c>
      <c r="P3215" s="12">
        <f t="shared" si="205"/>
        <v>128</v>
      </c>
      <c r="Q3215" s="14" t="s">
        <v>8314</v>
      </c>
      <c r="R3215" t="s">
        <v>8315</v>
      </c>
      <c r="S3215" s="17">
        <f t="shared" si="206"/>
        <v>42171.763414351852</v>
      </c>
      <c r="T3215" s="17">
        <f t="shared" si="207"/>
        <v>42211.763414351852</v>
      </c>
      <c r="U3215">
        <f>MONTH(Table1[[#This Row],[Launched]])</f>
        <v>6</v>
      </c>
    </row>
    <row r="3216" spans="1:21" ht="57.6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 s="8">
        <v>1452038100</v>
      </c>
      <c r="J3216">
        <v>1448823673</v>
      </c>
      <c r="K3216" t="b">
        <v>1</v>
      </c>
      <c r="L3216" s="10">
        <v>115</v>
      </c>
      <c r="M3216" t="b">
        <v>1</v>
      </c>
      <c r="N3216" t="s">
        <v>8269</v>
      </c>
      <c r="O3216" s="11">
        <f t="shared" si="204"/>
        <v>102</v>
      </c>
      <c r="P3216" s="12">
        <f t="shared" si="205"/>
        <v>107</v>
      </c>
      <c r="Q3216" s="14" t="s">
        <v>8314</v>
      </c>
      <c r="R3216" t="s">
        <v>8315</v>
      </c>
      <c r="S3216" s="17">
        <f t="shared" si="206"/>
        <v>42337.792511574073</v>
      </c>
      <c r="T3216" s="17">
        <f t="shared" si="207"/>
        <v>42374.996527777781</v>
      </c>
      <c r="U3216">
        <f>MONTH(Table1[[#This Row],[Launched]])</f>
        <v>11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 s="8">
        <v>1441857540</v>
      </c>
      <c r="J3217">
        <v>1438617471</v>
      </c>
      <c r="K3217" t="b">
        <v>1</v>
      </c>
      <c r="L3217" s="10">
        <v>134</v>
      </c>
      <c r="M3217" t="b">
        <v>1</v>
      </c>
      <c r="N3217" t="s">
        <v>8269</v>
      </c>
      <c r="O3217" s="11">
        <f t="shared" si="204"/>
        <v>100</v>
      </c>
      <c r="P3217" s="12">
        <f t="shared" si="205"/>
        <v>262</v>
      </c>
      <c r="Q3217" s="14" t="s">
        <v>8314</v>
      </c>
      <c r="R3217" t="s">
        <v>8315</v>
      </c>
      <c r="S3217" s="17">
        <f t="shared" si="206"/>
        <v>42219.665173611109</v>
      </c>
      <c r="T3217" s="17">
        <f t="shared" si="207"/>
        <v>42257.165972222225</v>
      </c>
      <c r="U3217">
        <f>MONTH(Table1[[#This Row],[Launched]])</f>
        <v>8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 s="8">
        <v>1436625000</v>
      </c>
      <c r="J3218">
        <v>1433934371</v>
      </c>
      <c r="K3218" t="b">
        <v>1</v>
      </c>
      <c r="L3218" s="10">
        <v>35</v>
      </c>
      <c r="M3218" t="b">
        <v>1</v>
      </c>
      <c r="N3218" t="s">
        <v>8269</v>
      </c>
      <c r="O3218" s="11">
        <f t="shared" si="204"/>
        <v>100</v>
      </c>
      <c r="P3218" s="12">
        <f t="shared" si="205"/>
        <v>57</v>
      </c>
      <c r="Q3218" s="14" t="s">
        <v>8314</v>
      </c>
      <c r="R3218" t="s">
        <v>8315</v>
      </c>
      <c r="S3218" s="17">
        <f t="shared" si="206"/>
        <v>42165.462627314817</v>
      </c>
      <c r="T3218" s="17">
        <f t="shared" si="207"/>
        <v>42196.604166666672</v>
      </c>
      <c r="U3218">
        <f>MONTH(Table1[[#This Row],[Launched]])</f>
        <v>6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 s="8">
        <v>1478264784</v>
      </c>
      <c r="J3219">
        <v>1475672784</v>
      </c>
      <c r="K3219" t="b">
        <v>1</v>
      </c>
      <c r="L3219" s="10">
        <v>104</v>
      </c>
      <c r="M3219" t="b">
        <v>1</v>
      </c>
      <c r="N3219" t="s">
        <v>8269</v>
      </c>
      <c r="O3219" s="11">
        <f t="shared" si="204"/>
        <v>116</v>
      </c>
      <c r="P3219" s="12">
        <f t="shared" si="205"/>
        <v>50</v>
      </c>
      <c r="Q3219" s="14" t="s">
        <v>8314</v>
      </c>
      <c r="R3219" t="s">
        <v>8315</v>
      </c>
      <c r="S3219" s="17">
        <f t="shared" si="206"/>
        <v>42648.546111111107</v>
      </c>
      <c r="T3219" s="17">
        <f t="shared" si="207"/>
        <v>42678.546111111107</v>
      </c>
      <c r="U3219">
        <f>MONTH(Table1[[#This Row],[Launched]])</f>
        <v>10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 s="8">
        <v>1419984000</v>
      </c>
      <c r="J3220">
        <v>1417132986</v>
      </c>
      <c r="K3220" t="b">
        <v>1</v>
      </c>
      <c r="L3220" s="10">
        <v>184</v>
      </c>
      <c r="M3220" t="b">
        <v>1</v>
      </c>
      <c r="N3220" t="s">
        <v>8269</v>
      </c>
      <c r="O3220" s="11">
        <f t="shared" si="204"/>
        <v>102</v>
      </c>
      <c r="P3220" s="12">
        <f t="shared" si="205"/>
        <v>67</v>
      </c>
      <c r="Q3220" s="14" t="s">
        <v>8314</v>
      </c>
      <c r="R3220" t="s">
        <v>8315</v>
      </c>
      <c r="S3220" s="17">
        <f t="shared" si="206"/>
        <v>41971.002152777779</v>
      </c>
      <c r="T3220" s="17">
        <f t="shared" si="207"/>
        <v>42004</v>
      </c>
      <c r="U3220">
        <f>MONTH(Table1[[#This Row],[Launched]])</f>
        <v>11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 s="8">
        <v>1427063747</v>
      </c>
      <c r="J3221">
        <v>1424043347</v>
      </c>
      <c r="K3221" t="b">
        <v>1</v>
      </c>
      <c r="L3221" s="10">
        <v>119</v>
      </c>
      <c r="M3221" t="b">
        <v>1</v>
      </c>
      <c r="N3221" t="s">
        <v>8269</v>
      </c>
      <c r="O3221" s="11">
        <f t="shared" si="204"/>
        <v>100</v>
      </c>
      <c r="P3221" s="12">
        <f t="shared" si="205"/>
        <v>168</v>
      </c>
      <c r="Q3221" s="14" t="s">
        <v>8314</v>
      </c>
      <c r="R3221" t="s">
        <v>8315</v>
      </c>
      <c r="S3221" s="17">
        <f t="shared" si="206"/>
        <v>42050.983182870375</v>
      </c>
      <c r="T3221" s="17">
        <f t="shared" si="207"/>
        <v>42085.941516203704</v>
      </c>
      <c r="U3221">
        <f>MONTH(Table1[[#This Row],[Launched]])</f>
        <v>2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 s="8">
        <v>1489352400</v>
      </c>
      <c r="J3222">
        <v>1486411204</v>
      </c>
      <c r="K3222" t="b">
        <v>1</v>
      </c>
      <c r="L3222" s="10">
        <v>59</v>
      </c>
      <c r="M3222" t="b">
        <v>1</v>
      </c>
      <c r="N3222" t="s">
        <v>8269</v>
      </c>
      <c r="O3222" s="11">
        <f t="shared" si="204"/>
        <v>101</v>
      </c>
      <c r="P3222" s="12">
        <f t="shared" si="205"/>
        <v>256</v>
      </c>
      <c r="Q3222" s="14" t="s">
        <v>8314</v>
      </c>
      <c r="R3222" t="s">
        <v>8315</v>
      </c>
      <c r="S3222" s="17">
        <f t="shared" si="206"/>
        <v>42772.833379629628</v>
      </c>
      <c r="T3222" s="17">
        <f t="shared" si="207"/>
        <v>42806.875</v>
      </c>
      <c r="U3222">
        <f>MONTH(Table1[[#This Row],[Launched]])</f>
        <v>2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 s="8">
        <v>1436114603</v>
      </c>
      <c r="J3223">
        <v>1433090603</v>
      </c>
      <c r="K3223" t="b">
        <v>1</v>
      </c>
      <c r="L3223" s="10">
        <v>113</v>
      </c>
      <c r="M3223" t="b">
        <v>1</v>
      </c>
      <c r="N3223" t="s">
        <v>8269</v>
      </c>
      <c r="O3223" s="11">
        <f t="shared" si="204"/>
        <v>103</v>
      </c>
      <c r="P3223" s="12">
        <f t="shared" si="205"/>
        <v>37</v>
      </c>
      <c r="Q3223" s="14" t="s">
        <v>8314</v>
      </c>
      <c r="R3223" t="s">
        <v>8315</v>
      </c>
      <c r="S3223" s="17">
        <f t="shared" si="206"/>
        <v>42155.696793981479</v>
      </c>
      <c r="T3223" s="17">
        <f t="shared" si="207"/>
        <v>42190.696793981479</v>
      </c>
      <c r="U3223">
        <f>MONTH(Table1[[#This Row],[Launched]])</f>
        <v>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 s="8">
        <v>1445722140</v>
      </c>
      <c r="J3224">
        <v>1443016697</v>
      </c>
      <c r="K3224" t="b">
        <v>1</v>
      </c>
      <c r="L3224" s="10">
        <v>84</v>
      </c>
      <c r="M3224" t="b">
        <v>1</v>
      </c>
      <c r="N3224" t="s">
        <v>8269</v>
      </c>
      <c r="O3224" s="11">
        <f t="shared" si="204"/>
        <v>125</v>
      </c>
      <c r="P3224" s="12">
        <f t="shared" si="205"/>
        <v>37</v>
      </c>
      <c r="Q3224" s="14" t="s">
        <v>8314</v>
      </c>
      <c r="R3224" t="s">
        <v>8315</v>
      </c>
      <c r="S3224" s="17">
        <f t="shared" si="206"/>
        <v>42270.582141203704</v>
      </c>
      <c r="T3224" s="17">
        <f t="shared" si="207"/>
        <v>42301.895138888889</v>
      </c>
      <c r="U3224">
        <f>MONTH(Table1[[#This Row],[Launched]])</f>
        <v>9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 s="8">
        <v>1440100976</v>
      </c>
      <c r="J3225">
        <v>1437508976</v>
      </c>
      <c r="K3225" t="b">
        <v>1</v>
      </c>
      <c r="L3225" s="10">
        <v>74</v>
      </c>
      <c r="M3225" t="b">
        <v>1</v>
      </c>
      <c r="N3225" t="s">
        <v>8269</v>
      </c>
      <c r="O3225" s="11">
        <f t="shared" si="204"/>
        <v>110</v>
      </c>
      <c r="P3225" s="12">
        <f t="shared" si="205"/>
        <v>46</v>
      </c>
      <c r="Q3225" s="14" t="s">
        <v>8314</v>
      </c>
      <c r="R3225" t="s">
        <v>8315</v>
      </c>
      <c r="S3225" s="17">
        <f t="shared" si="206"/>
        <v>42206.835370370376</v>
      </c>
      <c r="T3225" s="17">
        <f t="shared" si="207"/>
        <v>42236.835370370376</v>
      </c>
      <c r="U3225">
        <f>MONTH(Table1[[#This Row],[Launched]])</f>
        <v>7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 s="8">
        <v>1484024400</v>
      </c>
      <c r="J3226">
        <v>1479932713</v>
      </c>
      <c r="K3226" t="b">
        <v>1</v>
      </c>
      <c r="L3226" s="10">
        <v>216</v>
      </c>
      <c r="M3226" t="b">
        <v>1</v>
      </c>
      <c r="N3226" t="s">
        <v>8269</v>
      </c>
      <c r="O3226" s="11">
        <f t="shared" si="204"/>
        <v>102</v>
      </c>
      <c r="P3226" s="12">
        <f t="shared" si="205"/>
        <v>142</v>
      </c>
      <c r="Q3226" s="14" t="s">
        <v>8314</v>
      </c>
      <c r="R3226" t="s">
        <v>8315</v>
      </c>
      <c r="S3226" s="17">
        <f t="shared" si="206"/>
        <v>42697.850844907407</v>
      </c>
      <c r="T3226" s="17">
        <f t="shared" si="207"/>
        <v>42745.208333333328</v>
      </c>
      <c r="U3226">
        <f>MONTH(Table1[[#This Row],[Launched]])</f>
        <v>11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 s="8">
        <v>1464987600</v>
      </c>
      <c r="J3227">
        <v>1463145938</v>
      </c>
      <c r="K3227" t="b">
        <v>1</v>
      </c>
      <c r="L3227" s="10">
        <v>39</v>
      </c>
      <c r="M3227" t="b">
        <v>1</v>
      </c>
      <c r="N3227" t="s">
        <v>8269</v>
      </c>
      <c r="O3227" s="11">
        <f t="shared" si="204"/>
        <v>102</v>
      </c>
      <c r="P3227" s="12">
        <f t="shared" si="205"/>
        <v>52</v>
      </c>
      <c r="Q3227" s="14" t="s">
        <v>8314</v>
      </c>
      <c r="R3227" t="s">
        <v>8315</v>
      </c>
      <c r="S3227" s="17">
        <f t="shared" si="206"/>
        <v>42503.559467592597</v>
      </c>
      <c r="T3227" s="17">
        <f t="shared" si="207"/>
        <v>42524.875</v>
      </c>
      <c r="U3227">
        <f>MONTH(Table1[[#This Row],[Launched]])</f>
        <v>5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 s="8">
        <v>1446213612</v>
      </c>
      <c r="J3228">
        <v>1443621612</v>
      </c>
      <c r="K3228" t="b">
        <v>1</v>
      </c>
      <c r="L3228" s="10">
        <v>21</v>
      </c>
      <c r="M3228" t="b">
        <v>1</v>
      </c>
      <c r="N3228" t="s">
        <v>8269</v>
      </c>
      <c r="O3228" s="11">
        <f t="shared" si="204"/>
        <v>104</v>
      </c>
      <c r="P3228" s="12">
        <f t="shared" si="205"/>
        <v>60</v>
      </c>
      <c r="Q3228" s="14" t="s">
        <v>8314</v>
      </c>
      <c r="R3228" t="s">
        <v>8315</v>
      </c>
      <c r="S3228" s="17">
        <f t="shared" si="206"/>
        <v>42277.583472222221</v>
      </c>
      <c r="T3228" s="17">
        <f t="shared" si="207"/>
        <v>42307.583472222221</v>
      </c>
      <c r="U3228">
        <f>MONTH(Table1[[#This Row],[Launched]])</f>
        <v>9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 s="8">
        <v>1484687436</v>
      </c>
      <c r="J3229">
        <v>1482095436</v>
      </c>
      <c r="K3229" t="b">
        <v>0</v>
      </c>
      <c r="L3229" s="10">
        <v>30</v>
      </c>
      <c r="M3229" t="b">
        <v>1</v>
      </c>
      <c r="N3229" t="s">
        <v>8269</v>
      </c>
      <c r="O3229" s="11">
        <f t="shared" si="204"/>
        <v>125</v>
      </c>
      <c r="P3229" s="12">
        <f t="shared" si="205"/>
        <v>50</v>
      </c>
      <c r="Q3229" s="14" t="s">
        <v>8314</v>
      </c>
      <c r="R3229" t="s">
        <v>8315</v>
      </c>
      <c r="S3229" s="17">
        <f t="shared" si="206"/>
        <v>42722.882361111115</v>
      </c>
      <c r="T3229" s="17">
        <f t="shared" si="207"/>
        <v>42752.882361111115</v>
      </c>
      <c r="U3229">
        <f>MONTH(Table1[[#This Row],[Launched]])</f>
        <v>12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 s="8">
        <v>1450328340</v>
      </c>
      <c r="J3230">
        <v>1447606884</v>
      </c>
      <c r="K3230" t="b">
        <v>1</v>
      </c>
      <c r="L3230" s="10">
        <v>37</v>
      </c>
      <c r="M3230" t="b">
        <v>1</v>
      </c>
      <c r="N3230" t="s">
        <v>8269</v>
      </c>
      <c r="O3230" s="11">
        <f t="shared" si="204"/>
        <v>102</v>
      </c>
      <c r="P3230" s="12">
        <f t="shared" si="205"/>
        <v>194</v>
      </c>
      <c r="Q3230" s="14" t="s">
        <v>8314</v>
      </c>
      <c r="R3230" t="s">
        <v>8315</v>
      </c>
      <c r="S3230" s="17">
        <f t="shared" si="206"/>
        <v>42323.70930555556</v>
      </c>
      <c r="T3230" s="17">
        <f t="shared" si="207"/>
        <v>42355.207638888889</v>
      </c>
      <c r="U3230">
        <f>MONTH(Table1[[#This Row],[Launched]])</f>
        <v>11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 s="8">
        <v>1416470398</v>
      </c>
      <c r="J3231">
        <v>1413874798</v>
      </c>
      <c r="K3231" t="b">
        <v>1</v>
      </c>
      <c r="L3231" s="10">
        <v>202</v>
      </c>
      <c r="M3231" t="b">
        <v>1</v>
      </c>
      <c r="N3231" t="s">
        <v>8269</v>
      </c>
      <c r="O3231" s="11">
        <f t="shared" si="204"/>
        <v>108</v>
      </c>
      <c r="P3231" s="12">
        <f t="shared" si="205"/>
        <v>107</v>
      </c>
      <c r="Q3231" s="14" t="s">
        <v>8314</v>
      </c>
      <c r="R3231" t="s">
        <v>8315</v>
      </c>
      <c r="S3231" s="17">
        <f t="shared" si="206"/>
        <v>41933.291643518518</v>
      </c>
      <c r="T3231" s="17">
        <f t="shared" si="207"/>
        <v>41963.333310185189</v>
      </c>
      <c r="U3231">
        <f>MONTH(Table1[[#This Row],[Launched]])</f>
        <v>10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 s="8">
        <v>1412135940</v>
      </c>
      <c r="J3232">
        <v>1410840126</v>
      </c>
      <c r="K3232" t="b">
        <v>1</v>
      </c>
      <c r="L3232" s="10">
        <v>37</v>
      </c>
      <c r="M3232" t="b">
        <v>1</v>
      </c>
      <c r="N3232" t="s">
        <v>8269</v>
      </c>
      <c r="O3232" s="11">
        <f t="shared" si="204"/>
        <v>110</v>
      </c>
      <c r="P3232" s="12">
        <f t="shared" si="205"/>
        <v>77</v>
      </c>
      <c r="Q3232" s="14" t="s">
        <v>8314</v>
      </c>
      <c r="R3232" t="s">
        <v>8315</v>
      </c>
      <c r="S3232" s="17">
        <f t="shared" si="206"/>
        <v>41898.168125000004</v>
      </c>
      <c r="T3232" s="17">
        <f t="shared" si="207"/>
        <v>41913.165972222225</v>
      </c>
      <c r="U3232">
        <f>MONTH(Table1[[#This Row],[Launched]])</f>
        <v>9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 s="8">
        <v>1460846347</v>
      </c>
      <c r="J3233">
        <v>1458254347</v>
      </c>
      <c r="K3233" t="b">
        <v>0</v>
      </c>
      <c r="L3233" s="10">
        <v>28</v>
      </c>
      <c r="M3233" t="b">
        <v>1</v>
      </c>
      <c r="N3233" t="s">
        <v>8269</v>
      </c>
      <c r="O3233" s="11">
        <f t="shared" si="204"/>
        <v>161</v>
      </c>
      <c r="P3233" s="12">
        <f t="shared" si="205"/>
        <v>58</v>
      </c>
      <c r="Q3233" s="14" t="s">
        <v>8314</v>
      </c>
      <c r="R3233" t="s">
        <v>8315</v>
      </c>
      <c r="S3233" s="17">
        <f t="shared" si="206"/>
        <v>42446.943831018521</v>
      </c>
      <c r="T3233" s="17">
        <f t="shared" si="207"/>
        <v>42476.943831018521</v>
      </c>
      <c r="U3233">
        <f>MONTH(Table1[[#This Row],[Launched]])</f>
        <v>3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 s="8">
        <v>1462334340</v>
      </c>
      <c r="J3234">
        <v>1459711917</v>
      </c>
      <c r="K3234" t="b">
        <v>1</v>
      </c>
      <c r="L3234" s="10">
        <v>26</v>
      </c>
      <c r="M3234" t="b">
        <v>1</v>
      </c>
      <c r="N3234" t="s">
        <v>8269</v>
      </c>
      <c r="O3234" s="11">
        <f t="shared" si="204"/>
        <v>131</v>
      </c>
      <c r="P3234" s="12">
        <f t="shared" si="205"/>
        <v>50</v>
      </c>
      <c r="Q3234" s="14" t="s">
        <v>8314</v>
      </c>
      <c r="R3234" t="s">
        <v>8315</v>
      </c>
      <c r="S3234" s="17">
        <f t="shared" si="206"/>
        <v>42463.81385416667</v>
      </c>
      <c r="T3234" s="17">
        <f t="shared" si="207"/>
        <v>42494.165972222225</v>
      </c>
      <c r="U3234">
        <f>MONTH(Table1[[#This Row],[Launched]])</f>
        <v>4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 s="8">
        <v>1488482355</v>
      </c>
      <c r="J3235">
        <v>1485890355</v>
      </c>
      <c r="K3235" t="b">
        <v>0</v>
      </c>
      <c r="L3235" s="10">
        <v>61</v>
      </c>
      <c r="M3235" t="b">
        <v>1</v>
      </c>
      <c r="N3235" t="s">
        <v>8269</v>
      </c>
      <c r="O3235" s="11">
        <f t="shared" si="204"/>
        <v>119</v>
      </c>
      <c r="P3235" s="12">
        <f t="shared" si="205"/>
        <v>97</v>
      </c>
      <c r="Q3235" s="14" t="s">
        <v>8314</v>
      </c>
      <c r="R3235" t="s">
        <v>8315</v>
      </c>
      <c r="S3235" s="17">
        <f t="shared" si="206"/>
        <v>42766.805034722223</v>
      </c>
      <c r="T3235" s="17">
        <f t="shared" si="207"/>
        <v>42796.805034722223</v>
      </c>
      <c r="U3235">
        <f>MONTH(Table1[[#This Row],[Launched]])</f>
        <v>1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 s="8">
        <v>1485991860</v>
      </c>
      <c r="J3236">
        <v>1483124208</v>
      </c>
      <c r="K3236" t="b">
        <v>0</v>
      </c>
      <c r="L3236" s="10">
        <v>115</v>
      </c>
      <c r="M3236" t="b">
        <v>1</v>
      </c>
      <c r="N3236" t="s">
        <v>8269</v>
      </c>
      <c r="O3236" s="11">
        <f t="shared" si="204"/>
        <v>100</v>
      </c>
      <c r="P3236" s="12">
        <f t="shared" si="205"/>
        <v>35</v>
      </c>
      <c r="Q3236" s="14" t="s">
        <v>8314</v>
      </c>
      <c r="R3236" t="s">
        <v>8315</v>
      </c>
      <c r="S3236" s="17">
        <f t="shared" si="206"/>
        <v>42734.789444444439</v>
      </c>
      <c r="T3236" s="17">
        <f t="shared" si="207"/>
        <v>42767.979861111111</v>
      </c>
      <c r="U3236">
        <f>MONTH(Table1[[#This Row],[Launched]])</f>
        <v>12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 s="8">
        <v>1467361251</v>
      </c>
      <c r="J3237">
        <v>1464769251</v>
      </c>
      <c r="K3237" t="b">
        <v>1</v>
      </c>
      <c r="L3237" s="10">
        <v>181</v>
      </c>
      <c r="M3237" t="b">
        <v>1</v>
      </c>
      <c r="N3237" t="s">
        <v>8269</v>
      </c>
      <c r="O3237" s="11">
        <f t="shared" si="204"/>
        <v>103</v>
      </c>
      <c r="P3237" s="12">
        <f t="shared" si="205"/>
        <v>86</v>
      </c>
      <c r="Q3237" s="14" t="s">
        <v>8314</v>
      </c>
      <c r="R3237" t="s">
        <v>8315</v>
      </c>
      <c r="S3237" s="17">
        <f t="shared" si="206"/>
        <v>42522.347812499997</v>
      </c>
      <c r="T3237" s="17">
        <f t="shared" si="207"/>
        <v>42552.347812499997</v>
      </c>
      <c r="U3237">
        <f>MONTH(Table1[[#This Row],[Launched]])</f>
        <v>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 s="8">
        <v>1482962433</v>
      </c>
      <c r="J3238">
        <v>1480370433</v>
      </c>
      <c r="K3238" t="b">
        <v>0</v>
      </c>
      <c r="L3238" s="10">
        <v>110</v>
      </c>
      <c r="M3238" t="b">
        <v>1</v>
      </c>
      <c r="N3238" t="s">
        <v>8269</v>
      </c>
      <c r="O3238" s="11">
        <f t="shared" si="204"/>
        <v>101</v>
      </c>
      <c r="P3238" s="12">
        <f t="shared" si="205"/>
        <v>183</v>
      </c>
      <c r="Q3238" s="14" t="s">
        <v>8314</v>
      </c>
      <c r="R3238" t="s">
        <v>8315</v>
      </c>
      <c r="S3238" s="17">
        <f t="shared" si="206"/>
        <v>42702.917048611111</v>
      </c>
      <c r="T3238" s="17">
        <f t="shared" si="207"/>
        <v>42732.917048611111</v>
      </c>
      <c r="U3238">
        <f>MONTH(Table1[[#This Row],[Launched]])</f>
        <v>11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 s="8">
        <v>1443499140</v>
      </c>
      <c r="J3239">
        <v>1441452184</v>
      </c>
      <c r="K3239" t="b">
        <v>1</v>
      </c>
      <c r="L3239" s="10">
        <v>269</v>
      </c>
      <c r="M3239" t="b">
        <v>1</v>
      </c>
      <c r="N3239" t="s">
        <v>8269</v>
      </c>
      <c r="O3239" s="11">
        <f t="shared" si="204"/>
        <v>101</v>
      </c>
      <c r="P3239" s="12">
        <f t="shared" si="205"/>
        <v>131</v>
      </c>
      <c r="Q3239" s="14" t="s">
        <v>8314</v>
      </c>
      <c r="R3239" t="s">
        <v>8315</v>
      </c>
      <c r="S3239" s="17">
        <f t="shared" si="206"/>
        <v>42252.474351851852</v>
      </c>
      <c r="T3239" s="17">
        <f t="shared" si="207"/>
        <v>42276.165972222225</v>
      </c>
      <c r="U3239">
        <f>MONTH(Table1[[#This Row],[Launched]])</f>
        <v>9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 s="8">
        <v>1435752898</v>
      </c>
      <c r="J3240">
        <v>1433160898</v>
      </c>
      <c r="K3240" t="b">
        <v>1</v>
      </c>
      <c r="L3240" s="10">
        <v>79</v>
      </c>
      <c r="M3240" t="b">
        <v>1</v>
      </c>
      <c r="N3240" t="s">
        <v>8269</v>
      </c>
      <c r="O3240" s="11">
        <f t="shared" si="204"/>
        <v>112</v>
      </c>
      <c r="P3240" s="12">
        <f t="shared" si="205"/>
        <v>40</v>
      </c>
      <c r="Q3240" s="14" t="s">
        <v>8314</v>
      </c>
      <c r="R3240" t="s">
        <v>8315</v>
      </c>
      <c r="S3240" s="17">
        <f t="shared" si="206"/>
        <v>42156.510393518518</v>
      </c>
      <c r="T3240" s="17">
        <f t="shared" si="207"/>
        <v>42186.510393518518</v>
      </c>
      <c r="U3240">
        <f>MONTH(Table1[[#This Row],[Launched]])</f>
        <v>6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 s="8">
        <v>1445817540</v>
      </c>
      <c r="J3241">
        <v>1443665293</v>
      </c>
      <c r="K3241" t="b">
        <v>1</v>
      </c>
      <c r="L3241" s="10">
        <v>104</v>
      </c>
      <c r="M3241" t="b">
        <v>1</v>
      </c>
      <c r="N3241" t="s">
        <v>8269</v>
      </c>
      <c r="O3241" s="11">
        <f t="shared" si="204"/>
        <v>106</v>
      </c>
      <c r="P3241" s="12">
        <f t="shared" si="205"/>
        <v>60</v>
      </c>
      <c r="Q3241" s="14" t="s">
        <v>8314</v>
      </c>
      <c r="R3241" t="s">
        <v>8315</v>
      </c>
      <c r="S3241" s="17">
        <f t="shared" si="206"/>
        <v>42278.089039351849</v>
      </c>
      <c r="T3241" s="17">
        <f t="shared" si="207"/>
        <v>42302.999305555553</v>
      </c>
      <c r="U3241">
        <f>MONTH(Table1[[#This Row],[Launched]])</f>
        <v>10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 s="8">
        <v>1487286000</v>
      </c>
      <c r="J3242">
        <v>1484843948</v>
      </c>
      <c r="K3242" t="b">
        <v>0</v>
      </c>
      <c r="L3242" s="10">
        <v>34</v>
      </c>
      <c r="M3242" t="b">
        <v>1</v>
      </c>
      <c r="N3242" t="s">
        <v>8269</v>
      </c>
      <c r="O3242" s="11">
        <f t="shared" si="204"/>
        <v>101</v>
      </c>
      <c r="P3242" s="12">
        <f t="shared" si="205"/>
        <v>89</v>
      </c>
      <c r="Q3242" s="14" t="s">
        <v>8314</v>
      </c>
      <c r="R3242" t="s">
        <v>8315</v>
      </c>
      <c r="S3242" s="17">
        <f t="shared" si="206"/>
        <v>42754.693842592591</v>
      </c>
      <c r="T3242" s="17">
        <f t="shared" si="207"/>
        <v>42782.958333333328</v>
      </c>
      <c r="U3242">
        <f>MONTH(Table1[[#This Row],[Launched]])</f>
        <v>1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 s="8">
        <v>1413269940</v>
      </c>
      <c r="J3243">
        <v>1410421670</v>
      </c>
      <c r="K3243" t="b">
        <v>1</v>
      </c>
      <c r="L3243" s="10">
        <v>167</v>
      </c>
      <c r="M3243" t="b">
        <v>1</v>
      </c>
      <c r="N3243" t="s">
        <v>8269</v>
      </c>
      <c r="O3243" s="11">
        <f t="shared" si="204"/>
        <v>115</v>
      </c>
      <c r="P3243" s="12">
        <f t="shared" si="205"/>
        <v>59</v>
      </c>
      <c r="Q3243" s="14" t="s">
        <v>8314</v>
      </c>
      <c r="R3243" t="s">
        <v>8315</v>
      </c>
      <c r="S3243" s="17">
        <f t="shared" si="206"/>
        <v>41893.324884259258</v>
      </c>
      <c r="T3243" s="17">
        <f t="shared" si="207"/>
        <v>41926.290972222225</v>
      </c>
      <c r="U3243">
        <f>MONTH(Table1[[#This Row],[Launched]])</f>
        <v>9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 s="8">
        <v>1411150092</v>
      </c>
      <c r="J3244">
        <v>1408558092</v>
      </c>
      <c r="K3244" t="b">
        <v>1</v>
      </c>
      <c r="L3244" s="10">
        <v>183</v>
      </c>
      <c r="M3244" t="b">
        <v>1</v>
      </c>
      <c r="N3244" t="s">
        <v>8269</v>
      </c>
      <c r="O3244" s="11">
        <f t="shared" si="204"/>
        <v>127</v>
      </c>
      <c r="P3244" s="12">
        <f t="shared" si="205"/>
        <v>70</v>
      </c>
      <c r="Q3244" s="14" t="s">
        <v>8314</v>
      </c>
      <c r="R3244" t="s">
        <v>8315</v>
      </c>
      <c r="S3244" s="17">
        <f t="shared" si="206"/>
        <v>41871.755694444444</v>
      </c>
      <c r="T3244" s="17">
        <f t="shared" si="207"/>
        <v>41901.755694444444</v>
      </c>
      <c r="U3244">
        <f>MONTH(Table1[[#This Row],[Launched]])</f>
        <v>8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 s="8">
        <v>1444348800</v>
      </c>
      <c r="J3245">
        <v>1442283562</v>
      </c>
      <c r="K3245" t="b">
        <v>1</v>
      </c>
      <c r="L3245" s="10">
        <v>71</v>
      </c>
      <c r="M3245" t="b">
        <v>1</v>
      </c>
      <c r="N3245" t="s">
        <v>8269</v>
      </c>
      <c r="O3245" s="11">
        <f t="shared" si="204"/>
        <v>103</v>
      </c>
      <c r="P3245" s="12">
        <f t="shared" si="205"/>
        <v>116</v>
      </c>
      <c r="Q3245" s="14" t="s">
        <v>8314</v>
      </c>
      <c r="R3245" t="s">
        <v>8315</v>
      </c>
      <c r="S3245" s="17">
        <f t="shared" si="206"/>
        <v>42262.096782407403</v>
      </c>
      <c r="T3245" s="17">
        <f t="shared" si="207"/>
        <v>42286</v>
      </c>
      <c r="U3245">
        <f>MONTH(Table1[[#This Row],[Launched]])</f>
        <v>9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 s="8">
        <v>1480613982</v>
      </c>
      <c r="J3246">
        <v>1478018382</v>
      </c>
      <c r="K3246" t="b">
        <v>0</v>
      </c>
      <c r="L3246" s="10">
        <v>69</v>
      </c>
      <c r="M3246" t="b">
        <v>1</v>
      </c>
      <c r="N3246" t="s">
        <v>8269</v>
      </c>
      <c r="O3246" s="11">
        <f t="shared" si="204"/>
        <v>103</v>
      </c>
      <c r="P3246" s="12">
        <f t="shared" si="205"/>
        <v>24</v>
      </c>
      <c r="Q3246" s="14" t="s">
        <v>8314</v>
      </c>
      <c r="R3246" t="s">
        <v>8315</v>
      </c>
      <c r="S3246" s="17">
        <f t="shared" si="206"/>
        <v>42675.694236111114</v>
      </c>
      <c r="T3246" s="17">
        <f t="shared" si="207"/>
        <v>42705.735902777778</v>
      </c>
      <c r="U3246">
        <f>MONTH(Table1[[#This Row],[Launched]])</f>
        <v>11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 s="8">
        <v>1434074400</v>
      </c>
      <c r="J3247">
        <v>1431354258</v>
      </c>
      <c r="K3247" t="b">
        <v>0</v>
      </c>
      <c r="L3247" s="10">
        <v>270</v>
      </c>
      <c r="M3247" t="b">
        <v>1</v>
      </c>
      <c r="N3247" t="s">
        <v>8269</v>
      </c>
      <c r="O3247" s="11">
        <f t="shared" si="204"/>
        <v>104</v>
      </c>
      <c r="P3247" s="12">
        <f t="shared" si="205"/>
        <v>81</v>
      </c>
      <c r="Q3247" s="14" t="s">
        <v>8314</v>
      </c>
      <c r="R3247" t="s">
        <v>8315</v>
      </c>
      <c r="S3247" s="17">
        <f t="shared" si="206"/>
        <v>42135.60020833333</v>
      </c>
      <c r="T3247" s="17">
        <f t="shared" si="207"/>
        <v>42167.083333333328</v>
      </c>
      <c r="U3247">
        <f>MONTH(Table1[[#This Row],[Launched]])</f>
        <v>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 s="8">
        <v>1442030340</v>
      </c>
      <c r="J3248">
        <v>1439551200</v>
      </c>
      <c r="K3248" t="b">
        <v>1</v>
      </c>
      <c r="L3248" s="10">
        <v>193</v>
      </c>
      <c r="M3248" t="b">
        <v>1</v>
      </c>
      <c r="N3248" t="s">
        <v>8269</v>
      </c>
      <c r="O3248" s="11">
        <f t="shared" si="204"/>
        <v>111</v>
      </c>
      <c r="P3248" s="12">
        <f t="shared" si="205"/>
        <v>58</v>
      </c>
      <c r="Q3248" s="14" t="s">
        <v>8314</v>
      </c>
      <c r="R3248" t="s">
        <v>8315</v>
      </c>
      <c r="S3248" s="17">
        <f t="shared" si="206"/>
        <v>42230.472222222219</v>
      </c>
      <c r="T3248" s="17">
        <f t="shared" si="207"/>
        <v>42259.165972222225</v>
      </c>
      <c r="U3248">
        <f>MONTH(Table1[[#This Row],[Launched]])</f>
        <v>8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 s="8">
        <v>1436696712</v>
      </c>
      <c r="J3249">
        <v>1434104712</v>
      </c>
      <c r="K3249" t="b">
        <v>1</v>
      </c>
      <c r="L3249" s="10">
        <v>57</v>
      </c>
      <c r="M3249" t="b">
        <v>1</v>
      </c>
      <c r="N3249" t="s">
        <v>8269</v>
      </c>
      <c r="O3249" s="11">
        <f t="shared" si="204"/>
        <v>106</v>
      </c>
      <c r="P3249" s="12">
        <f t="shared" si="205"/>
        <v>46</v>
      </c>
      <c r="Q3249" s="14" t="s">
        <v>8314</v>
      </c>
      <c r="R3249" t="s">
        <v>8315</v>
      </c>
      <c r="S3249" s="17">
        <f t="shared" si="206"/>
        <v>42167.434166666666</v>
      </c>
      <c r="T3249" s="17">
        <f t="shared" si="207"/>
        <v>42197.434166666666</v>
      </c>
      <c r="U3249">
        <f>MONTH(Table1[[#This Row],[Launched]])</f>
        <v>6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 s="8">
        <v>1428178757</v>
      </c>
      <c r="J3250">
        <v>1425590357</v>
      </c>
      <c r="K3250" t="b">
        <v>1</v>
      </c>
      <c r="L3250" s="10">
        <v>200</v>
      </c>
      <c r="M3250" t="b">
        <v>1</v>
      </c>
      <c r="N3250" t="s">
        <v>8269</v>
      </c>
      <c r="O3250" s="11">
        <f t="shared" si="204"/>
        <v>101</v>
      </c>
      <c r="P3250" s="12">
        <f t="shared" si="205"/>
        <v>60</v>
      </c>
      <c r="Q3250" s="14" t="s">
        <v>8314</v>
      </c>
      <c r="R3250" t="s">
        <v>8315</v>
      </c>
      <c r="S3250" s="17">
        <f t="shared" si="206"/>
        <v>42068.888391203705</v>
      </c>
      <c r="T3250" s="17">
        <f t="shared" si="207"/>
        <v>42098.846724537041</v>
      </c>
      <c r="U3250">
        <f>MONTH(Table1[[#This Row],[Launched]])</f>
        <v>3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 s="8">
        <v>1434822914</v>
      </c>
      <c r="J3251">
        <v>1432230914</v>
      </c>
      <c r="K3251" t="b">
        <v>1</v>
      </c>
      <c r="L3251" s="10">
        <v>88</v>
      </c>
      <c r="M3251" t="b">
        <v>1</v>
      </c>
      <c r="N3251" t="s">
        <v>8269</v>
      </c>
      <c r="O3251" s="11">
        <f t="shared" si="204"/>
        <v>105</v>
      </c>
      <c r="P3251" s="12">
        <f t="shared" si="205"/>
        <v>66</v>
      </c>
      <c r="Q3251" s="14" t="s">
        <v>8314</v>
      </c>
      <c r="R3251" t="s">
        <v>8315</v>
      </c>
      <c r="S3251" s="17">
        <f t="shared" si="206"/>
        <v>42145.746689814812</v>
      </c>
      <c r="T3251" s="17">
        <f t="shared" si="207"/>
        <v>42175.746689814812</v>
      </c>
      <c r="U3251">
        <f>MONTH(Table1[[#This Row],[Launched]])</f>
        <v>5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 s="8">
        <v>1415213324</v>
      </c>
      <c r="J3252">
        <v>1412617724</v>
      </c>
      <c r="K3252" t="b">
        <v>1</v>
      </c>
      <c r="L3252" s="10">
        <v>213</v>
      </c>
      <c r="M3252" t="b">
        <v>1</v>
      </c>
      <c r="N3252" t="s">
        <v>8269</v>
      </c>
      <c r="O3252" s="11">
        <f t="shared" si="204"/>
        <v>102</v>
      </c>
      <c r="P3252" s="12">
        <f t="shared" si="205"/>
        <v>119</v>
      </c>
      <c r="Q3252" s="14" t="s">
        <v>8314</v>
      </c>
      <c r="R3252" t="s">
        <v>8315</v>
      </c>
      <c r="S3252" s="17">
        <f t="shared" si="206"/>
        <v>41918.742175925923</v>
      </c>
      <c r="T3252" s="17">
        <f t="shared" si="207"/>
        <v>41948.783842592595</v>
      </c>
      <c r="U3252">
        <f>MONTH(Table1[[#This Row],[Launched]])</f>
        <v>10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 s="8">
        <v>1434907966</v>
      </c>
      <c r="J3253">
        <v>1432315966</v>
      </c>
      <c r="K3253" t="b">
        <v>1</v>
      </c>
      <c r="L3253" s="10">
        <v>20</v>
      </c>
      <c r="M3253" t="b">
        <v>1</v>
      </c>
      <c r="N3253" t="s">
        <v>8269</v>
      </c>
      <c r="O3253" s="11">
        <f t="shared" si="204"/>
        <v>111</v>
      </c>
      <c r="P3253" s="12">
        <f t="shared" si="205"/>
        <v>83</v>
      </c>
      <c r="Q3253" s="14" t="s">
        <v>8314</v>
      </c>
      <c r="R3253" t="s">
        <v>8315</v>
      </c>
      <c r="S3253" s="17">
        <f t="shared" si="206"/>
        <v>42146.731087962966</v>
      </c>
      <c r="T3253" s="17">
        <f t="shared" si="207"/>
        <v>42176.731087962966</v>
      </c>
      <c r="U3253">
        <f>MONTH(Table1[[#This Row],[Launched]])</f>
        <v>5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 s="8">
        <v>1473247240</v>
      </c>
      <c r="J3254">
        <v>1470655240</v>
      </c>
      <c r="K3254" t="b">
        <v>1</v>
      </c>
      <c r="L3254" s="10">
        <v>50</v>
      </c>
      <c r="M3254" t="b">
        <v>1</v>
      </c>
      <c r="N3254" t="s">
        <v>8269</v>
      </c>
      <c r="O3254" s="11">
        <f t="shared" si="204"/>
        <v>128</v>
      </c>
      <c r="P3254" s="12">
        <f t="shared" si="205"/>
        <v>58</v>
      </c>
      <c r="Q3254" s="14" t="s">
        <v>8314</v>
      </c>
      <c r="R3254" t="s">
        <v>8315</v>
      </c>
      <c r="S3254" s="17">
        <f t="shared" si="206"/>
        <v>42590.472685185188</v>
      </c>
      <c r="T3254" s="17">
        <f t="shared" si="207"/>
        <v>42620.472685185188</v>
      </c>
      <c r="U3254">
        <f>MONTH(Table1[[#This Row],[Launched]])</f>
        <v>8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 s="8">
        <v>1473306300</v>
      </c>
      <c r="J3255">
        <v>1471701028</v>
      </c>
      <c r="K3255" t="b">
        <v>1</v>
      </c>
      <c r="L3255" s="10">
        <v>115</v>
      </c>
      <c r="M3255" t="b">
        <v>1</v>
      </c>
      <c r="N3255" t="s">
        <v>8269</v>
      </c>
      <c r="O3255" s="11">
        <f t="shared" si="204"/>
        <v>102</v>
      </c>
      <c r="P3255" s="12">
        <f t="shared" si="205"/>
        <v>177</v>
      </c>
      <c r="Q3255" s="14" t="s">
        <v>8314</v>
      </c>
      <c r="R3255" t="s">
        <v>8315</v>
      </c>
      <c r="S3255" s="17">
        <f t="shared" si="206"/>
        <v>42602.576712962968</v>
      </c>
      <c r="T3255" s="17">
        <f t="shared" si="207"/>
        <v>42621.15625</v>
      </c>
      <c r="U3255">
        <f>MONTH(Table1[[#This Row],[Launched]])</f>
        <v>8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 s="8">
        <v>1427331809</v>
      </c>
      <c r="J3256">
        <v>1424743409</v>
      </c>
      <c r="K3256" t="b">
        <v>1</v>
      </c>
      <c r="L3256" s="10">
        <v>186</v>
      </c>
      <c r="M3256" t="b">
        <v>1</v>
      </c>
      <c r="N3256" t="s">
        <v>8269</v>
      </c>
      <c r="O3256" s="11">
        <f t="shared" si="204"/>
        <v>101</v>
      </c>
      <c r="P3256" s="12">
        <f t="shared" si="205"/>
        <v>71</v>
      </c>
      <c r="Q3256" s="14" t="s">
        <v>8314</v>
      </c>
      <c r="R3256" t="s">
        <v>8315</v>
      </c>
      <c r="S3256" s="17">
        <f t="shared" si="206"/>
        <v>42059.085752314815</v>
      </c>
      <c r="T3256" s="17">
        <f t="shared" si="207"/>
        <v>42089.044085648144</v>
      </c>
      <c r="U3256">
        <f>MONTH(Table1[[#This Row],[Launched]])</f>
        <v>2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8218</v>
      </c>
      <c r="G3257" t="s">
        <v>8224</v>
      </c>
      <c r="H3257" t="s">
        <v>8246</v>
      </c>
      <c r="I3257" s="8">
        <v>1412706375</v>
      </c>
      <c r="J3257">
        <v>1410114375</v>
      </c>
      <c r="K3257" t="b">
        <v>1</v>
      </c>
      <c r="L3257" s="10">
        <v>18</v>
      </c>
      <c r="M3257" t="b">
        <v>1</v>
      </c>
      <c r="N3257" t="s">
        <v>8269</v>
      </c>
      <c r="O3257" s="11">
        <f t="shared" si="204"/>
        <v>175</v>
      </c>
      <c r="P3257" s="12">
        <f t="shared" si="205"/>
        <v>29</v>
      </c>
      <c r="Q3257" s="14" t="s">
        <v>8314</v>
      </c>
      <c r="R3257" t="s">
        <v>8315</v>
      </c>
      <c r="S3257" s="17">
        <f t="shared" si="206"/>
        <v>41889.768229166664</v>
      </c>
      <c r="T3257" s="17">
        <f t="shared" si="207"/>
        <v>41919.768229166664</v>
      </c>
      <c r="U3257">
        <f>MONTH(Table1[[#This Row],[Launched]])</f>
        <v>9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 s="8">
        <v>1433995140</v>
      </c>
      <c r="J3258">
        <v>1432129577</v>
      </c>
      <c r="K3258" t="b">
        <v>1</v>
      </c>
      <c r="L3258" s="10">
        <v>176</v>
      </c>
      <c r="M3258" t="b">
        <v>1</v>
      </c>
      <c r="N3258" t="s">
        <v>8269</v>
      </c>
      <c r="O3258" s="11">
        <f t="shared" si="204"/>
        <v>128</v>
      </c>
      <c r="P3258" s="12">
        <f t="shared" si="205"/>
        <v>73</v>
      </c>
      <c r="Q3258" s="14" t="s">
        <v>8314</v>
      </c>
      <c r="R3258" t="s">
        <v>8315</v>
      </c>
      <c r="S3258" s="17">
        <f t="shared" si="206"/>
        <v>42144.573807870373</v>
      </c>
      <c r="T3258" s="17">
        <f t="shared" si="207"/>
        <v>42166.165972222225</v>
      </c>
      <c r="U3258">
        <f>MONTH(Table1[[#This Row],[Launched]])</f>
        <v>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 s="8">
        <v>1487769952</v>
      </c>
      <c r="J3259">
        <v>1485177952</v>
      </c>
      <c r="K3259" t="b">
        <v>0</v>
      </c>
      <c r="L3259" s="10">
        <v>41</v>
      </c>
      <c r="M3259" t="b">
        <v>1</v>
      </c>
      <c r="N3259" t="s">
        <v>8269</v>
      </c>
      <c r="O3259" s="11">
        <f t="shared" si="204"/>
        <v>106</v>
      </c>
      <c r="P3259" s="12">
        <f t="shared" si="205"/>
        <v>52</v>
      </c>
      <c r="Q3259" s="14" t="s">
        <v>8314</v>
      </c>
      <c r="R3259" t="s">
        <v>8315</v>
      </c>
      <c r="S3259" s="17">
        <f t="shared" si="206"/>
        <v>42758.559629629628</v>
      </c>
      <c r="T3259" s="17">
        <f t="shared" si="207"/>
        <v>42788.559629629628</v>
      </c>
      <c r="U3259">
        <f>MONTH(Table1[[#This Row],[Launched]])</f>
        <v>1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 s="8">
        <v>1420751861</v>
      </c>
      <c r="J3260">
        <v>1418159861</v>
      </c>
      <c r="K3260" t="b">
        <v>1</v>
      </c>
      <c r="L3260" s="10">
        <v>75</v>
      </c>
      <c r="M3260" t="b">
        <v>1</v>
      </c>
      <c r="N3260" t="s">
        <v>8269</v>
      </c>
      <c r="O3260" s="11">
        <f t="shared" si="204"/>
        <v>105</v>
      </c>
      <c r="P3260" s="12">
        <f t="shared" si="205"/>
        <v>98</v>
      </c>
      <c r="Q3260" s="14" t="s">
        <v>8314</v>
      </c>
      <c r="R3260" t="s">
        <v>8315</v>
      </c>
      <c r="S3260" s="17">
        <f t="shared" si="206"/>
        <v>41982.887280092589</v>
      </c>
      <c r="T3260" s="17">
        <f t="shared" si="207"/>
        <v>42012.887280092589</v>
      </c>
      <c r="U3260">
        <f>MONTH(Table1[[#This Row],[Launched]])</f>
        <v>12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 s="8">
        <v>1475294340</v>
      </c>
      <c r="J3261">
        <v>1472753745</v>
      </c>
      <c r="K3261" t="b">
        <v>1</v>
      </c>
      <c r="L3261" s="10">
        <v>97</v>
      </c>
      <c r="M3261" t="b">
        <v>1</v>
      </c>
      <c r="N3261" t="s">
        <v>8269</v>
      </c>
      <c r="O3261" s="11">
        <f t="shared" si="204"/>
        <v>106</v>
      </c>
      <c r="P3261" s="12">
        <f t="shared" si="205"/>
        <v>252</v>
      </c>
      <c r="Q3261" s="14" t="s">
        <v>8314</v>
      </c>
      <c r="R3261" t="s">
        <v>8315</v>
      </c>
      <c r="S3261" s="17">
        <f t="shared" si="206"/>
        <v>42614.760937500003</v>
      </c>
      <c r="T3261" s="17">
        <f t="shared" si="207"/>
        <v>42644.165972222225</v>
      </c>
      <c r="U3261">
        <f>MONTH(Table1[[#This Row],[Launched]])</f>
        <v>9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 s="8">
        <v>1448903318</v>
      </c>
      <c r="J3262">
        <v>1445875718</v>
      </c>
      <c r="K3262" t="b">
        <v>1</v>
      </c>
      <c r="L3262" s="10">
        <v>73</v>
      </c>
      <c r="M3262" t="b">
        <v>1</v>
      </c>
      <c r="N3262" t="s">
        <v>8269</v>
      </c>
      <c r="O3262" s="11">
        <f t="shared" si="204"/>
        <v>109</v>
      </c>
      <c r="P3262" s="12">
        <f t="shared" si="205"/>
        <v>75</v>
      </c>
      <c r="Q3262" s="14" t="s">
        <v>8314</v>
      </c>
      <c r="R3262" t="s">
        <v>8315</v>
      </c>
      <c r="S3262" s="17">
        <f t="shared" si="206"/>
        <v>42303.672662037032</v>
      </c>
      <c r="T3262" s="17">
        <f t="shared" si="207"/>
        <v>42338.714328703703</v>
      </c>
      <c r="U3262">
        <f>MONTH(Table1[[#This Row],[Launched]])</f>
        <v>10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 s="8">
        <v>1437067476</v>
      </c>
      <c r="J3263">
        <v>1434475476</v>
      </c>
      <c r="K3263" t="b">
        <v>1</v>
      </c>
      <c r="L3263" s="10">
        <v>49</v>
      </c>
      <c r="M3263" t="b">
        <v>1</v>
      </c>
      <c r="N3263" t="s">
        <v>8269</v>
      </c>
      <c r="O3263" s="11">
        <f t="shared" si="204"/>
        <v>100</v>
      </c>
      <c r="P3263" s="12">
        <f t="shared" si="205"/>
        <v>68</v>
      </c>
      <c r="Q3263" s="14" t="s">
        <v>8314</v>
      </c>
      <c r="R3263" t="s">
        <v>8315</v>
      </c>
      <c r="S3263" s="17">
        <f t="shared" si="206"/>
        <v>42171.725416666668</v>
      </c>
      <c r="T3263" s="17">
        <f t="shared" si="207"/>
        <v>42201.725416666668</v>
      </c>
      <c r="U3263">
        <f>MONTH(Table1[[#This Row],[Launched]])</f>
        <v>6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 s="8">
        <v>1419220800</v>
      </c>
      <c r="J3264">
        <v>1416555262</v>
      </c>
      <c r="K3264" t="b">
        <v>1</v>
      </c>
      <c r="L3264" s="10">
        <v>134</v>
      </c>
      <c r="M3264" t="b">
        <v>1</v>
      </c>
      <c r="N3264" t="s">
        <v>8269</v>
      </c>
      <c r="O3264" s="11">
        <f t="shared" si="204"/>
        <v>103</v>
      </c>
      <c r="P3264" s="12">
        <f t="shared" si="205"/>
        <v>94</v>
      </c>
      <c r="Q3264" s="14" t="s">
        <v>8314</v>
      </c>
      <c r="R3264" t="s">
        <v>8315</v>
      </c>
      <c r="S3264" s="17">
        <f t="shared" si="206"/>
        <v>41964.315532407403</v>
      </c>
      <c r="T3264" s="17">
        <f t="shared" si="207"/>
        <v>41995.166666666672</v>
      </c>
      <c r="U3264">
        <f>MONTH(Table1[[#This Row],[Launched]])</f>
        <v>11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 s="8">
        <v>1446238800</v>
      </c>
      <c r="J3265">
        <v>1444220588</v>
      </c>
      <c r="K3265" t="b">
        <v>1</v>
      </c>
      <c r="L3265" s="10">
        <v>68</v>
      </c>
      <c r="M3265" t="b">
        <v>1</v>
      </c>
      <c r="N3265" t="s">
        <v>8269</v>
      </c>
      <c r="O3265" s="11">
        <f t="shared" si="204"/>
        <v>112</v>
      </c>
      <c r="P3265" s="12">
        <f t="shared" si="205"/>
        <v>41</v>
      </c>
      <c r="Q3265" s="14" t="s">
        <v>8314</v>
      </c>
      <c r="R3265" t="s">
        <v>8315</v>
      </c>
      <c r="S3265" s="17">
        <f t="shared" si="206"/>
        <v>42284.516064814816</v>
      </c>
      <c r="T3265" s="17">
        <f t="shared" si="207"/>
        <v>42307.875</v>
      </c>
      <c r="U3265">
        <f>MONTH(Table1[[#This Row],[Launched]])</f>
        <v>10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 s="8">
        <v>1422482400</v>
      </c>
      <c r="J3266">
        <v>1421089938</v>
      </c>
      <c r="K3266" t="b">
        <v>1</v>
      </c>
      <c r="L3266" s="10">
        <v>49</v>
      </c>
      <c r="M3266" t="b">
        <v>1</v>
      </c>
      <c r="N3266" t="s">
        <v>8269</v>
      </c>
      <c r="O3266" s="11">
        <f t="shared" ref="O3266:O3329" si="208">ROUND(E3266/D3266*100,0)</f>
        <v>103</v>
      </c>
      <c r="P3266" s="12">
        <f t="shared" si="205"/>
        <v>53</v>
      </c>
      <c r="Q3266" s="14" t="s">
        <v>8314</v>
      </c>
      <c r="R3266" t="s">
        <v>8315</v>
      </c>
      <c r="S3266" s="17">
        <f t="shared" si="206"/>
        <v>42016.800208333334</v>
      </c>
      <c r="T3266" s="17">
        <f t="shared" si="207"/>
        <v>42032.916666666672</v>
      </c>
      <c r="U3266">
        <f>MONTH(Table1[[#This Row],[Launched]])</f>
        <v>1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 s="8">
        <v>1449162000</v>
      </c>
      <c r="J3267">
        <v>1446570315</v>
      </c>
      <c r="K3267" t="b">
        <v>1</v>
      </c>
      <c r="L3267" s="10">
        <v>63</v>
      </c>
      <c r="M3267" t="b">
        <v>1</v>
      </c>
      <c r="N3267" t="s">
        <v>8269</v>
      </c>
      <c r="O3267" s="11">
        <f t="shared" si="208"/>
        <v>164</v>
      </c>
      <c r="P3267" s="12">
        <f t="shared" ref="P3267:P3330" si="209">IFERROR(ROUND(E3267/L3267,),"No Backers")</f>
        <v>70</v>
      </c>
      <c r="Q3267" s="14" t="s">
        <v>8314</v>
      </c>
      <c r="R3267" t="s">
        <v>8315</v>
      </c>
      <c r="S3267" s="17">
        <f t="shared" ref="S3267:S3330" si="210">(((J3267/60)/60)/24)+DATE(1970,1,1)</f>
        <v>42311.711979166663</v>
      </c>
      <c r="T3267" s="17">
        <f t="shared" ref="T3267:T3330" si="211">(((I3267/60)/60)/24)+DATE(1970,1,1)</f>
        <v>42341.708333333328</v>
      </c>
      <c r="U3267">
        <f>MONTH(Table1[[#This Row],[Launched]])</f>
        <v>11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 s="8">
        <v>1434142800</v>
      </c>
      <c r="J3268">
        <v>1431435122</v>
      </c>
      <c r="K3268" t="b">
        <v>1</v>
      </c>
      <c r="L3268" s="10">
        <v>163</v>
      </c>
      <c r="M3268" t="b">
        <v>1</v>
      </c>
      <c r="N3268" t="s">
        <v>8269</v>
      </c>
      <c r="O3268" s="11">
        <f t="shared" si="208"/>
        <v>131</v>
      </c>
      <c r="P3268" s="12">
        <f t="shared" si="209"/>
        <v>48</v>
      </c>
      <c r="Q3268" s="14" t="s">
        <v>8314</v>
      </c>
      <c r="R3268" t="s">
        <v>8315</v>
      </c>
      <c r="S3268" s="17">
        <f t="shared" si="210"/>
        <v>42136.536134259266</v>
      </c>
      <c r="T3268" s="17">
        <f t="shared" si="211"/>
        <v>42167.875</v>
      </c>
      <c r="U3268">
        <f>MONTH(Table1[[#This Row],[Launched]])</f>
        <v>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 s="8">
        <v>1437156660</v>
      </c>
      <c r="J3269">
        <v>1434564660</v>
      </c>
      <c r="K3269" t="b">
        <v>1</v>
      </c>
      <c r="L3269" s="10">
        <v>288</v>
      </c>
      <c r="M3269" t="b">
        <v>1</v>
      </c>
      <c r="N3269" t="s">
        <v>8269</v>
      </c>
      <c r="O3269" s="11">
        <f t="shared" si="208"/>
        <v>102</v>
      </c>
      <c r="P3269" s="12">
        <f t="shared" si="209"/>
        <v>53</v>
      </c>
      <c r="Q3269" s="14" t="s">
        <v>8314</v>
      </c>
      <c r="R3269" t="s">
        <v>8315</v>
      </c>
      <c r="S3269" s="17">
        <f t="shared" si="210"/>
        <v>42172.757638888885</v>
      </c>
      <c r="T3269" s="17">
        <f t="shared" si="211"/>
        <v>42202.757638888885</v>
      </c>
      <c r="U3269">
        <f>MONTH(Table1[[#This Row],[Launched]])</f>
        <v>6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 s="8">
        <v>1472074928</v>
      </c>
      <c r="J3270">
        <v>1470692528</v>
      </c>
      <c r="K3270" t="b">
        <v>1</v>
      </c>
      <c r="L3270" s="10">
        <v>42</v>
      </c>
      <c r="M3270" t="b">
        <v>1</v>
      </c>
      <c r="N3270" t="s">
        <v>8269</v>
      </c>
      <c r="O3270" s="11">
        <f t="shared" si="208"/>
        <v>128</v>
      </c>
      <c r="P3270" s="12">
        <f t="shared" si="209"/>
        <v>61</v>
      </c>
      <c r="Q3270" s="14" t="s">
        <v>8314</v>
      </c>
      <c r="R3270" t="s">
        <v>8315</v>
      </c>
      <c r="S3270" s="17">
        <f t="shared" si="210"/>
        <v>42590.90425925926</v>
      </c>
      <c r="T3270" s="17">
        <f t="shared" si="211"/>
        <v>42606.90425925926</v>
      </c>
      <c r="U3270">
        <f>MONTH(Table1[[#This Row],[Launched]])</f>
        <v>8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 s="8">
        <v>1434452400</v>
      </c>
      <c r="J3271">
        <v>1431509397</v>
      </c>
      <c r="K3271" t="b">
        <v>1</v>
      </c>
      <c r="L3271" s="10">
        <v>70</v>
      </c>
      <c r="M3271" t="b">
        <v>1</v>
      </c>
      <c r="N3271" t="s">
        <v>8269</v>
      </c>
      <c r="O3271" s="11">
        <f t="shared" si="208"/>
        <v>102</v>
      </c>
      <c r="P3271" s="12">
        <f t="shared" si="209"/>
        <v>116</v>
      </c>
      <c r="Q3271" s="14" t="s">
        <v>8314</v>
      </c>
      <c r="R3271" t="s">
        <v>8315</v>
      </c>
      <c r="S3271" s="17">
        <f t="shared" si="210"/>
        <v>42137.395798611105</v>
      </c>
      <c r="T3271" s="17">
        <f t="shared" si="211"/>
        <v>42171.458333333328</v>
      </c>
      <c r="U3271">
        <f>MONTH(Table1[[#This Row],[Launched]])</f>
        <v>5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 s="8">
        <v>1436705265</v>
      </c>
      <c r="J3272">
        <v>1434113265</v>
      </c>
      <c r="K3272" t="b">
        <v>1</v>
      </c>
      <c r="L3272" s="10">
        <v>30</v>
      </c>
      <c r="M3272" t="b">
        <v>1</v>
      </c>
      <c r="N3272" t="s">
        <v>8269</v>
      </c>
      <c r="O3272" s="11">
        <f t="shared" si="208"/>
        <v>102</v>
      </c>
      <c r="P3272" s="12">
        <f t="shared" si="209"/>
        <v>61</v>
      </c>
      <c r="Q3272" s="14" t="s">
        <v>8314</v>
      </c>
      <c r="R3272" t="s">
        <v>8315</v>
      </c>
      <c r="S3272" s="17">
        <f t="shared" si="210"/>
        <v>42167.533159722225</v>
      </c>
      <c r="T3272" s="17">
        <f t="shared" si="211"/>
        <v>42197.533159722225</v>
      </c>
      <c r="U3272">
        <f>MONTH(Table1[[#This Row],[Launched]])</f>
        <v>6</v>
      </c>
    </row>
    <row r="3273" spans="1:21" ht="15.6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 s="8">
        <v>1414927775</v>
      </c>
      <c r="J3273">
        <v>1412332175</v>
      </c>
      <c r="K3273" t="b">
        <v>1</v>
      </c>
      <c r="L3273" s="10">
        <v>51</v>
      </c>
      <c r="M3273" t="b">
        <v>1</v>
      </c>
      <c r="N3273" t="s">
        <v>8269</v>
      </c>
      <c r="O3273" s="11">
        <f t="shared" si="208"/>
        <v>130</v>
      </c>
      <c r="P3273" s="12">
        <f t="shared" si="209"/>
        <v>38</v>
      </c>
      <c r="Q3273" s="14" t="s">
        <v>8314</v>
      </c>
      <c r="R3273" t="s">
        <v>8315</v>
      </c>
      <c r="S3273" s="17">
        <f t="shared" si="210"/>
        <v>41915.437210648146</v>
      </c>
      <c r="T3273" s="17">
        <f t="shared" si="211"/>
        <v>41945.478877314818</v>
      </c>
      <c r="U3273">
        <f>MONTH(Table1[[#This Row],[Launched]])</f>
        <v>10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 s="8">
        <v>1446814809</v>
      </c>
      <c r="J3274">
        <v>1444219209</v>
      </c>
      <c r="K3274" t="b">
        <v>1</v>
      </c>
      <c r="L3274" s="10">
        <v>145</v>
      </c>
      <c r="M3274" t="b">
        <v>1</v>
      </c>
      <c r="N3274" t="s">
        <v>8269</v>
      </c>
      <c r="O3274" s="11">
        <f t="shared" si="208"/>
        <v>154</v>
      </c>
      <c r="P3274" s="12">
        <f t="shared" si="209"/>
        <v>107</v>
      </c>
      <c r="Q3274" s="14" t="s">
        <v>8314</v>
      </c>
      <c r="R3274" t="s">
        <v>8315</v>
      </c>
      <c r="S3274" s="17">
        <f t="shared" si="210"/>
        <v>42284.500104166669</v>
      </c>
      <c r="T3274" s="17">
        <f t="shared" si="211"/>
        <v>42314.541770833333</v>
      </c>
      <c r="U3274">
        <f>MONTH(Table1[[#This Row],[Launched]])</f>
        <v>10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 s="8">
        <v>1473879600</v>
      </c>
      <c r="J3275">
        <v>1472498042</v>
      </c>
      <c r="K3275" t="b">
        <v>1</v>
      </c>
      <c r="L3275" s="10">
        <v>21</v>
      </c>
      <c r="M3275" t="b">
        <v>1</v>
      </c>
      <c r="N3275" t="s">
        <v>8269</v>
      </c>
      <c r="O3275" s="11">
        <f t="shared" si="208"/>
        <v>107</v>
      </c>
      <c r="P3275" s="12">
        <f t="shared" si="209"/>
        <v>205</v>
      </c>
      <c r="Q3275" s="14" t="s">
        <v>8314</v>
      </c>
      <c r="R3275" t="s">
        <v>8315</v>
      </c>
      <c r="S3275" s="17">
        <f t="shared" si="210"/>
        <v>42611.801412037035</v>
      </c>
      <c r="T3275" s="17">
        <f t="shared" si="211"/>
        <v>42627.791666666672</v>
      </c>
      <c r="U3275">
        <f>MONTH(Table1[[#This Row],[Launched]])</f>
        <v>8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 s="8">
        <v>1458075600</v>
      </c>
      <c r="J3276">
        <v>1454259272</v>
      </c>
      <c r="K3276" t="b">
        <v>1</v>
      </c>
      <c r="L3276" s="10">
        <v>286</v>
      </c>
      <c r="M3276" t="b">
        <v>1</v>
      </c>
      <c r="N3276" t="s">
        <v>8269</v>
      </c>
      <c r="O3276" s="11">
        <f t="shared" si="208"/>
        <v>101</v>
      </c>
      <c r="P3276" s="12">
        <f t="shared" si="209"/>
        <v>55</v>
      </c>
      <c r="Q3276" s="14" t="s">
        <v>8314</v>
      </c>
      <c r="R3276" t="s">
        <v>8315</v>
      </c>
      <c r="S3276" s="17">
        <f t="shared" si="210"/>
        <v>42400.704537037032</v>
      </c>
      <c r="T3276" s="17">
        <f t="shared" si="211"/>
        <v>42444.875</v>
      </c>
      <c r="U3276">
        <f>MONTH(Table1[[#This Row],[Launched]])</f>
        <v>1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 s="8">
        <v>1423456200</v>
      </c>
      <c r="J3277">
        <v>1421183271</v>
      </c>
      <c r="K3277" t="b">
        <v>1</v>
      </c>
      <c r="L3277" s="10">
        <v>12</v>
      </c>
      <c r="M3277" t="b">
        <v>1</v>
      </c>
      <c r="N3277" t="s">
        <v>8269</v>
      </c>
      <c r="O3277" s="11">
        <f t="shared" si="208"/>
        <v>100</v>
      </c>
      <c r="P3277" s="12">
        <f t="shared" si="209"/>
        <v>150</v>
      </c>
      <c r="Q3277" s="14" t="s">
        <v>8314</v>
      </c>
      <c r="R3277" t="s">
        <v>8315</v>
      </c>
      <c r="S3277" s="17">
        <f t="shared" si="210"/>
        <v>42017.88045138889</v>
      </c>
      <c r="T3277" s="17">
        <f t="shared" si="211"/>
        <v>42044.1875</v>
      </c>
      <c r="U3277">
        <f>MONTH(Table1[[#This Row],[Launched]])</f>
        <v>1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 s="8">
        <v>1459483140</v>
      </c>
      <c r="J3278">
        <v>1456526879</v>
      </c>
      <c r="K3278" t="b">
        <v>1</v>
      </c>
      <c r="L3278" s="10">
        <v>100</v>
      </c>
      <c r="M3278" t="b">
        <v>1</v>
      </c>
      <c r="N3278" t="s">
        <v>8269</v>
      </c>
      <c r="O3278" s="11">
        <f t="shared" si="208"/>
        <v>117</v>
      </c>
      <c r="P3278" s="12">
        <f t="shared" si="209"/>
        <v>53</v>
      </c>
      <c r="Q3278" s="14" t="s">
        <v>8314</v>
      </c>
      <c r="R3278" t="s">
        <v>8315</v>
      </c>
      <c r="S3278" s="17">
        <f t="shared" si="210"/>
        <v>42426.949988425928</v>
      </c>
      <c r="T3278" s="17">
        <f t="shared" si="211"/>
        <v>42461.165972222225</v>
      </c>
      <c r="U3278">
        <f>MONTH(Table1[[#This Row],[Launched]])</f>
        <v>2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 s="8">
        <v>1416331406</v>
      </c>
      <c r="J3279">
        <v>1413735806</v>
      </c>
      <c r="K3279" t="b">
        <v>1</v>
      </c>
      <c r="L3279" s="10">
        <v>100</v>
      </c>
      <c r="M3279" t="b">
        <v>1</v>
      </c>
      <c r="N3279" t="s">
        <v>8269</v>
      </c>
      <c r="O3279" s="11">
        <f t="shared" si="208"/>
        <v>109</v>
      </c>
      <c r="P3279" s="12">
        <f t="shared" si="209"/>
        <v>54</v>
      </c>
      <c r="Q3279" s="14" t="s">
        <v>8314</v>
      </c>
      <c r="R3279" t="s">
        <v>8315</v>
      </c>
      <c r="S3279" s="17">
        <f t="shared" si="210"/>
        <v>41931.682939814818</v>
      </c>
      <c r="T3279" s="17">
        <f t="shared" si="211"/>
        <v>41961.724606481483</v>
      </c>
      <c r="U3279">
        <f>MONTH(Table1[[#This Row],[Launched]])</f>
        <v>10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 s="8">
        <v>1433017303</v>
      </c>
      <c r="J3280">
        <v>1430425303</v>
      </c>
      <c r="K3280" t="b">
        <v>1</v>
      </c>
      <c r="L3280" s="10">
        <v>34</v>
      </c>
      <c r="M3280" t="b">
        <v>1</v>
      </c>
      <c r="N3280" t="s">
        <v>8269</v>
      </c>
      <c r="O3280" s="11">
        <f t="shared" si="208"/>
        <v>103</v>
      </c>
      <c r="P3280" s="12">
        <f t="shared" si="209"/>
        <v>76</v>
      </c>
      <c r="Q3280" s="14" t="s">
        <v>8314</v>
      </c>
      <c r="R3280" t="s">
        <v>8315</v>
      </c>
      <c r="S3280" s="17">
        <f t="shared" si="210"/>
        <v>42124.848414351851</v>
      </c>
      <c r="T3280" s="17">
        <f t="shared" si="211"/>
        <v>42154.848414351851</v>
      </c>
      <c r="U3280">
        <f>MONTH(Table1[[#This Row],[Launched]])</f>
        <v>4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 s="8">
        <v>1459474059</v>
      </c>
      <c r="J3281">
        <v>1456885659</v>
      </c>
      <c r="K3281" t="b">
        <v>0</v>
      </c>
      <c r="L3281" s="10">
        <v>63</v>
      </c>
      <c r="M3281" t="b">
        <v>1</v>
      </c>
      <c r="N3281" t="s">
        <v>8269</v>
      </c>
      <c r="O3281" s="11">
        <f t="shared" si="208"/>
        <v>114</v>
      </c>
      <c r="P3281" s="12">
        <f t="shared" si="209"/>
        <v>105</v>
      </c>
      <c r="Q3281" s="14" t="s">
        <v>8314</v>
      </c>
      <c r="R3281" t="s">
        <v>8315</v>
      </c>
      <c r="S3281" s="17">
        <f t="shared" si="210"/>
        <v>42431.102534722217</v>
      </c>
      <c r="T3281" s="17">
        <f t="shared" si="211"/>
        <v>42461.06086805556</v>
      </c>
      <c r="U3281">
        <f>MONTH(Table1[[#This Row],[Launched]])</f>
        <v>3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 s="8">
        <v>1433134800</v>
      </c>
      <c r="J3282">
        <v>1430158198</v>
      </c>
      <c r="K3282" t="b">
        <v>0</v>
      </c>
      <c r="L3282" s="10">
        <v>30</v>
      </c>
      <c r="M3282" t="b">
        <v>1</v>
      </c>
      <c r="N3282" t="s">
        <v>8269</v>
      </c>
      <c r="O3282" s="11">
        <f t="shared" si="208"/>
        <v>103</v>
      </c>
      <c r="P3282" s="12">
        <f t="shared" si="209"/>
        <v>69</v>
      </c>
      <c r="Q3282" s="14" t="s">
        <v>8314</v>
      </c>
      <c r="R3282" t="s">
        <v>8315</v>
      </c>
      <c r="S3282" s="17">
        <f t="shared" si="210"/>
        <v>42121.756921296299</v>
      </c>
      <c r="T3282" s="17">
        <f t="shared" si="211"/>
        <v>42156.208333333328</v>
      </c>
      <c r="U3282">
        <f>MONTH(Table1[[#This Row],[Launched]])</f>
        <v>4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 s="8">
        <v>1441153705</v>
      </c>
      <c r="J3283">
        <v>1438561705</v>
      </c>
      <c r="K3283" t="b">
        <v>0</v>
      </c>
      <c r="L3283" s="10">
        <v>47</v>
      </c>
      <c r="M3283" t="b">
        <v>1</v>
      </c>
      <c r="N3283" t="s">
        <v>8269</v>
      </c>
      <c r="O3283" s="11">
        <f t="shared" si="208"/>
        <v>122</v>
      </c>
      <c r="P3283" s="12">
        <f t="shared" si="209"/>
        <v>129</v>
      </c>
      <c r="Q3283" s="14" t="s">
        <v>8314</v>
      </c>
      <c r="R3283" t="s">
        <v>8315</v>
      </c>
      <c r="S3283" s="17">
        <f t="shared" si="210"/>
        <v>42219.019733796296</v>
      </c>
      <c r="T3283" s="17">
        <f t="shared" si="211"/>
        <v>42249.019733796296</v>
      </c>
      <c r="U3283">
        <f>MONTH(Table1[[#This Row],[Launched]])</f>
        <v>8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 s="8">
        <v>1461904788</v>
      </c>
      <c r="J3284">
        <v>1458103188</v>
      </c>
      <c r="K3284" t="b">
        <v>0</v>
      </c>
      <c r="L3284" s="10">
        <v>237</v>
      </c>
      <c r="M3284" t="b">
        <v>1</v>
      </c>
      <c r="N3284" t="s">
        <v>8269</v>
      </c>
      <c r="O3284" s="11">
        <f t="shared" si="208"/>
        <v>103</v>
      </c>
      <c r="P3284" s="12">
        <f t="shared" si="209"/>
        <v>134</v>
      </c>
      <c r="Q3284" s="14" t="s">
        <v>8314</v>
      </c>
      <c r="R3284" t="s">
        <v>8315</v>
      </c>
      <c r="S3284" s="17">
        <f t="shared" si="210"/>
        <v>42445.19430555556</v>
      </c>
      <c r="T3284" s="17">
        <f t="shared" si="211"/>
        <v>42489.19430555556</v>
      </c>
      <c r="U3284">
        <f>MONTH(Table1[[#This Row],[Launched]])</f>
        <v>3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8218</v>
      </c>
      <c r="G3285" t="s">
        <v>8224</v>
      </c>
      <c r="H3285" t="s">
        <v>8246</v>
      </c>
      <c r="I3285" s="8">
        <v>1455138000</v>
      </c>
      <c r="J3285">
        <v>1452448298</v>
      </c>
      <c r="K3285" t="b">
        <v>0</v>
      </c>
      <c r="L3285" s="10">
        <v>47</v>
      </c>
      <c r="M3285" t="b">
        <v>1</v>
      </c>
      <c r="N3285" t="s">
        <v>8269</v>
      </c>
      <c r="O3285" s="11">
        <f t="shared" si="208"/>
        <v>105</v>
      </c>
      <c r="P3285" s="12">
        <f t="shared" si="209"/>
        <v>18</v>
      </c>
      <c r="Q3285" s="14" t="s">
        <v>8314</v>
      </c>
      <c r="R3285" t="s">
        <v>8315</v>
      </c>
      <c r="S3285" s="17">
        <f t="shared" si="210"/>
        <v>42379.74418981481</v>
      </c>
      <c r="T3285" s="17">
        <f t="shared" si="211"/>
        <v>42410.875</v>
      </c>
      <c r="U3285">
        <f>MONTH(Table1[[#This Row],[Launched]])</f>
        <v>1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 s="8">
        <v>1454047140</v>
      </c>
      <c r="J3286">
        <v>1452546853</v>
      </c>
      <c r="K3286" t="b">
        <v>0</v>
      </c>
      <c r="L3286" s="10">
        <v>15</v>
      </c>
      <c r="M3286" t="b">
        <v>1</v>
      </c>
      <c r="N3286" t="s">
        <v>8269</v>
      </c>
      <c r="O3286" s="11">
        <f t="shared" si="208"/>
        <v>102</v>
      </c>
      <c r="P3286" s="12">
        <f t="shared" si="209"/>
        <v>203</v>
      </c>
      <c r="Q3286" s="14" t="s">
        <v>8314</v>
      </c>
      <c r="R3286" t="s">
        <v>8315</v>
      </c>
      <c r="S3286" s="17">
        <f t="shared" si="210"/>
        <v>42380.884872685187</v>
      </c>
      <c r="T3286" s="17">
        <f t="shared" si="211"/>
        <v>42398.249305555553</v>
      </c>
      <c r="U3286">
        <f>MONTH(Table1[[#This Row],[Launched]])</f>
        <v>1</v>
      </c>
    </row>
    <row r="3287" spans="1:21" ht="15.6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 s="8">
        <v>1488258000</v>
      </c>
      <c r="J3287">
        <v>1485556626</v>
      </c>
      <c r="K3287" t="b">
        <v>0</v>
      </c>
      <c r="L3287" s="10">
        <v>81</v>
      </c>
      <c r="M3287" t="b">
        <v>1</v>
      </c>
      <c r="N3287" t="s">
        <v>8269</v>
      </c>
      <c r="O3287" s="11">
        <f t="shared" si="208"/>
        <v>112</v>
      </c>
      <c r="P3287" s="12">
        <f t="shared" si="209"/>
        <v>69</v>
      </c>
      <c r="Q3287" s="14" t="s">
        <v>8314</v>
      </c>
      <c r="R3287" t="s">
        <v>8315</v>
      </c>
      <c r="S3287" s="17">
        <f t="shared" si="210"/>
        <v>42762.942430555559</v>
      </c>
      <c r="T3287" s="17">
        <f t="shared" si="211"/>
        <v>42794.208333333328</v>
      </c>
      <c r="U3287">
        <f>MONTH(Table1[[#This Row],[Launched]])</f>
        <v>1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 s="8">
        <v>1471291782</v>
      </c>
      <c r="J3288">
        <v>1468699782</v>
      </c>
      <c r="K3288" t="b">
        <v>0</v>
      </c>
      <c r="L3288" s="10">
        <v>122</v>
      </c>
      <c r="M3288" t="b">
        <v>1</v>
      </c>
      <c r="N3288" t="s">
        <v>8269</v>
      </c>
      <c r="O3288" s="11">
        <f t="shared" si="208"/>
        <v>102</v>
      </c>
      <c r="P3288" s="12">
        <f t="shared" si="209"/>
        <v>125</v>
      </c>
      <c r="Q3288" s="14" t="s">
        <v>8314</v>
      </c>
      <c r="R3288" t="s">
        <v>8315</v>
      </c>
      <c r="S3288" s="17">
        <f t="shared" si="210"/>
        <v>42567.840069444443</v>
      </c>
      <c r="T3288" s="17">
        <f t="shared" si="211"/>
        <v>42597.840069444443</v>
      </c>
      <c r="U3288">
        <f>MONTH(Table1[[#This Row],[Launched]])</f>
        <v>7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 s="8">
        <v>1448733628</v>
      </c>
      <c r="J3289">
        <v>1446573628</v>
      </c>
      <c r="K3289" t="b">
        <v>0</v>
      </c>
      <c r="L3289" s="10">
        <v>34</v>
      </c>
      <c r="M3289" t="b">
        <v>1</v>
      </c>
      <c r="N3289" t="s">
        <v>8269</v>
      </c>
      <c r="O3289" s="11">
        <f t="shared" si="208"/>
        <v>100</v>
      </c>
      <c r="P3289" s="12">
        <f t="shared" si="209"/>
        <v>74</v>
      </c>
      <c r="Q3289" s="14" t="s">
        <v>8314</v>
      </c>
      <c r="R3289" t="s">
        <v>8315</v>
      </c>
      <c r="S3289" s="17">
        <f t="shared" si="210"/>
        <v>42311.750324074077</v>
      </c>
      <c r="T3289" s="17">
        <f t="shared" si="211"/>
        <v>42336.750324074077</v>
      </c>
      <c r="U3289">
        <f>MONTH(Table1[[#This Row],[Launched]])</f>
        <v>11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 s="8">
        <v>1466463600</v>
      </c>
      <c r="J3290">
        <v>1463337315</v>
      </c>
      <c r="K3290" t="b">
        <v>0</v>
      </c>
      <c r="L3290" s="10">
        <v>207</v>
      </c>
      <c r="M3290" t="b">
        <v>1</v>
      </c>
      <c r="N3290" t="s">
        <v>8269</v>
      </c>
      <c r="O3290" s="11">
        <f t="shared" si="208"/>
        <v>100</v>
      </c>
      <c r="P3290" s="12">
        <f t="shared" si="209"/>
        <v>48</v>
      </c>
      <c r="Q3290" s="14" t="s">
        <v>8314</v>
      </c>
      <c r="R3290" t="s">
        <v>8315</v>
      </c>
      <c r="S3290" s="17">
        <f t="shared" si="210"/>
        <v>42505.774479166663</v>
      </c>
      <c r="T3290" s="17">
        <f t="shared" si="211"/>
        <v>42541.958333333328</v>
      </c>
      <c r="U3290">
        <f>MONTH(Table1[[#This Row],[Launched]])</f>
        <v>5</v>
      </c>
    </row>
    <row r="3291" spans="1:21" ht="57.6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 s="8">
        <v>1487580602</v>
      </c>
      <c r="J3291">
        <v>1485161402</v>
      </c>
      <c r="K3291" t="b">
        <v>0</v>
      </c>
      <c r="L3291" s="10">
        <v>25</v>
      </c>
      <c r="M3291" t="b">
        <v>1</v>
      </c>
      <c r="N3291" t="s">
        <v>8269</v>
      </c>
      <c r="O3291" s="11">
        <f t="shared" si="208"/>
        <v>133</v>
      </c>
      <c r="P3291" s="12">
        <f t="shared" si="209"/>
        <v>27</v>
      </c>
      <c r="Q3291" s="14" t="s">
        <v>8314</v>
      </c>
      <c r="R3291" t="s">
        <v>8315</v>
      </c>
      <c r="S3291" s="17">
        <f t="shared" si="210"/>
        <v>42758.368078703701</v>
      </c>
      <c r="T3291" s="17">
        <f t="shared" si="211"/>
        <v>42786.368078703701</v>
      </c>
      <c r="U3291">
        <f>MONTH(Table1[[#This Row],[Launched]])</f>
        <v>1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 s="8">
        <v>1489234891</v>
      </c>
      <c r="J3292">
        <v>1486642891</v>
      </c>
      <c r="K3292" t="b">
        <v>0</v>
      </c>
      <c r="L3292" s="10">
        <v>72</v>
      </c>
      <c r="M3292" t="b">
        <v>1</v>
      </c>
      <c r="N3292" t="s">
        <v>8269</v>
      </c>
      <c r="O3292" s="11">
        <f t="shared" si="208"/>
        <v>121</v>
      </c>
      <c r="P3292" s="12">
        <f t="shared" si="209"/>
        <v>34</v>
      </c>
      <c r="Q3292" s="14" t="s">
        <v>8314</v>
      </c>
      <c r="R3292" t="s">
        <v>8315</v>
      </c>
      <c r="S3292" s="17">
        <f t="shared" si="210"/>
        <v>42775.51494212963</v>
      </c>
      <c r="T3292" s="17">
        <f t="shared" si="211"/>
        <v>42805.51494212963</v>
      </c>
      <c r="U3292">
        <f>MONTH(Table1[[#This Row],[Launched]])</f>
        <v>2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8218</v>
      </c>
      <c r="G3293" t="s">
        <v>8223</v>
      </c>
      <c r="H3293" t="s">
        <v>8245</v>
      </c>
      <c r="I3293" s="8">
        <v>1442462340</v>
      </c>
      <c r="J3293">
        <v>1439743900</v>
      </c>
      <c r="K3293" t="b">
        <v>0</v>
      </c>
      <c r="L3293" s="10">
        <v>14</v>
      </c>
      <c r="M3293" t="b">
        <v>1</v>
      </c>
      <c r="N3293" t="s">
        <v>8269</v>
      </c>
      <c r="O3293" s="11">
        <f t="shared" si="208"/>
        <v>114</v>
      </c>
      <c r="P3293" s="12">
        <f t="shared" si="209"/>
        <v>41</v>
      </c>
      <c r="Q3293" s="14" t="s">
        <v>8314</v>
      </c>
      <c r="R3293" t="s">
        <v>8315</v>
      </c>
      <c r="S3293" s="17">
        <f t="shared" si="210"/>
        <v>42232.702546296292</v>
      </c>
      <c r="T3293" s="17">
        <f t="shared" si="211"/>
        <v>42264.165972222225</v>
      </c>
      <c r="U3293">
        <f>MONTH(Table1[[#This Row],[Launched]])</f>
        <v>8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8218</v>
      </c>
      <c r="G3294" t="s">
        <v>8224</v>
      </c>
      <c r="H3294" t="s">
        <v>8246</v>
      </c>
      <c r="I3294" s="8">
        <v>1449257348</v>
      </c>
      <c r="J3294">
        <v>1444069748</v>
      </c>
      <c r="K3294" t="b">
        <v>0</v>
      </c>
      <c r="L3294" s="10">
        <v>15</v>
      </c>
      <c r="M3294" t="b">
        <v>1</v>
      </c>
      <c r="N3294" t="s">
        <v>8269</v>
      </c>
      <c r="O3294" s="11">
        <f t="shared" si="208"/>
        <v>286</v>
      </c>
      <c r="P3294" s="12">
        <f t="shared" si="209"/>
        <v>19</v>
      </c>
      <c r="Q3294" s="14" t="s">
        <v>8314</v>
      </c>
      <c r="R3294" t="s">
        <v>8315</v>
      </c>
      <c r="S3294" s="17">
        <f t="shared" si="210"/>
        <v>42282.770231481481</v>
      </c>
      <c r="T3294" s="17">
        <f t="shared" si="211"/>
        <v>42342.811898148153</v>
      </c>
      <c r="U3294">
        <f>MONTH(Table1[[#This Row],[Launched]])</f>
        <v>10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 s="8">
        <v>1488622352</v>
      </c>
      <c r="J3295">
        <v>1486030352</v>
      </c>
      <c r="K3295" t="b">
        <v>0</v>
      </c>
      <c r="L3295" s="10">
        <v>91</v>
      </c>
      <c r="M3295" t="b">
        <v>1</v>
      </c>
      <c r="N3295" t="s">
        <v>8269</v>
      </c>
      <c r="O3295" s="11">
        <f t="shared" si="208"/>
        <v>170</v>
      </c>
      <c r="P3295" s="12">
        <f t="shared" si="209"/>
        <v>84</v>
      </c>
      <c r="Q3295" s="14" t="s">
        <v>8314</v>
      </c>
      <c r="R3295" t="s">
        <v>8315</v>
      </c>
      <c r="S3295" s="17">
        <f t="shared" si="210"/>
        <v>42768.425370370373</v>
      </c>
      <c r="T3295" s="17">
        <f t="shared" si="211"/>
        <v>42798.425370370373</v>
      </c>
      <c r="U3295">
        <f>MONTH(Table1[[#This Row],[Launched]])</f>
        <v>2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8218</v>
      </c>
      <c r="G3296" t="s">
        <v>8224</v>
      </c>
      <c r="H3296" t="s">
        <v>8246</v>
      </c>
      <c r="I3296" s="8">
        <v>1434459554</v>
      </c>
      <c r="J3296">
        <v>1431867554</v>
      </c>
      <c r="K3296" t="b">
        <v>0</v>
      </c>
      <c r="L3296" s="10">
        <v>24</v>
      </c>
      <c r="M3296" t="b">
        <v>1</v>
      </c>
      <c r="N3296" t="s">
        <v>8269</v>
      </c>
      <c r="O3296" s="11">
        <f t="shared" si="208"/>
        <v>118</v>
      </c>
      <c r="P3296" s="12">
        <f t="shared" si="209"/>
        <v>30</v>
      </c>
      <c r="Q3296" s="14" t="s">
        <v>8314</v>
      </c>
      <c r="R3296" t="s">
        <v>8315</v>
      </c>
      <c r="S3296" s="17">
        <f t="shared" si="210"/>
        <v>42141.541134259256</v>
      </c>
      <c r="T3296" s="17">
        <f t="shared" si="211"/>
        <v>42171.541134259256</v>
      </c>
      <c r="U3296">
        <f>MONTH(Table1[[#This Row],[Launched]])</f>
        <v>5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 s="8">
        <v>1474886229</v>
      </c>
      <c r="J3297">
        <v>1472294229</v>
      </c>
      <c r="K3297" t="b">
        <v>0</v>
      </c>
      <c r="L3297" s="10">
        <v>27</v>
      </c>
      <c r="M3297" t="b">
        <v>1</v>
      </c>
      <c r="N3297" t="s">
        <v>8269</v>
      </c>
      <c r="O3297" s="11">
        <f t="shared" si="208"/>
        <v>103</v>
      </c>
      <c r="P3297" s="12">
        <f t="shared" si="209"/>
        <v>27</v>
      </c>
      <c r="Q3297" s="14" t="s">
        <v>8314</v>
      </c>
      <c r="R3297" t="s">
        <v>8315</v>
      </c>
      <c r="S3297" s="17">
        <f t="shared" si="210"/>
        <v>42609.442465277782</v>
      </c>
      <c r="T3297" s="17">
        <f t="shared" si="211"/>
        <v>42639.442465277782</v>
      </c>
      <c r="U3297">
        <f>MONTH(Table1[[#This Row],[Launched]])</f>
        <v>8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 s="8">
        <v>1448229600</v>
      </c>
      <c r="J3298">
        <v>1446401372</v>
      </c>
      <c r="K3298" t="b">
        <v>0</v>
      </c>
      <c r="L3298" s="10">
        <v>47</v>
      </c>
      <c r="M3298" t="b">
        <v>1</v>
      </c>
      <c r="N3298" t="s">
        <v>8269</v>
      </c>
      <c r="O3298" s="11">
        <f t="shared" si="208"/>
        <v>144</v>
      </c>
      <c r="P3298" s="12">
        <f t="shared" si="209"/>
        <v>46</v>
      </c>
      <c r="Q3298" s="14" t="s">
        <v>8314</v>
      </c>
      <c r="R3298" t="s">
        <v>8315</v>
      </c>
      <c r="S3298" s="17">
        <f t="shared" si="210"/>
        <v>42309.756620370375</v>
      </c>
      <c r="T3298" s="17">
        <f t="shared" si="211"/>
        <v>42330.916666666672</v>
      </c>
      <c r="U3298">
        <f>MONTH(Table1[[#This Row],[Launched]])</f>
        <v>11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 s="8">
        <v>1438037940</v>
      </c>
      <c r="J3299">
        <v>1436380256</v>
      </c>
      <c r="K3299" t="b">
        <v>0</v>
      </c>
      <c r="L3299" s="10">
        <v>44</v>
      </c>
      <c r="M3299" t="b">
        <v>1</v>
      </c>
      <c r="N3299" t="s">
        <v>8269</v>
      </c>
      <c r="O3299" s="11">
        <f t="shared" si="208"/>
        <v>100</v>
      </c>
      <c r="P3299" s="12">
        <f t="shared" si="209"/>
        <v>125</v>
      </c>
      <c r="Q3299" s="14" t="s">
        <v>8314</v>
      </c>
      <c r="R3299" t="s">
        <v>8315</v>
      </c>
      <c r="S3299" s="17">
        <f t="shared" si="210"/>
        <v>42193.771481481483</v>
      </c>
      <c r="T3299" s="17">
        <f t="shared" si="211"/>
        <v>42212.957638888889</v>
      </c>
      <c r="U3299">
        <f>MONTH(Table1[[#This Row],[Launched]])</f>
        <v>7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 s="8">
        <v>1442102400</v>
      </c>
      <c r="J3300">
        <v>1440370768</v>
      </c>
      <c r="K3300" t="b">
        <v>0</v>
      </c>
      <c r="L3300" s="10">
        <v>72</v>
      </c>
      <c r="M3300" t="b">
        <v>1</v>
      </c>
      <c r="N3300" t="s">
        <v>8269</v>
      </c>
      <c r="O3300" s="11">
        <f t="shared" si="208"/>
        <v>102</v>
      </c>
      <c r="P3300" s="12">
        <f t="shared" si="209"/>
        <v>141</v>
      </c>
      <c r="Q3300" s="14" t="s">
        <v>8314</v>
      </c>
      <c r="R3300" t="s">
        <v>8315</v>
      </c>
      <c r="S3300" s="17">
        <f t="shared" si="210"/>
        <v>42239.957962962959</v>
      </c>
      <c r="T3300" s="17">
        <f t="shared" si="211"/>
        <v>42260</v>
      </c>
      <c r="U3300">
        <f>MONTH(Table1[[#This Row],[Launched]])</f>
        <v>8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 s="8">
        <v>1444860063</v>
      </c>
      <c r="J3301">
        <v>1442268063</v>
      </c>
      <c r="K3301" t="b">
        <v>0</v>
      </c>
      <c r="L3301" s="10">
        <v>63</v>
      </c>
      <c r="M3301" t="b">
        <v>1</v>
      </c>
      <c r="N3301" t="s">
        <v>8269</v>
      </c>
      <c r="O3301" s="11">
        <f t="shared" si="208"/>
        <v>116</v>
      </c>
      <c r="P3301" s="12">
        <f t="shared" si="209"/>
        <v>55</v>
      </c>
      <c r="Q3301" s="14" t="s">
        <v>8314</v>
      </c>
      <c r="R3301" t="s">
        <v>8315</v>
      </c>
      <c r="S3301" s="17">
        <f t="shared" si="210"/>
        <v>42261.917395833334</v>
      </c>
      <c r="T3301" s="17">
        <f t="shared" si="211"/>
        <v>42291.917395833334</v>
      </c>
      <c r="U3301">
        <f>MONTH(Table1[[#This Row],[Launched]])</f>
        <v>9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 s="8">
        <v>1430329862</v>
      </c>
      <c r="J3302">
        <v>1428515462</v>
      </c>
      <c r="K3302" t="b">
        <v>0</v>
      </c>
      <c r="L3302" s="10">
        <v>88</v>
      </c>
      <c r="M3302" t="b">
        <v>1</v>
      </c>
      <c r="N3302" t="s">
        <v>8269</v>
      </c>
      <c r="O3302" s="11">
        <f t="shared" si="208"/>
        <v>136</v>
      </c>
      <c r="P3302" s="12">
        <f t="shared" si="209"/>
        <v>46</v>
      </c>
      <c r="Q3302" s="14" t="s">
        <v>8314</v>
      </c>
      <c r="R3302" t="s">
        <v>8315</v>
      </c>
      <c r="S3302" s="17">
        <f t="shared" si="210"/>
        <v>42102.743773148148</v>
      </c>
      <c r="T3302" s="17">
        <f t="shared" si="211"/>
        <v>42123.743773148148</v>
      </c>
      <c r="U3302">
        <f>MONTH(Table1[[#This Row],[Launched]])</f>
        <v>4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 s="8">
        <v>1470034740</v>
      </c>
      <c r="J3303">
        <v>1466185176</v>
      </c>
      <c r="K3303" t="b">
        <v>0</v>
      </c>
      <c r="L3303" s="10">
        <v>70</v>
      </c>
      <c r="M3303" t="b">
        <v>1</v>
      </c>
      <c r="N3303" t="s">
        <v>8269</v>
      </c>
      <c r="O3303" s="11">
        <f t="shared" si="208"/>
        <v>133</v>
      </c>
      <c r="P3303" s="12">
        <f t="shared" si="209"/>
        <v>57</v>
      </c>
      <c r="Q3303" s="14" t="s">
        <v>8314</v>
      </c>
      <c r="R3303" t="s">
        <v>8315</v>
      </c>
      <c r="S3303" s="17">
        <f t="shared" si="210"/>
        <v>42538.73583333334</v>
      </c>
      <c r="T3303" s="17">
        <f t="shared" si="211"/>
        <v>42583.290972222225</v>
      </c>
      <c r="U3303">
        <f>MONTH(Table1[[#This Row],[Launched]])</f>
        <v>6</v>
      </c>
    </row>
    <row r="3304" spans="1:21" ht="15.6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 s="8">
        <v>1481099176</v>
      </c>
      <c r="J3304">
        <v>1478507176</v>
      </c>
      <c r="K3304" t="b">
        <v>0</v>
      </c>
      <c r="L3304" s="10">
        <v>50</v>
      </c>
      <c r="M3304" t="b">
        <v>1</v>
      </c>
      <c r="N3304" t="s">
        <v>8269</v>
      </c>
      <c r="O3304" s="11">
        <f t="shared" si="208"/>
        <v>103</v>
      </c>
      <c r="P3304" s="12">
        <f t="shared" si="209"/>
        <v>174</v>
      </c>
      <c r="Q3304" s="14" t="s">
        <v>8314</v>
      </c>
      <c r="R3304" t="s">
        <v>8315</v>
      </c>
      <c r="S3304" s="17">
        <f t="shared" si="210"/>
        <v>42681.35157407407</v>
      </c>
      <c r="T3304" s="17">
        <f t="shared" si="211"/>
        <v>42711.35157407407</v>
      </c>
      <c r="U3304">
        <f>MONTH(Table1[[#This Row],[Launched]])</f>
        <v>11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 s="8">
        <v>1427553484</v>
      </c>
      <c r="J3305">
        <v>1424533084</v>
      </c>
      <c r="K3305" t="b">
        <v>0</v>
      </c>
      <c r="L3305" s="10">
        <v>35</v>
      </c>
      <c r="M3305" t="b">
        <v>1</v>
      </c>
      <c r="N3305" t="s">
        <v>8269</v>
      </c>
      <c r="O3305" s="11">
        <f t="shared" si="208"/>
        <v>116</v>
      </c>
      <c r="P3305" s="12">
        <f t="shared" si="209"/>
        <v>60</v>
      </c>
      <c r="Q3305" s="14" t="s">
        <v>8314</v>
      </c>
      <c r="R3305" t="s">
        <v>8315</v>
      </c>
      <c r="S3305" s="17">
        <f t="shared" si="210"/>
        <v>42056.65143518518</v>
      </c>
      <c r="T3305" s="17">
        <f t="shared" si="211"/>
        <v>42091.609768518523</v>
      </c>
      <c r="U3305">
        <f>MONTH(Table1[[#This Row],[Launched]])</f>
        <v>2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 s="8">
        <v>1482418752</v>
      </c>
      <c r="J3306">
        <v>1479826752</v>
      </c>
      <c r="K3306" t="b">
        <v>0</v>
      </c>
      <c r="L3306" s="10">
        <v>175</v>
      </c>
      <c r="M3306" t="b">
        <v>1</v>
      </c>
      <c r="N3306" t="s">
        <v>8269</v>
      </c>
      <c r="O3306" s="11">
        <f t="shared" si="208"/>
        <v>105</v>
      </c>
      <c r="P3306" s="12">
        <f t="shared" si="209"/>
        <v>90</v>
      </c>
      <c r="Q3306" s="14" t="s">
        <v>8314</v>
      </c>
      <c r="R3306" t="s">
        <v>8315</v>
      </c>
      <c r="S3306" s="17">
        <f t="shared" si="210"/>
        <v>42696.624444444446</v>
      </c>
      <c r="T3306" s="17">
        <f t="shared" si="211"/>
        <v>42726.624444444446</v>
      </c>
      <c r="U3306">
        <f>MONTH(Table1[[#This Row],[Launched]])</f>
        <v>11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 s="8">
        <v>1438374748</v>
      </c>
      <c r="J3307">
        <v>1435782748</v>
      </c>
      <c r="K3307" t="b">
        <v>0</v>
      </c>
      <c r="L3307" s="10">
        <v>20</v>
      </c>
      <c r="M3307" t="b">
        <v>1</v>
      </c>
      <c r="N3307" t="s">
        <v>8269</v>
      </c>
      <c r="O3307" s="11">
        <f t="shared" si="208"/>
        <v>102</v>
      </c>
      <c r="P3307" s="12">
        <f t="shared" si="209"/>
        <v>204</v>
      </c>
      <c r="Q3307" s="14" t="s">
        <v>8314</v>
      </c>
      <c r="R3307" t="s">
        <v>8315</v>
      </c>
      <c r="S3307" s="17">
        <f t="shared" si="210"/>
        <v>42186.855879629627</v>
      </c>
      <c r="T3307" s="17">
        <f t="shared" si="211"/>
        <v>42216.855879629627</v>
      </c>
      <c r="U3307">
        <f>MONTH(Table1[[#This Row],[Launched]])</f>
        <v>7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 s="8">
        <v>1465527600</v>
      </c>
      <c r="J3308">
        <v>1462252542</v>
      </c>
      <c r="K3308" t="b">
        <v>0</v>
      </c>
      <c r="L3308" s="10">
        <v>54</v>
      </c>
      <c r="M3308" t="b">
        <v>1</v>
      </c>
      <c r="N3308" t="s">
        <v>8269</v>
      </c>
      <c r="O3308" s="11">
        <f t="shared" si="208"/>
        <v>175</v>
      </c>
      <c r="P3308" s="12">
        <f t="shared" si="209"/>
        <v>49</v>
      </c>
      <c r="Q3308" s="14" t="s">
        <v>8314</v>
      </c>
      <c r="R3308" t="s">
        <v>8315</v>
      </c>
      <c r="S3308" s="17">
        <f t="shared" si="210"/>
        <v>42493.219236111108</v>
      </c>
      <c r="T3308" s="17">
        <f t="shared" si="211"/>
        <v>42531.125</v>
      </c>
      <c r="U3308">
        <f>MONTH(Table1[[#This Row],[Launched]])</f>
        <v>5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 s="8">
        <v>1463275339</v>
      </c>
      <c r="J3309">
        <v>1460683339</v>
      </c>
      <c r="K3309" t="b">
        <v>0</v>
      </c>
      <c r="L3309" s="10">
        <v>20</v>
      </c>
      <c r="M3309" t="b">
        <v>1</v>
      </c>
      <c r="N3309" t="s">
        <v>8269</v>
      </c>
      <c r="O3309" s="11">
        <f t="shared" si="208"/>
        <v>107</v>
      </c>
      <c r="P3309" s="12">
        <f t="shared" si="209"/>
        <v>53</v>
      </c>
      <c r="Q3309" s="14" t="s">
        <v>8314</v>
      </c>
      <c r="R3309" t="s">
        <v>8315</v>
      </c>
      <c r="S3309" s="17">
        <f t="shared" si="210"/>
        <v>42475.057164351849</v>
      </c>
      <c r="T3309" s="17">
        <f t="shared" si="211"/>
        <v>42505.057164351849</v>
      </c>
      <c r="U3309">
        <f>MONTH(Table1[[#This Row],[Launched]])</f>
        <v>4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 s="8">
        <v>1460581365</v>
      </c>
      <c r="J3310">
        <v>1458766965</v>
      </c>
      <c r="K3310" t="b">
        <v>0</v>
      </c>
      <c r="L3310" s="10">
        <v>57</v>
      </c>
      <c r="M3310" t="b">
        <v>1</v>
      </c>
      <c r="N3310" t="s">
        <v>8269</v>
      </c>
      <c r="O3310" s="11">
        <f t="shared" si="208"/>
        <v>122</v>
      </c>
      <c r="P3310" s="12">
        <f t="shared" si="209"/>
        <v>75</v>
      </c>
      <c r="Q3310" s="14" t="s">
        <v>8314</v>
      </c>
      <c r="R3310" t="s">
        <v>8315</v>
      </c>
      <c r="S3310" s="17">
        <f t="shared" si="210"/>
        <v>42452.876909722225</v>
      </c>
      <c r="T3310" s="17">
        <f t="shared" si="211"/>
        <v>42473.876909722225</v>
      </c>
      <c r="U3310">
        <f>MONTH(Table1[[#This Row],[Launched]])</f>
        <v>3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8218</v>
      </c>
      <c r="G3311" t="s">
        <v>8224</v>
      </c>
      <c r="H3311" t="s">
        <v>8246</v>
      </c>
      <c r="I3311" s="8">
        <v>1476632178</v>
      </c>
      <c r="J3311">
        <v>1473953778</v>
      </c>
      <c r="K3311" t="b">
        <v>0</v>
      </c>
      <c r="L3311" s="10">
        <v>31</v>
      </c>
      <c r="M3311" t="b">
        <v>1</v>
      </c>
      <c r="N3311" t="s">
        <v>8269</v>
      </c>
      <c r="O3311" s="11">
        <f t="shared" si="208"/>
        <v>159</v>
      </c>
      <c r="P3311" s="12">
        <f t="shared" si="209"/>
        <v>18</v>
      </c>
      <c r="Q3311" s="14" t="s">
        <v>8314</v>
      </c>
      <c r="R3311" t="s">
        <v>8315</v>
      </c>
      <c r="S3311" s="17">
        <f t="shared" si="210"/>
        <v>42628.650208333333</v>
      </c>
      <c r="T3311" s="17">
        <f t="shared" si="211"/>
        <v>42659.650208333333</v>
      </c>
      <c r="U3311">
        <f>MONTH(Table1[[#This Row],[Launched]])</f>
        <v>9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 s="8">
        <v>1444169825</v>
      </c>
      <c r="J3312">
        <v>1441577825</v>
      </c>
      <c r="K3312" t="b">
        <v>0</v>
      </c>
      <c r="L3312" s="10">
        <v>31</v>
      </c>
      <c r="M3312" t="b">
        <v>1</v>
      </c>
      <c r="N3312" t="s">
        <v>8269</v>
      </c>
      <c r="O3312" s="11">
        <f t="shared" si="208"/>
        <v>100</v>
      </c>
      <c r="P3312" s="12">
        <f t="shared" si="209"/>
        <v>210</v>
      </c>
      <c r="Q3312" s="14" t="s">
        <v>8314</v>
      </c>
      <c r="R3312" t="s">
        <v>8315</v>
      </c>
      <c r="S3312" s="17">
        <f t="shared" si="210"/>
        <v>42253.928530092591</v>
      </c>
      <c r="T3312" s="17">
        <f t="shared" si="211"/>
        <v>42283.928530092591</v>
      </c>
      <c r="U3312">
        <f>MONTH(Table1[[#This Row],[Launched]])</f>
        <v>9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 s="8">
        <v>1445065210</v>
      </c>
      <c r="J3313">
        <v>1442473210</v>
      </c>
      <c r="K3313" t="b">
        <v>0</v>
      </c>
      <c r="L3313" s="10">
        <v>45</v>
      </c>
      <c r="M3313" t="b">
        <v>1</v>
      </c>
      <c r="N3313" t="s">
        <v>8269</v>
      </c>
      <c r="O3313" s="11">
        <f t="shared" si="208"/>
        <v>110</v>
      </c>
      <c r="P3313" s="12">
        <f t="shared" si="209"/>
        <v>61</v>
      </c>
      <c r="Q3313" s="14" t="s">
        <v>8314</v>
      </c>
      <c r="R3313" t="s">
        <v>8315</v>
      </c>
      <c r="S3313" s="17">
        <f t="shared" si="210"/>
        <v>42264.29178240741</v>
      </c>
      <c r="T3313" s="17">
        <f t="shared" si="211"/>
        <v>42294.29178240741</v>
      </c>
      <c r="U3313">
        <f>MONTH(Table1[[#This Row],[Launched]])</f>
        <v>9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 s="8">
        <v>1478901600</v>
      </c>
      <c r="J3314">
        <v>1477077946</v>
      </c>
      <c r="K3314" t="b">
        <v>0</v>
      </c>
      <c r="L3314" s="10">
        <v>41</v>
      </c>
      <c r="M3314" t="b">
        <v>1</v>
      </c>
      <c r="N3314" t="s">
        <v>8269</v>
      </c>
      <c r="O3314" s="11">
        <f t="shared" si="208"/>
        <v>100</v>
      </c>
      <c r="P3314" s="12">
        <f t="shared" si="209"/>
        <v>61</v>
      </c>
      <c r="Q3314" s="14" t="s">
        <v>8314</v>
      </c>
      <c r="R3314" t="s">
        <v>8315</v>
      </c>
      <c r="S3314" s="17">
        <f t="shared" si="210"/>
        <v>42664.809560185182</v>
      </c>
      <c r="T3314" s="17">
        <f t="shared" si="211"/>
        <v>42685.916666666672</v>
      </c>
      <c r="U3314">
        <f>MONTH(Table1[[#This Row],[Launched]])</f>
        <v>10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 s="8">
        <v>1453856400</v>
      </c>
      <c r="J3315">
        <v>1452664317</v>
      </c>
      <c r="K3315" t="b">
        <v>0</v>
      </c>
      <c r="L3315" s="10">
        <v>29</v>
      </c>
      <c r="M3315" t="b">
        <v>1</v>
      </c>
      <c r="N3315" t="s">
        <v>8269</v>
      </c>
      <c r="O3315" s="11">
        <f t="shared" si="208"/>
        <v>116</v>
      </c>
      <c r="P3315" s="12">
        <f t="shared" si="209"/>
        <v>80</v>
      </c>
      <c r="Q3315" s="14" t="s">
        <v>8314</v>
      </c>
      <c r="R3315" t="s">
        <v>8315</v>
      </c>
      <c r="S3315" s="17">
        <f t="shared" si="210"/>
        <v>42382.244409722218</v>
      </c>
      <c r="T3315" s="17">
        <f t="shared" si="211"/>
        <v>42396.041666666672</v>
      </c>
      <c r="U3315">
        <f>MONTH(Table1[[#This Row],[Launched]])</f>
        <v>1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8218</v>
      </c>
      <c r="G3316" t="s">
        <v>8224</v>
      </c>
      <c r="H3316" t="s">
        <v>8246</v>
      </c>
      <c r="I3316" s="8">
        <v>1431115500</v>
      </c>
      <c r="J3316">
        <v>1428733511</v>
      </c>
      <c r="K3316" t="b">
        <v>0</v>
      </c>
      <c r="L3316" s="10">
        <v>58</v>
      </c>
      <c r="M3316" t="b">
        <v>1</v>
      </c>
      <c r="N3316" t="s">
        <v>8269</v>
      </c>
      <c r="O3316" s="11">
        <f t="shared" si="208"/>
        <v>211</v>
      </c>
      <c r="P3316" s="12">
        <f t="shared" si="209"/>
        <v>29</v>
      </c>
      <c r="Q3316" s="14" t="s">
        <v>8314</v>
      </c>
      <c r="R3316" t="s">
        <v>8315</v>
      </c>
      <c r="S3316" s="17">
        <f t="shared" si="210"/>
        <v>42105.267488425925</v>
      </c>
      <c r="T3316" s="17">
        <f t="shared" si="211"/>
        <v>42132.836805555555</v>
      </c>
      <c r="U3316">
        <f>MONTH(Table1[[#This Row],[Launched]])</f>
        <v>4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 s="8">
        <v>1462519041</v>
      </c>
      <c r="J3317">
        <v>1459927041</v>
      </c>
      <c r="K3317" t="b">
        <v>0</v>
      </c>
      <c r="L3317" s="10">
        <v>89</v>
      </c>
      <c r="M3317" t="b">
        <v>1</v>
      </c>
      <c r="N3317" t="s">
        <v>8269</v>
      </c>
      <c r="O3317" s="11">
        <f t="shared" si="208"/>
        <v>110</v>
      </c>
      <c r="P3317" s="12">
        <f t="shared" si="209"/>
        <v>49</v>
      </c>
      <c r="Q3317" s="14" t="s">
        <v>8314</v>
      </c>
      <c r="R3317" t="s">
        <v>8315</v>
      </c>
      <c r="S3317" s="17">
        <f t="shared" si="210"/>
        <v>42466.303715277783</v>
      </c>
      <c r="T3317" s="17">
        <f t="shared" si="211"/>
        <v>42496.303715277783</v>
      </c>
      <c r="U3317">
        <f>MONTH(Table1[[#This Row],[Launched]])</f>
        <v>4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 s="8">
        <v>1407506040</v>
      </c>
      <c r="J3318">
        <v>1404680075</v>
      </c>
      <c r="K3318" t="b">
        <v>0</v>
      </c>
      <c r="L3318" s="10">
        <v>125</v>
      </c>
      <c r="M3318" t="b">
        <v>1</v>
      </c>
      <c r="N3318" t="s">
        <v>8269</v>
      </c>
      <c r="O3318" s="11">
        <f t="shared" si="208"/>
        <v>100</v>
      </c>
      <c r="P3318" s="12">
        <f t="shared" si="209"/>
        <v>94</v>
      </c>
      <c r="Q3318" s="14" t="s">
        <v>8314</v>
      </c>
      <c r="R3318" t="s">
        <v>8315</v>
      </c>
      <c r="S3318" s="17">
        <f t="shared" si="210"/>
        <v>41826.871238425927</v>
      </c>
      <c r="T3318" s="17">
        <f t="shared" si="211"/>
        <v>41859.57916666667</v>
      </c>
      <c r="U3318">
        <f>MONTH(Table1[[#This Row],[Launched]])</f>
        <v>7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 s="8">
        <v>1465347424</v>
      </c>
      <c r="J3319">
        <v>1462755424</v>
      </c>
      <c r="K3319" t="b">
        <v>0</v>
      </c>
      <c r="L3319" s="10">
        <v>18</v>
      </c>
      <c r="M3319" t="b">
        <v>1</v>
      </c>
      <c r="N3319" t="s">
        <v>8269</v>
      </c>
      <c r="O3319" s="11">
        <f t="shared" si="208"/>
        <v>106</v>
      </c>
      <c r="P3319" s="12">
        <f t="shared" si="209"/>
        <v>62</v>
      </c>
      <c r="Q3319" s="14" t="s">
        <v>8314</v>
      </c>
      <c r="R3319" t="s">
        <v>8315</v>
      </c>
      <c r="S3319" s="17">
        <f t="shared" si="210"/>
        <v>42499.039629629624</v>
      </c>
      <c r="T3319" s="17">
        <f t="shared" si="211"/>
        <v>42529.039629629624</v>
      </c>
      <c r="U3319">
        <f>MONTH(Table1[[#This Row],[Launched]])</f>
        <v>5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 s="8">
        <v>1460341800</v>
      </c>
      <c r="J3320">
        <v>1456902893</v>
      </c>
      <c r="K3320" t="b">
        <v>0</v>
      </c>
      <c r="L3320" s="10">
        <v>32</v>
      </c>
      <c r="M3320" t="b">
        <v>1</v>
      </c>
      <c r="N3320" t="s">
        <v>8269</v>
      </c>
      <c r="O3320" s="11">
        <f t="shared" si="208"/>
        <v>126</v>
      </c>
      <c r="P3320" s="12">
        <f t="shared" si="209"/>
        <v>79</v>
      </c>
      <c r="Q3320" s="14" t="s">
        <v>8314</v>
      </c>
      <c r="R3320" t="s">
        <v>8315</v>
      </c>
      <c r="S3320" s="17">
        <f t="shared" si="210"/>
        <v>42431.302002314813</v>
      </c>
      <c r="T3320" s="17">
        <f t="shared" si="211"/>
        <v>42471.104166666672</v>
      </c>
      <c r="U3320">
        <f>MONTH(Table1[[#This Row],[Launched]])</f>
        <v>3</v>
      </c>
    </row>
    <row r="3321" spans="1:21" ht="57.6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8218</v>
      </c>
      <c r="G3321" t="s">
        <v>8224</v>
      </c>
      <c r="H3321" t="s">
        <v>8246</v>
      </c>
      <c r="I3321" s="8">
        <v>1422712986</v>
      </c>
      <c r="J3321">
        <v>1418824986</v>
      </c>
      <c r="K3321" t="b">
        <v>0</v>
      </c>
      <c r="L3321" s="10">
        <v>16</v>
      </c>
      <c r="M3321" t="b">
        <v>1</v>
      </c>
      <c r="N3321" t="s">
        <v>8269</v>
      </c>
      <c r="O3321" s="11">
        <f t="shared" si="208"/>
        <v>108</v>
      </c>
      <c r="P3321" s="12">
        <f t="shared" si="209"/>
        <v>34</v>
      </c>
      <c r="Q3321" s="14" t="s">
        <v>8314</v>
      </c>
      <c r="R3321" t="s">
        <v>8315</v>
      </c>
      <c r="S3321" s="17">
        <f t="shared" si="210"/>
        <v>41990.585486111115</v>
      </c>
      <c r="T3321" s="17">
        <f t="shared" si="211"/>
        <v>42035.585486111115</v>
      </c>
      <c r="U3321">
        <f>MONTH(Table1[[#This Row],[Launched]])</f>
        <v>12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 s="8">
        <v>1466557557</v>
      </c>
      <c r="J3322">
        <v>1463965557</v>
      </c>
      <c r="K3322" t="b">
        <v>0</v>
      </c>
      <c r="L3322" s="10">
        <v>38</v>
      </c>
      <c r="M3322" t="b">
        <v>1</v>
      </c>
      <c r="N3322" t="s">
        <v>8269</v>
      </c>
      <c r="O3322" s="11">
        <f t="shared" si="208"/>
        <v>101</v>
      </c>
      <c r="P3322" s="12">
        <f t="shared" si="209"/>
        <v>66</v>
      </c>
      <c r="Q3322" s="14" t="s">
        <v>8314</v>
      </c>
      <c r="R3322" t="s">
        <v>8315</v>
      </c>
      <c r="S3322" s="17">
        <f t="shared" si="210"/>
        <v>42513.045798611114</v>
      </c>
      <c r="T3322" s="17">
        <f t="shared" si="211"/>
        <v>42543.045798611114</v>
      </c>
      <c r="U3322">
        <f>MONTH(Table1[[#This Row],[Launched]])</f>
        <v>5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8218</v>
      </c>
      <c r="G3323" t="s">
        <v>8223</v>
      </c>
      <c r="H3323" t="s">
        <v>8245</v>
      </c>
      <c r="I3323" s="8">
        <v>1413431940</v>
      </c>
      <c r="J3323">
        <v>1412216665</v>
      </c>
      <c r="K3323" t="b">
        <v>0</v>
      </c>
      <c r="L3323" s="10">
        <v>15</v>
      </c>
      <c r="M3323" t="b">
        <v>1</v>
      </c>
      <c r="N3323" t="s">
        <v>8269</v>
      </c>
      <c r="O3323" s="11">
        <f t="shared" si="208"/>
        <v>107</v>
      </c>
      <c r="P3323" s="12">
        <f t="shared" si="209"/>
        <v>36</v>
      </c>
      <c r="Q3323" s="14" t="s">
        <v>8314</v>
      </c>
      <c r="R3323" t="s">
        <v>8315</v>
      </c>
      <c r="S3323" s="17">
        <f t="shared" si="210"/>
        <v>41914.100289351853</v>
      </c>
      <c r="T3323" s="17">
        <f t="shared" si="211"/>
        <v>41928.165972222225</v>
      </c>
      <c r="U3323">
        <f>MONTH(Table1[[#This Row],[Launched]])</f>
        <v>10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 s="8">
        <v>1466567700</v>
      </c>
      <c r="J3324">
        <v>1464653696</v>
      </c>
      <c r="K3324" t="b">
        <v>0</v>
      </c>
      <c r="L3324" s="10">
        <v>23</v>
      </c>
      <c r="M3324" t="b">
        <v>1</v>
      </c>
      <c r="N3324" t="s">
        <v>8269</v>
      </c>
      <c r="O3324" s="11">
        <f t="shared" si="208"/>
        <v>102</v>
      </c>
      <c r="P3324" s="12">
        <f t="shared" si="209"/>
        <v>146</v>
      </c>
      <c r="Q3324" s="14" t="s">
        <v>8314</v>
      </c>
      <c r="R3324" t="s">
        <v>8315</v>
      </c>
      <c r="S3324" s="17">
        <f t="shared" si="210"/>
        <v>42521.010370370372</v>
      </c>
      <c r="T3324" s="17">
        <f t="shared" si="211"/>
        <v>42543.163194444445</v>
      </c>
      <c r="U3324">
        <f>MONTH(Table1[[#This Row],[Launched]])</f>
        <v>5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 s="8">
        <v>1474793208</v>
      </c>
      <c r="J3325">
        <v>1472201208</v>
      </c>
      <c r="K3325" t="b">
        <v>0</v>
      </c>
      <c r="L3325" s="10">
        <v>49</v>
      </c>
      <c r="M3325" t="b">
        <v>1</v>
      </c>
      <c r="N3325" t="s">
        <v>8269</v>
      </c>
      <c r="O3325" s="11">
        <f t="shared" si="208"/>
        <v>126</v>
      </c>
      <c r="P3325" s="12">
        <f t="shared" si="209"/>
        <v>26</v>
      </c>
      <c r="Q3325" s="14" t="s">
        <v>8314</v>
      </c>
      <c r="R3325" t="s">
        <v>8315</v>
      </c>
      <c r="S3325" s="17">
        <f t="shared" si="210"/>
        <v>42608.36583333333</v>
      </c>
      <c r="T3325" s="17">
        <f t="shared" si="211"/>
        <v>42638.36583333333</v>
      </c>
      <c r="U3325">
        <f>MONTH(Table1[[#This Row],[Launched]])</f>
        <v>8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 s="8">
        <v>1465135190</v>
      </c>
      <c r="J3326">
        <v>1463925590</v>
      </c>
      <c r="K3326" t="b">
        <v>0</v>
      </c>
      <c r="L3326" s="10">
        <v>10</v>
      </c>
      <c r="M3326" t="b">
        <v>1</v>
      </c>
      <c r="N3326" t="s">
        <v>8269</v>
      </c>
      <c r="O3326" s="11">
        <f t="shared" si="208"/>
        <v>102</v>
      </c>
      <c r="P3326" s="12">
        <f t="shared" si="209"/>
        <v>153</v>
      </c>
      <c r="Q3326" s="14" t="s">
        <v>8314</v>
      </c>
      <c r="R3326" t="s">
        <v>8315</v>
      </c>
      <c r="S3326" s="17">
        <f t="shared" si="210"/>
        <v>42512.58321759259</v>
      </c>
      <c r="T3326" s="17">
        <f t="shared" si="211"/>
        <v>42526.58321759259</v>
      </c>
      <c r="U3326">
        <f>MONTH(Table1[[#This Row],[Launched]])</f>
        <v>5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8218</v>
      </c>
      <c r="G3327" t="s">
        <v>8224</v>
      </c>
      <c r="H3327" t="s">
        <v>8246</v>
      </c>
      <c r="I3327" s="8">
        <v>1428256277</v>
      </c>
      <c r="J3327">
        <v>1425235877</v>
      </c>
      <c r="K3327" t="b">
        <v>0</v>
      </c>
      <c r="L3327" s="10">
        <v>15</v>
      </c>
      <c r="M3327" t="b">
        <v>1</v>
      </c>
      <c r="N3327" t="s">
        <v>8269</v>
      </c>
      <c r="O3327" s="11">
        <f t="shared" si="208"/>
        <v>113</v>
      </c>
      <c r="P3327" s="12">
        <f t="shared" si="209"/>
        <v>30</v>
      </c>
      <c r="Q3327" s="14" t="s">
        <v>8314</v>
      </c>
      <c r="R3327" t="s">
        <v>8315</v>
      </c>
      <c r="S3327" s="17">
        <f t="shared" si="210"/>
        <v>42064.785613425927</v>
      </c>
      <c r="T3327" s="17">
        <f t="shared" si="211"/>
        <v>42099.743946759263</v>
      </c>
      <c r="U3327">
        <f>MONTH(Table1[[#This Row],[Launched]])</f>
        <v>3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 s="8">
        <v>1425830905</v>
      </c>
      <c r="J3328">
        <v>1423242505</v>
      </c>
      <c r="K3328" t="b">
        <v>0</v>
      </c>
      <c r="L3328" s="10">
        <v>57</v>
      </c>
      <c r="M3328" t="b">
        <v>1</v>
      </c>
      <c r="N3328" t="s">
        <v>8269</v>
      </c>
      <c r="O3328" s="11">
        <f t="shared" si="208"/>
        <v>101</v>
      </c>
      <c r="P3328" s="12">
        <f t="shared" si="209"/>
        <v>142</v>
      </c>
      <c r="Q3328" s="14" t="s">
        <v>8314</v>
      </c>
      <c r="R3328" t="s">
        <v>8315</v>
      </c>
      <c r="S3328" s="17">
        <f t="shared" si="210"/>
        <v>42041.714178240742</v>
      </c>
      <c r="T3328" s="17">
        <f t="shared" si="211"/>
        <v>42071.67251157407</v>
      </c>
      <c r="U3328">
        <f>MONTH(Table1[[#This Row],[Launched]])</f>
        <v>2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8218</v>
      </c>
      <c r="G3329" t="s">
        <v>8224</v>
      </c>
      <c r="H3329" t="s">
        <v>8246</v>
      </c>
      <c r="I3329" s="8">
        <v>1462697966</v>
      </c>
      <c r="J3329">
        <v>1460105966</v>
      </c>
      <c r="K3329" t="b">
        <v>0</v>
      </c>
      <c r="L3329" s="10">
        <v>33</v>
      </c>
      <c r="M3329" t="b">
        <v>1</v>
      </c>
      <c r="N3329" t="s">
        <v>8269</v>
      </c>
      <c r="O3329" s="11">
        <f t="shared" si="208"/>
        <v>101</v>
      </c>
      <c r="P3329" s="12">
        <f t="shared" si="209"/>
        <v>25</v>
      </c>
      <c r="Q3329" s="14" t="s">
        <v>8314</v>
      </c>
      <c r="R3329" t="s">
        <v>8315</v>
      </c>
      <c r="S3329" s="17">
        <f t="shared" si="210"/>
        <v>42468.374606481477</v>
      </c>
      <c r="T3329" s="17">
        <f t="shared" si="211"/>
        <v>42498.374606481477</v>
      </c>
      <c r="U3329">
        <f>MONTH(Table1[[#This Row],[Launched]])</f>
        <v>4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 s="8">
        <v>1404522000</v>
      </c>
      <c r="J3330">
        <v>1404308883</v>
      </c>
      <c r="K3330" t="b">
        <v>0</v>
      </c>
      <c r="L3330" s="10">
        <v>9</v>
      </c>
      <c r="M3330" t="b">
        <v>1</v>
      </c>
      <c r="N3330" t="s">
        <v>8269</v>
      </c>
      <c r="O3330" s="11">
        <f t="shared" ref="O3330:O3393" si="212">ROUND(E3330/D3330*100,0)</f>
        <v>146</v>
      </c>
      <c r="P3330" s="12">
        <f t="shared" si="209"/>
        <v>293</v>
      </c>
      <c r="Q3330" s="14" t="s">
        <v>8314</v>
      </c>
      <c r="R3330" t="s">
        <v>8315</v>
      </c>
      <c r="S3330" s="17">
        <f t="shared" si="210"/>
        <v>41822.57503472222</v>
      </c>
      <c r="T3330" s="17">
        <f t="shared" si="211"/>
        <v>41825.041666666664</v>
      </c>
      <c r="U3330">
        <f>MONTH(Table1[[#This Row],[Launched]])</f>
        <v>7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 s="8">
        <v>1406502000</v>
      </c>
      <c r="J3331">
        <v>1405583108</v>
      </c>
      <c r="K3331" t="b">
        <v>0</v>
      </c>
      <c r="L3331" s="10">
        <v>26</v>
      </c>
      <c r="M3331" t="b">
        <v>1</v>
      </c>
      <c r="N3331" t="s">
        <v>8269</v>
      </c>
      <c r="O3331" s="11">
        <f t="shared" si="212"/>
        <v>117</v>
      </c>
      <c r="P3331" s="12">
        <f t="shared" ref="P3331:P3394" si="213">IFERROR(ROUND(E3331/L3331,),"No Backers")</f>
        <v>45</v>
      </c>
      <c r="Q3331" s="14" t="s">
        <v>8314</v>
      </c>
      <c r="R3331" t="s">
        <v>8315</v>
      </c>
      <c r="S3331" s="17">
        <f t="shared" ref="S3331:S3394" si="214">(((J3331/60)/60)/24)+DATE(1970,1,1)</f>
        <v>41837.323009259257</v>
      </c>
      <c r="T3331" s="17">
        <f t="shared" ref="T3331:T3394" si="215">(((I3331/60)/60)/24)+DATE(1970,1,1)</f>
        <v>41847.958333333336</v>
      </c>
      <c r="U3331">
        <f>MONTH(Table1[[#This Row],[Launched]])</f>
        <v>7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 s="8">
        <v>1427919468</v>
      </c>
      <c r="J3332">
        <v>1425331068</v>
      </c>
      <c r="K3332" t="b">
        <v>0</v>
      </c>
      <c r="L3332" s="10">
        <v>69</v>
      </c>
      <c r="M3332" t="b">
        <v>1</v>
      </c>
      <c r="N3332" t="s">
        <v>8269</v>
      </c>
      <c r="O3332" s="11">
        <f t="shared" si="212"/>
        <v>106</v>
      </c>
      <c r="P3332" s="12">
        <f t="shared" si="213"/>
        <v>23</v>
      </c>
      <c r="Q3332" s="14" t="s">
        <v>8314</v>
      </c>
      <c r="R3332" t="s">
        <v>8315</v>
      </c>
      <c r="S3332" s="17">
        <f t="shared" si="214"/>
        <v>42065.887361111112</v>
      </c>
      <c r="T3332" s="17">
        <f t="shared" si="215"/>
        <v>42095.845694444448</v>
      </c>
      <c r="U3332">
        <f>MONTH(Table1[[#This Row],[Launched]])</f>
        <v>3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 s="8">
        <v>1444149886</v>
      </c>
      <c r="J3333">
        <v>1441125886</v>
      </c>
      <c r="K3333" t="b">
        <v>0</v>
      </c>
      <c r="L3333" s="10">
        <v>65</v>
      </c>
      <c r="M3333" t="b">
        <v>1</v>
      </c>
      <c r="N3333" t="s">
        <v>8269</v>
      </c>
      <c r="O3333" s="11">
        <f t="shared" si="212"/>
        <v>105</v>
      </c>
      <c r="P3333" s="12">
        <f t="shared" si="213"/>
        <v>80</v>
      </c>
      <c r="Q3333" s="14" t="s">
        <v>8314</v>
      </c>
      <c r="R3333" t="s">
        <v>8315</v>
      </c>
      <c r="S3333" s="17">
        <f t="shared" si="214"/>
        <v>42248.697754629626</v>
      </c>
      <c r="T3333" s="17">
        <f t="shared" si="215"/>
        <v>42283.697754629626</v>
      </c>
      <c r="U3333">
        <f>MONTH(Table1[[#This Row],[Launched]])</f>
        <v>9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 s="8">
        <v>1405802330</v>
      </c>
      <c r="J3334">
        <v>1403210330</v>
      </c>
      <c r="K3334" t="b">
        <v>0</v>
      </c>
      <c r="L3334" s="10">
        <v>83</v>
      </c>
      <c r="M3334" t="b">
        <v>1</v>
      </c>
      <c r="N3334" t="s">
        <v>8269</v>
      </c>
      <c r="O3334" s="11">
        <f t="shared" si="212"/>
        <v>100</v>
      </c>
      <c r="P3334" s="12">
        <f t="shared" si="213"/>
        <v>72</v>
      </c>
      <c r="Q3334" s="14" t="s">
        <v>8314</v>
      </c>
      <c r="R3334" t="s">
        <v>8315</v>
      </c>
      <c r="S3334" s="17">
        <f t="shared" si="214"/>
        <v>41809.860300925924</v>
      </c>
      <c r="T3334" s="17">
        <f t="shared" si="215"/>
        <v>41839.860300925924</v>
      </c>
      <c r="U3334">
        <f>MONTH(Table1[[#This Row],[Launched]])</f>
        <v>6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 s="8">
        <v>1434384880</v>
      </c>
      <c r="J3335">
        <v>1432484080</v>
      </c>
      <c r="K3335" t="b">
        <v>0</v>
      </c>
      <c r="L3335" s="10">
        <v>111</v>
      </c>
      <c r="M3335" t="b">
        <v>1</v>
      </c>
      <c r="N3335" t="s">
        <v>8269</v>
      </c>
      <c r="O3335" s="11">
        <f t="shared" si="212"/>
        <v>105</v>
      </c>
      <c r="P3335" s="12">
        <f t="shared" si="213"/>
        <v>33</v>
      </c>
      <c r="Q3335" s="14" t="s">
        <v>8314</v>
      </c>
      <c r="R3335" t="s">
        <v>8315</v>
      </c>
      <c r="S3335" s="17">
        <f t="shared" si="214"/>
        <v>42148.676851851851</v>
      </c>
      <c r="T3335" s="17">
        <f t="shared" si="215"/>
        <v>42170.676851851851</v>
      </c>
      <c r="U3335">
        <f>MONTH(Table1[[#This Row],[Launched]])</f>
        <v>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 s="8">
        <v>1438259422</v>
      </c>
      <c r="J3336">
        <v>1435667422</v>
      </c>
      <c r="K3336" t="b">
        <v>0</v>
      </c>
      <c r="L3336" s="10">
        <v>46</v>
      </c>
      <c r="M3336" t="b">
        <v>1</v>
      </c>
      <c r="N3336" t="s">
        <v>8269</v>
      </c>
      <c r="O3336" s="11">
        <f t="shared" si="212"/>
        <v>139</v>
      </c>
      <c r="P3336" s="12">
        <f t="shared" si="213"/>
        <v>117</v>
      </c>
      <c r="Q3336" s="14" t="s">
        <v>8314</v>
      </c>
      <c r="R3336" t="s">
        <v>8315</v>
      </c>
      <c r="S3336" s="17">
        <f t="shared" si="214"/>
        <v>42185.521087962959</v>
      </c>
      <c r="T3336" s="17">
        <f t="shared" si="215"/>
        <v>42215.521087962959</v>
      </c>
      <c r="U3336">
        <f>MONTH(Table1[[#This Row],[Launched]])</f>
        <v>6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 s="8">
        <v>1407106800</v>
      </c>
      <c r="J3337">
        <v>1404749446</v>
      </c>
      <c r="K3337" t="b">
        <v>0</v>
      </c>
      <c r="L3337" s="10">
        <v>63</v>
      </c>
      <c r="M3337" t="b">
        <v>1</v>
      </c>
      <c r="N3337" t="s">
        <v>8269</v>
      </c>
      <c r="O3337" s="11">
        <f t="shared" si="212"/>
        <v>100</v>
      </c>
      <c r="P3337" s="12">
        <f t="shared" si="213"/>
        <v>80</v>
      </c>
      <c r="Q3337" s="14" t="s">
        <v>8314</v>
      </c>
      <c r="R3337" t="s">
        <v>8315</v>
      </c>
      <c r="S3337" s="17">
        <f t="shared" si="214"/>
        <v>41827.674143518518</v>
      </c>
      <c r="T3337" s="17">
        <f t="shared" si="215"/>
        <v>41854.958333333336</v>
      </c>
      <c r="U3337">
        <f>MONTH(Table1[[#This Row],[Launched]])</f>
        <v>7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8218</v>
      </c>
      <c r="G3338" t="s">
        <v>8224</v>
      </c>
      <c r="H3338" t="s">
        <v>8246</v>
      </c>
      <c r="I3338" s="8">
        <v>1459845246</v>
      </c>
      <c r="J3338">
        <v>1457429646</v>
      </c>
      <c r="K3338" t="b">
        <v>0</v>
      </c>
      <c r="L3338" s="10">
        <v>9</v>
      </c>
      <c r="M3338" t="b">
        <v>1</v>
      </c>
      <c r="N3338" t="s">
        <v>8269</v>
      </c>
      <c r="O3338" s="11">
        <f t="shared" si="212"/>
        <v>100</v>
      </c>
      <c r="P3338" s="12">
        <f t="shared" si="213"/>
        <v>28</v>
      </c>
      <c r="Q3338" s="14" t="s">
        <v>8314</v>
      </c>
      <c r="R3338" t="s">
        <v>8315</v>
      </c>
      <c r="S3338" s="17">
        <f t="shared" si="214"/>
        <v>42437.398680555561</v>
      </c>
      <c r="T3338" s="17">
        <f t="shared" si="215"/>
        <v>42465.35701388889</v>
      </c>
      <c r="U3338">
        <f>MONTH(Table1[[#This Row],[Launched]])</f>
        <v>3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 s="8">
        <v>1412974800</v>
      </c>
      <c r="J3339">
        <v>1411109167</v>
      </c>
      <c r="K3339" t="b">
        <v>0</v>
      </c>
      <c r="L3339" s="10">
        <v>34</v>
      </c>
      <c r="M3339" t="b">
        <v>1</v>
      </c>
      <c r="N3339" t="s">
        <v>8269</v>
      </c>
      <c r="O3339" s="11">
        <f t="shared" si="212"/>
        <v>110</v>
      </c>
      <c r="P3339" s="12">
        <f t="shared" si="213"/>
        <v>81</v>
      </c>
      <c r="Q3339" s="14" t="s">
        <v>8314</v>
      </c>
      <c r="R3339" t="s">
        <v>8315</v>
      </c>
      <c r="S3339" s="17">
        <f t="shared" si="214"/>
        <v>41901.282025462962</v>
      </c>
      <c r="T3339" s="17">
        <f t="shared" si="215"/>
        <v>41922.875</v>
      </c>
      <c r="U3339">
        <f>MONTH(Table1[[#This Row],[Launched]])</f>
        <v>9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 s="8">
        <v>1487944080</v>
      </c>
      <c r="J3340">
        <v>1486129680</v>
      </c>
      <c r="K3340" t="b">
        <v>0</v>
      </c>
      <c r="L3340" s="10">
        <v>112</v>
      </c>
      <c r="M3340" t="b">
        <v>1</v>
      </c>
      <c r="N3340" t="s">
        <v>8269</v>
      </c>
      <c r="O3340" s="11">
        <f t="shared" si="212"/>
        <v>102</v>
      </c>
      <c r="P3340" s="12">
        <f t="shared" si="213"/>
        <v>137</v>
      </c>
      <c r="Q3340" s="14" t="s">
        <v>8314</v>
      </c>
      <c r="R3340" t="s">
        <v>8315</v>
      </c>
      <c r="S3340" s="17">
        <f t="shared" si="214"/>
        <v>42769.574999999997</v>
      </c>
      <c r="T3340" s="17">
        <f t="shared" si="215"/>
        <v>42790.574999999997</v>
      </c>
      <c r="U3340">
        <f>MONTH(Table1[[#This Row],[Launched]])</f>
        <v>2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 s="8">
        <v>1469721518</v>
      </c>
      <c r="J3341">
        <v>1467129518</v>
      </c>
      <c r="K3341" t="b">
        <v>0</v>
      </c>
      <c r="L3341" s="10">
        <v>47</v>
      </c>
      <c r="M3341" t="b">
        <v>1</v>
      </c>
      <c r="N3341" t="s">
        <v>8269</v>
      </c>
      <c r="O3341" s="11">
        <f t="shared" si="212"/>
        <v>104</v>
      </c>
      <c r="P3341" s="12">
        <f t="shared" si="213"/>
        <v>178</v>
      </c>
      <c r="Q3341" s="14" t="s">
        <v>8314</v>
      </c>
      <c r="R3341" t="s">
        <v>8315</v>
      </c>
      <c r="S3341" s="17">
        <f t="shared" si="214"/>
        <v>42549.665717592594</v>
      </c>
      <c r="T3341" s="17">
        <f t="shared" si="215"/>
        <v>42579.665717592594</v>
      </c>
      <c r="U3341">
        <f>MONTH(Table1[[#This Row],[Launched]])</f>
        <v>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 s="8">
        <v>1481066554</v>
      </c>
      <c r="J3342">
        <v>1478906554</v>
      </c>
      <c r="K3342" t="b">
        <v>0</v>
      </c>
      <c r="L3342" s="10">
        <v>38</v>
      </c>
      <c r="M3342" t="b">
        <v>1</v>
      </c>
      <c r="N3342" t="s">
        <v>8269</v>
      </c>
      <c r="O3342" s="11">
        <f t="shared" si="212"/>
        <v>138</v>
      </c>
      <c r="P3342" s="12">
        <f t="shared" si="213"/>
        <v>109</v>
      </c>
      <c r="Q3342" s="14" t="s">
        <v>8314</v>
      </c>
      <c r="R3342" t="s">
        <v>8315</v>
      </c>
      <c r="S3342" s="17">
        <f t="shared" si="214"/>
        <v>42685.974004629628</v>
      </c>
      <c r="T3342" s="17">
        <f t="shared" si="215"/>
        <v>42710.974004629628</v>
      </c>
      <c r="U3342">
        <f>MONTH(Table1[[#This Row],[Launched]])</f>
        <v>11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 s="8">
        <v>1465750800</v>
      </c>
      <c r="J3343">
        <v>1463771421</v>
      </c>
      <c r="K3343" t="b">
        <v>0</v>
      </c>
      <c r="L3343" s="10">
        <v>28</v>
      </c>
      <c r="M3343" t="b">
        <v>1</v>
      </c>
      <c r="N3343" t="s">
        <v>8269</v>
      </c>
      <c r="O3343" s="11">
        <f t="shared" si="212"/>
        <v>100</v>
      </c>
      <c r="P3343" s="12">
        <f t="shared" si="213"/>
        <v>120</v>
      </c>
      <c r="Q3343" s="14" t="s">
        <v>8314</v>
      </c>
      <c r="R3343" t="s">
        <v>8315</v>
      </c>
      <c r="S3343" s="17">
        <f t="shared" si="214"/>
        <v>42510.798854166671</v>
      </c>
      <c r="T3343" s="17">
        <f t="shared" si="215"/>
        <v>42533.708333333328</v>
      </c>
      <c r="U3343">
        <f>MONTH(Table1[[#This Row],[Launched]])</f>
        <v>5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 s="8">
        <v>1427864340</v>
      </c>
      <c r="J3344">
        <v>1425020810</v>
      </c>
      <c r="K3344" t="b">
        <v>0</v>
      </c>
      <c r="L3344" s="10">
        <v>78</v>
      </c>
      <c r="M3344" t="b">
        <v>1</v>
      </c>
      <c r="N3344" t="s">
        <v>8269</v>
      </c>
      <c r="O3344" s="11">
        <f t="shared" si="212"/>
        <v>102</v>
      </c>
      <c r="P3344" s="12">
        <f t="shared" si="213"/>
        <v>78</v>
      </c>
      <c r="Q3344" s="14" t="s">
        <v>8314</v>
      </c>
      <c r="R3344" t="s">
        <v>8315</v>
      </c>
      <c r="S3344" s="17">
        <f t="shared" si="214"/>
        <v>42062.296412037031</v>
      </c>
      <c r="T3344" s="17">
        <f t="shared" si="215"/>
        <v>42095.207638888889</v>
      </c>
      <c r="U3344">
        <f>MONTH(Table1[[#This Row],[Launched]])</f>
        <v>2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8218</v>
      </c>
      <c r="G3345" t="s">
        <v>8224</v>
      </c>
      <c r="H3345" t="s">
        <v>8246</v>
      </c>
      <c r="I3345" s="8">
        <v>1460553480</v>
      </c>
      <c r="J3345">
        <v>1458770384</v>
      </c>
      <c r="K3345" t="b">
        <v>0</v>
      </c>
      <c r="L3345" s="10">
        <v>23</v>
      </c>
      <c r="M3345" t="b">
        <v>1</v>
      </c>
      <c r="N3345" t="s">
        <v>8269</v>
      </c>
      <c r="O3345" s="11">
        <f t="shared" si="212"/>
        <v>171</v>
      </c>
      <c r="P3345" s="12">
        <f t="shared" si="213"/>
        <v>52</v>
      </c>
      <c r="Q3345" s="14" t="s">
        <v>8314</v>
      </c>
      <c r="R3345" t="s">
        <v>8315</v>
      </c>
      <c r="S3345" s="17">
        <f t="shared" si="214"/>
        <v>42452.916481481487</v>
      </c>
      <c r="T3345" s="17">
        <f t="shared" si="215"/>
        <v>42473.554166666669</v>
      </c>
      <c r="U3345">
        <f>MONTH(Table1[[#This Row],[Launched]])</f>
        <v>3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 s="8">
        <v>1409374093</v>
      </c>
      <c r="J3346">
        <v>1406782093</v>
      </c>
      <c r="K3346" t="b">
        <v>0</v>
      </c>
      <c r="L3346" s="10">
        <v>40</v>
      </c>
      <c r="M3346" t="b">
        <v>1</v>
      </c>
      <c r="N3346" t="s">
        <v>8269</v>
      </c>
      <c r="O3346" s="11">
        <f t="shared" si="212"/>
        <v>101</v>
      </c>
      <c r="P3346" s="12">
        <f t="shared" si="213"/>
        <v>114</v>
      </c>
      <c r="Q3346" s="14" t="s">
        <v>8314</v>
      </c>
      <c r="R3346" t="s">
        <v>8315</v>
      </c>
      <c r="S3346" s="17">
        <f t="shared" si="214"/>
        <v>41851.200150462959</v>
      </c>
      <c r="T3346" s="17">
        <f t="shared" si="215"/>
        <v>41881.200150462959</v>
      </c>
      <c r="U3346">
        <f>MONTH(Table1[[#This Row],[Launched]])</f>
        <v>7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8218</v>
      </c>
      <c r="G3347" t="s">
        <v>8223</v>
      </c>
      <c r="H3347" t="s">
        <v>8245</v>
      </c>
      <c r="I3347" s="8">
        <v>1429317420</v>
      </c>
      <c r="J3347">
        <v>1424226768</v>
      </c>
      <c r="K3347" t="b">
        <v>0</v>
      </c>
      <c r="L3347" s="10">
        <v>13</v>
      </c>
      <c r="M3347" t="b">
        <v>1</v>
      </c>
      <c r="N3347" t="s">
        <v>8269</v>
      </c>
      <c r="O3347" s="11">
        <f t="shared" si="212"/>
        <v>130</v>
      </c>
      <c r="P3347" s="12">
        <f t="shared" si="213"/>
        <v>50</v>
      </c>
      <c r="Q3347" s="14" t="s">
        <v>8314</v>
      </c>
      <c r="R3347" t="s">
        <v>8315</v>
      </c>
      <c r="S3347" s="17">
        <f t="shared" si="214"/>
        <v>42053.106111111112</v>
      </c>
      <c r="T3347" s="17">
        <f t="shared" si="215"/>
        <v>42112.025694444441</v>
      </c>
      <c r="U3347">
        <f>MONTH(Table1[[#This Row],[Launched]])</f>
        <v>2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 s="8">
        <v>1424910910</v>
      </c>
      <c r="J3348">
        <v>1424306110</v>
      </c>
      <c r="K3348" t="b">
        <v>0</v>
      </c>
      <c r="L3348" s="10">
        <v>18</v>
      </c>
      <c r="M3348" t="b">
        <v>1</v>
      </c>
      <c r="N3348" t="s">
        <v>8269</v>
      </c>
      <c r="O3348" s="11">
        <f t="shared" si="212"/>
        <v>110</v>
      </c>
      <c r="P3348" s="12">
        <f t="shared" si="213"/>
        <v>92</v>
      </c>
      <c r="Q3348" s="14" t="s">
        <v>8314</v>
      </c>
      <c r="R3348" t="s">
        <v>8315</v>
      </c>
      <c r="S3348" s="17">
        <f t="shared" si="214"/>
        <v>42054.024421296301</v>
      </c>
      <c r="T3348" s="17">
        <f t="shared" si="215"/>
        <v>42061.024421296301</v>
      </c>
      <c r="U3348">
        <f>MONTH(Table1[[#This Row],[Launched]])</f>
        <v>2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 s="8">
        <v>1462741200</v>
      </c>
      <c r="J3349">
        <v>1461503654</v>
      </c>
      <c r="K3349" t="b">
        <v>0</v>
      </c>
      <c r="L3349" s="10">
        <v>22</v>
      </c>
      <c r="M3349" t="b">
        <v>1</v>
      </c>
      <c r="N3349" t="s">
        <v>8269</v>
      </c>
      <c r="O3349" s="11">
        <f t="shared" si="212"/>
        <v>119</v>
      </c>
      <c r="P3349" s="12">
        <f t="shared" si="213"/>
        <v>109</v>
      </c>
      <c r="Q3349" s="14" t="s">
        <v>8314</v>
      </c>
      <c r="R3349" t="s">
        <v>8315</v>
      </c>
      <c r="S3349" s="17">
        <f t="shared" si="214"/>
        <v>42484.551550925928</v>
      </c>
      <c r="T3349" s="17">
        <f t="shared" si="215"/>
        <v>42498.875</v>
      </c>
      <c r="U3349">
        <f>MONTH(Table1[[#This Row],[Launched]])</f>
        <v>4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 s="8">
        <v>1461988740</v>
      </c>
      <c r="J3350">
        <v>1459949080</v>
      </c>
      <c r="K3350" t="b">
        <v>0</v>
      </c>
      <c r="L3350" s="10">
        <v>79</v>
      </c>
      <c r="M3350" t="b">
        <v>1</v>
      </c>
      <c r="N3350" t="s">
        <v>8269</v>
      </c>
      <c r="O3350" s="11">
        <f t="shared" si="212"/>
        <v>100</v>
      </c>
      <c r="P3350" s="12">
        <f t="shared" si="213"/>
        <v>70</v>
      </c>
      <c r="Q3350" s="14" t="s">
        <v>8314</v>
      </c>
      <c r="R3350" t="s">
        <v>8315</v>
      </c>
      <c r="S3350" s="17">
        <f t="shared" si="214"/>
        <v>42466.558796296296</v>
      </c>
      <c r="T3350" s="17">
        <f t="shared" si="215"/>
        <v>42490.165972222225</v>
      </c>
      <c r="U3350">
        <f>MONTH(Table1[[#This Row],[Launched]])</f>
        <v>4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 s="8">
        <v>1465837200</v>
      </c>
      <c r="J3351">
        <v>1463971172</v>
      </c>
      <c r="K3351" t="b">
        <v>0</v>
      </c>
      <c r="L3351" s="10">
        <v>14</v>
      </c>
      <c r="M3351" t="b">
        <v>1</v>
      </c>
      <c r="N3351" t="s">
        <v>8269</v>
      </c>
      <c r="O3351" s="11">
        <f t="shared" si="212"/>
        <v>153</v>
      </c>
      <c r="P3351" s="12">
        <f t="shared" si="213"/>
        <v>110</v>
      </c>
      <c r="Q3351" s="14" t="s">
        <v>8314</v>
      </c>
      <c r="R3351" t="s">
        <v>8315</v>
      </c>
      <c r="S3351" s="17">
        <f t="shared" si="214"/>
        <v>42513.110787037032</v>
      </c>
      <c r="T3351" s="17">
        <f t="shared" si="215"/>
        <v>42534.708333333328</v>
      </c>
      <c r="U3351">
        <f>MONTH(Table1[[#This Row],[Launched]])</f>
        <v>5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 s="8">
        <v>1448838000</v>
      </c>
      <c r="J3352">
        <v>1445791811</v>
      </c>
      <c r="K3352" t="b">
        <v>0</v>
      </c>
      <c r="L3352" s="10">
        <v>51</v>
      </c>
      <c r="M3352" t="b">
        <v>1</v>
      </c>
      <c r="N3352" t="s">
        <v>8269</v>
      </c>
      <c r="O3352" s="11">
        <f t="shared" si="212"/>
        <v>104</v>
      </c>
      <c r="P3352" s="12">
        <f t="shared" si="213"/>
        <v>72</v>
      </c>
      <c r="Q3352" s="14" t="s">
        <v>8314</v>
      </c>
      <c r="R3352" t="s">
        <v>8315</v>
      </c>
      <c r="S3352" s="17">
        <f t="shared" si="214"/>
        <v>42302.701516203699</v>
      </c>
      <c r="T3352" s="17">
        <f t="shared" si="215"/>
        <v>42337.958333333328</v>
      </c>
      <c r="U3352">
        <f>MONTH(Table1[[#This Row],[Launched]])</f>
        <v>10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 s="8">
        <v>1406113200</v>
      </c>
      <c r="J3353">
        <v>1402910965</v>
      </c>
      <c r="K3353" t="b">
        <v>0</v>
      </c>
      <c r="L3353" s="10">
        <v>54</v>
      </c>
      <c r="M3353" t="b">
        <v>1</v>
      </c>
      <c r="N3353" t="s">
        <v>8269</v>
      </c>
      <c r="O3353" s="11">
        <f t="shared" si="212"/>
        <v>101</v>
      </c>
      <c r="P3353" s="12">
        <f t="shared" si="213"/>
        <v>94</v>
      </c>
      <c r="Q3353" s="14" t="s">
        <v>8314</v>
      </c>
      <c r="R3353" t="s">
        <v>8315</v>
      </c>
      <c r="S3353" s="17">
        <f t="shared" si="214"/>
        <v>41806.395428240743</v>
      </c>
      <c r="T3353" s="17">
        <f t="shared" si="215"/>
        <v>41843.458333333336</v>
      </c>
      <c r="U3353">
        <f>MONTH(Table1[[#This Row],[Launched]])</f>
        <v>6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 s="8">
        <v>1467414000</v>
      </c>
      <c r="J3354">
        <v>1462492178</v>
      </c>
      <c r="K3354" t="b">
        <v>0</v>
      </c>
      <c r="L3354" s="10">
        <v>70</v>
      </c>
      <c r="M3354" t="b">
        <v>1</v>
      </c>
      <c r="N3354" t="s">
        <v>8269</v>
      </c>
      <c r="O3354" s="11">
        <f t="shared" si="212"/>
        <v>108</v>
      </c>
      <c r="P3354" s="12">
        <f t="shared" si="213"/>
        <v>77</v>
      </c>
      <c r="Q3354" s="14" t="s">
        <v>8314</v>
      </c>
      <c r="R3354" t="s">
        <v>8315</v>
      </c>
      <c r="S3354" s="17">
        <f t="shared" si="214"/>
        <v>42495.992800925931</v>
      </c>
      <c r="T3354" s="17">
        <f t="shared" si="215"/>
        <v>42552.958333333328</v>
      </c>
      <c r="U3354">
        <f>MONTH(Table1[[#This Row],[Launched]])</f>
        <v>5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8218</v>
      </c>
      <c r="G3355" t="s">
        <v>8224</v>
      </c>
      <c r="H3355" t="s">
        <v>8246</v>
      </c>
      <c r="I3355" s="8">
        <v>1462230000</v>
      </c>
      <c r="J3355">
        <v>1461061350</v>
      </c>
      <c r="K3355" t="b">
        <v>0</v>
      </c>
      <c r="L3355" s="10">
        <v>44</v>
      </c>
      <c r="M3355" t="b">
        <v>1</v>
      </c>
      <c r="N3355" t="s">
        <v>8269</v>
      </c>
      <c r="O3355" s="11">
        <f t="shared" si="212"/>
        <v>315</v>
      </c>
      <c r="P3355" s="12">
        <f t="shared" si="213"/>
        <v>36</v>
      </c>
      <c r="Q3355" s="14" t="s">
        <v>8314</v>
      </c>
      <c r="R3355" t="s">
        <v>8315</v>
      </c>
      <c r="S3355" s="17">
        <f t="shared" si="214"/>
        <v>42479.432291666672</v>
      </c>
      <c r="T3355" s="17">
        <f t="shared" si="215"/>
        <v>42492.958333333328</v>
      </c>
      <c r="U3355">
        <f>MONTH(Table1[[#This Row],[Launched]])</f>
        <v>4</v>
      </c>
    </row>
    <row r="3356" spans="1:21" ht="43.2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 s="8">
        <v>1446091260</v>
      </c>
      <c r="J3356">
        <v>1443029206</v>
      </c>
      <c r="K3356" t="b">
        <v>0</v>
      </c>
      <c r="L3356" s="10">
        <v>55</v>
      </c>
      <c r="M3356" t="b">
        <v>1</v>
      </c>
      <c r="N3356" t="s">
        <v>8269</v>
      </c>
      <c r="O3356" s="11">
        <f t="shared" si="212"/>
        <v>102</v>
      </c>
      <c r="P3356" s="12">
        <f t="shared" si="213"/>
        <v>56</v>
      </c>
      <c r="Q3356" s="14" t="s">
        <v>8314</v>
      </c>
      <c r="R3356" t="s">
        <v>8315</v>
      </c>
      <c r="S3356" s="17">
        <f t="shared" si="214"/>
        <v>42270.7269212963</v>
      </c>
      <c r="T3356" s="17">
        <f t="shared" si="215"/>
        <v>42306.167361111111</v>
      </c>
      <c r="U3356">
        <f>MONTH(Table1[[#This Row],[Launched]])</f>
        <v>9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 s="8">
        <v>1462879020</v>
      </c>
      <c r="J3357">
        <v>1461941527</v>
      </c>
      <c r="K3357" t="b">
        <v>0</v>
      </c>
      <c r="L3357" s="10">
        <v>15</v>
      </c>
      <c r="M3357" t="b">
        <v>1</v>
      </c>
      <c r="N3357" t="s">
        <v>8269</v>
      </c>
      <c r="O3357" s="11">
        <f t="shared" si="212"/>
        <v>126</v>
      </c>
      <c r="P3357" s="12">
        <f t="shared" si="213"/>
        <v>147</v>
      </c>
      <c r="Q3357" s="14" t="s">
        <v>8314</v>
      </c>
      <c r="R3357" t="s">
        <v>8315</v>
      </c>
      <c r="S3357" s="17">
        <f t="shared" si="214"/>
        <v>42489.619525462964</v>
      </c>
      <c r="T3357" s="17">
        <f t="shared" si="215"/>
        <v>42500.470138888893</v>
      </c>
      <c r="U3357">
        <f>MONTH(Table1[[#This Row],[Launched]])</f>
        <v>4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 s="8">
        <v>1468611272</v>
      </c>
      <c r="J3358">
        <v>1466019272</v>
      </c>
      <c r="K3358" t="b">
        <v>0</v>
      </c>
      <c r="L3358" s="10">
        <v>27</v>
      </c>
      <c r="M3358" t="b">
        <v>1</v>
      </c>
      <c r="N3358" t="s">
        <v>8269</v>
      </c>
      <c r="O3358" s="11">
        <f t="shared" si="212"/>
        <v>101</v>
      </c>
      <c r="P3358" s="12">
        <f t="shared" si="213"/>
        <v>56</v>
      </c>
      <c r="Q3358" s="14" t="s">
        <v>8314</v>
      </c>
      <c r="R3358" t="s">
        <v>8315</v>
      </c>
      <c r="S3358" s="17">
        <f t="shared" si="214"/>
        <v>42536.815648148149</v>
      </c>
      <c r="T3358" s="17">
        <f t="shared" si="215"/>
        <v>42566.815648148149</v>
      </c>
      <c r="U3358">
        <f>MONTH(Table1[[#This Row],[Launched]])</f>
        <v>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 s="8">
        <v>1406887310</v>
      </c>
      <c r="J3359">
        <v>1404295310</v>
      </c>
      <c r="K3359" t="b">
        <v>0</v>
      </c>
      <c r="L3359" s="10">
        <v>21</v>
      </c>
      <c r="M3359" t="b">
        <v>1</v>
      </c>
      <c r="N3359" t="s">
        <v>8269</v>
      </c>
      <c r="O3359" s="11">
        <f t="shared" si="212"/>
        <v>101</v>
      </c>
      <c r="P3359" s="12">
        <f t="shared" si="213"/>
        <v>96</v>
      </c>
      <c r="Q3359" s="14" t="s">
        <v>8314</v>
      </c>
      <c r="R3359" t="s">
        <v>8315</v>
      </c>
      <c r="S3359" s="17">
        <f t="shared" si="214"/>
        <v>41822.417939814812</v>
      </c>
      <c r="T3359" s="17">
        <f t="shared" si="215"/>
        <v>41852.417939814812</v>
      </c>
      <c r="U3359">
        <f>MONTH(Table1[[#This Row],[Launched]])</f>
        <v>7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 s="8">
        <v>1416385679</v>
      </c>
      <c r="J3360">
        <v>1413790079</v>
      </c>
      <c r="K3360" t="b">
        <v>0</v>
      </c>
      <c r="L3360" s="10">
        <v>162</v>
      </c>
      <c r="M3360" t="b">
        <v>1</v>
      </c>
      <c r="N3360" t="s">
        <v>8269</v>
      </c>
      <c r="O3360" s="11">
        <f t="shared" si="212"/>
        <v>103</v>
      </c>
      <c r="P3360" s="12">
        <f t="shared" si="213"/>
        <v>64</v>
      </c>
      <c r="Q3360" s="14" t="s">
        <v>8314</v>
      </c>
      <c r="R3360" t="s">
        <v>8315</v>
      </c>
      <c r="S3360" s="17">
        <f t="shared" si="214"/>
        <v>41932.311099537037</v>
      </c>
      <c r="T3360" s="17">
        <f t="shared" si="215"/>
        <v>41962.352766203709</v>
      </c>
      <c r="U3360">
        <f>MONTH(Table1[[#This Row],[Launched]])</f>
        <v>10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 s="8">
        <v>1487985734</v>
      </c>
      <c r="J3361">
        <v>1484097734</v>
      </c>
      <c r="K3361" t="b">
        <v>0</v>
      </c>
      <c r="L3361" s="10">
        <v>23</v>
      </c>
      <c r="M3361" t="b">
        <v>1</v>
      </c>
      <c r="N3361" t="s">
        <v>8269</v>
      </c>
      <c r="O3361" s="11">
        <f t="shared" si="212"/>
        <v>106</v>
      </c>
      <c r="P3361" s="12">
        <f t="shared" si="213"/>
        <v>185</v>
      </c>
      <c r="Q3361" s="14" t="s">
        <v>8314</v>
      </c>
      <c r="R3361" t="s">
        <v>8315</v>
      </c>
      <c r="S3361" s="17">
        <f t="shared" si="214"/>
        <v>42746.057106481487</v>
      </c>
      <c r="T3361" s="17">
        <f t="shared" si="215"/>
        <v>42791.057106481487</v>
      </c>
      <c r="U3361">
        <f>MONTH(Table1[[#This Row],[Launched]])</f>
        <v>1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 s="8">
        <v>1481731140</v>
      </c>
      <c r="J3362">
        <v>1479866343</v>
      </c>
      <c r="K3362" t="b">
        <v>0</v>
      </c>
      <c r="L3362" s="10">
        <v>72</v>
      </c>
      <c r="M3362" t="b">
        <v>1</v>
      </c>
      <c r="N3362" t="s">
        <v>8269</v>
      </c>
      <c r="O3362" s="11">
        <f t="shared" si="212"/>
        <v>101</v>
      </c>
      <c r="P3362" s="12">
        <f t="shared" si="213"/>
        <v>127</v>
      </c>
      <c r="Q3362" s="14" t="s">
        <v>8314</v>
      </c>
      <c r="R3362" t="s">
        <v>8315</v>
      </c>
      <c r="S3362" s="17">
        <f t="shared" si="214"/>
        <v>42697.082673611112</v>
      </c>
      <c r="T3362" s="17">
        <f t="shared" si="215"/>
        <v>42718.665972222225</v>
      </c>
      <c r="U3362">
        <f>MONTH(Table1[[#This Row],[Launched]])</f>
        <v>11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 s="8">
        <v>1409587140</v>
      </c>
      <c r="J3363">
        <v>1408062990</v>
      </c>
      <c r="K3363" t="b">
        <v>0</v>
      </c>
      <c r="L3363" s="10">
        <v>68</v>
      </c>
      <c r="M3363" t="b">
        <v>1</v>
      </c>
      <c r="N3363" t="s">
        <v>8269</v>
      </c>
      <c r="O3363" s="11">
        <f t="shared" si="212"/>
        <v>113</v>
      </c>
      <c r="P3363" s="12">
        <f t="shared" si="213"/>
        <v>83</v>
      </c>
      <c r="Q3363" s="14" t="s">
        <v>8314</v>
      </c>
      <c r="R3363" t="s">
        <v>8315</v>
      </c>
      <c r="S3363" s="17">
        <f t="shared" si="214"/>
        <v>41866.025347222225</v>
      </c>
      <c r="T3363" s="17">
        <f t="shared" si="215"/>
        <v>41883.665972222225</v>
      </c>
      <c r="U3363">
        <f>MONTH(Table1[[#This Row],[Launched]])</f>
        <v>8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8218</v>
      </c>
      <c r="G3364" t="s">
        <v>8223</v>
      </c>
      <c r="H3364" t="s">
        <v>8245</v>
      </c>
      <c r="I3364" s="8">
        <v>1425704100</v>
      </c>
      <c r="J3364">
        <v>1424484717</v>
      </c>
      <c r="K3364" t="b">
        <v>0</v>
      </c>
      <c r="L3364" s="10">
        <v>20</v>
      </c>
      <c r="M3364" t="b">
        <v>1</v>
      </c>
      <c r="N3364" t="s">
        <v>8269</v>
      </c>
      <c r="O3364" s="11">
        <f t="shared" si="212"/>
        <v>218</v>
      </c>
      <c r="P3364" s="12">
        <f t="shared" si="213"/>
        <v>55</v>
      </c>
      <c r="Q3364" s="14" t="s">
        <v>8314</v>
      </c>
      <c r="R3364" t="s">
        <v>8315</v>
      </c>
      <c r="S3364" s="17">
        <f t="shared" si="214"/>
        <v>42056.091631944444</v>
      </c>
      <c r="T3364" s="17">
        <f t="shared" si="215"/>
        <v>42070.204861111109</v>
      </c>
      <c r="U3364">
        <f>MONTH(Table1[[#This Row],[Launched]])</f>
        <v>2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 s="8">
        <v>1408464000</v>
      </c>
      <c r="J3365">
        <v>1406831445</v>
      </c>
      <c r="K3365" t="b">
        <v>0</v>
      </c>
      <c r="L3365" s="10">
        <v>26</v>
      </c>
      <c r="M3365" t="b">
        <v>1</v>
      </c>
      <c r="N3365" t="s">
        <v>8269</v>
      </c>
      <c r="O3365" s="11">
        <f t="shared" si="212"/>
        <v>101</v>
      </c>
      <c r="P3365" s="12">
        <f t="shared" si="213"/>
        <v>302</v>
      </c>
      <c r="Q3365" s="14" t="s">
        <v>8314</v>
      </c>
      <c r="R3365" t="s">
        <v>8315</v>
      </c>
      <c r="S3365" s="17">
        <f t="shared" si="214"/>
        <v>41851.771354166667</v>
      </c>
      <c r="T3365" s="17">
        <f t="shared" si="215"/>
        <v>41870.666666666664</v>
      </c>
      <c r="U3365">
        <f>MONTH(Table1[[#This Row],[Launched]])</f>
        <v>7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 s="8">
        <v>1458075600</v>
      </c>
      <c r="J3366">
        <v>1456183649</v>
      </c>
      <c r="K3366" t="b">
        <v>0</v>
      </c>
      <c r="L3366" s="10">
        <v>72</v>
      </c>
      <c r="M3366" t="b">
        <v>1</v>
      </c>
      <c r="N3366" t="s">
        <v>8269</v>
      </c>
      <c r="O3366" s="11">
        <f t="shared" si="212"/>
        <v>106</v>
      </c>
      <c r="P3366" s="12">
        <f t="shared" si="213"/>
        <v>44</v>
      </c>
      <c r="Q3366" s="14" t="s">
        <v>8314</v>
      </c>
      <c r="R3366" t="s">
        <v>8315</v>
      </c>
      <c r="S3366" s="17">
        <f t="shared" si="214"/>
        <v>42422.977418981478</v>
      </c>
      <c r="T3366" s="17">
        <f t="shared" si="215"/>
        <v>42444.875</v>
      </c>
      <c r="U3366">
        <f>MONTH(Table1[[#This Row],[Launched]])</f>
        <v>2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 s="8">
        <v>1449973592</v>
      </c>
      <c r="J3367">
        <v>1447381592</v>
      </c>
      <c r="K3367" t="b">
        <v>0</v>
      </c>
      <c r="L3367" s="10">
        <v>3</v>
      </c>
      <c r="M3367" t="b">
        <v>1</v>
      </c>
      <c r="N3367" t="s">
        <v>8269</v>
      </c>
      <c r="O3367" s="11">
        <f t="shared" si="212"/>
        <v>104</v>
      </c>
      <c r="P3367" s="12">
        <f t="shared" si="213"/>
        <v>867</v>
      </c>
      <c r="Q3367" s="14" t="s">
        <v>8314</v>
      </c>
      <c r="R3367" t="s">
        <v>8315</v>
      </c>
      <c r="S3367" s="17">
        <f t="shared" si="214"/>
        <v>42321.101759259262</v>
      </c>
      <c r="T3367" s="17">
        <f t="shared" si="215"/>
        <v>42351.101759259262</v>
      </c>
      <c r="U3367">
        <f>MONTH(Table1[[#This Row],[Launched]])</f>
        <v>11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8218</v>
      </c>
      <c r="G3368" t="s">
        <v>8223</v>
      </c>
      <c r="H3368" t="s">
        <v>8245</v>
      </c>
      <c r="I3368" s="8">
        <v>1431481037</v>
      </c>
      <c r="J3368">
        <v>1428889037</v>
      </c>
      <c r="K3368" t="b">
        <v>0</v>
      </c>
      <c r="L3368" s="10">
        <v>18</v>
      </c>
      <c r="M3368" t="b">
        <v>1</v>
      </c>
      <c r="N3368" t="s">
        <v>8269</v>
      </c>
      <c r="O3368" s="11">
        <f t="shared" si="212"/>
        <v>221</v>
      </c>
      <c r="P3368" s="12">
        <f t="shared" si="213"/>
        <v>61</v>
      </c>
      <c r="Q3368" s="14" t="s">
        <v>8314</v>
      </c>
      <c r="R3368" t="s">
        <v>8315</v>
      </c>
      <c r="S3368" s="17">
        <f t="shared" si="214"/>
        <v>42107.067557870367</v>
      </c>
      <c r="T3368" s="17">
        <f t="shared" si="215"/>
        <v>42137.067557870367</v>
      </c>
      <c r="U3368">
        <f>MONTH(Table1[[#This Row],[Launched]])</f>
        <v>4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8218</v>
      </c>
      <c r="G3369" t="s">
        <v>8224</v>
      </c>
      <c r="H3369" t="s">
        <v>8246</v>
      </c>
      <c r="I3369" s="8">
        <v>1438467894</v>
      </c>
      <c r="J3369">
        <v>1436307894</v>
      </c>
      <c r="K3369" t="b">
        <v>0</v>
      </c>
      <c r="L3369" s="10">
        <v>30</v>
      </c>
      <c r="M3369" t="b">
        <v>1</v>
      </c>
      <c r="N3369" t="s">
        <v>8269</v>
      </c>
      <c r="O3369" s="11">
        <f t="shared" si="212"/>
        <v>119</v>
      </c>
      <c r="P3369" s="12">
        <f t="shared" si="213"/>
        <v>30</v>
      </c>
      <c r="Q3369" s="14" t="s">
        <v>8314</v>
      </c>
      <c r="R3369" t="s">
        <v>8315</v>
      </c>
      <c r="S3369" s="17">
        <f t="shared" si="214"/>
        <v>42192.933958333335</v>
      </c>
      <c r="T3369" s="17">
        <f t="shared" si="215"/>
        <v>42217.933958333335</v>
      </c>
      <c r="U3369">
        <f>MONTH(Table1[[#This Row],[Launched]])</f>
        <v>7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 s="8">
        <v>1420088400</v>
      </c>
      <c r="J3370">
        <v>1416977259</v>
      </c>
      <c r="K3370" t="b">
        <v>0</v>
      </c>
      <c r="L3370" s="10">
        <v>23</v>
      </c>
      <c r="M3370" t="b">
        <v>1</v>
      </c>
      <c r="N3370" t="s">
        <v>8269</v>
      </c>
      <c r="O3370" s="11">
        <f t="shared" si="212"/>
        <v>105</v>
      </c>
      <c r="P3370" s="12">
        <f t="shared" si="213"/>
        <v>45</v>
      </c>
      <c r="Q3370" s="14" t="s">
        <v>8314</v>
      </c>
      <c r="R3370" t="s">
        <v>8315</v>
      </c>
      <c r="S3370" s="17">
        <f t="shared" si="214"/>
        <v>41969.199756944443</v>
      </c>
      <c r="T3370" s="17">
        <f t="shared" si="215"/>
        <v>42005.208333333328</v>
      </c>
      <c r="U3370">
        <f>MONTH(Table1[[#This Row],[Launched]])</f>
        <v>11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 s="8">
        <v>1484441980</v>
      </c>
      <c r="J3371">
        <v>1479257980</v>
      </c>
      <c r="K3371" t="b">
        <v>0</v>
      </c>
      <c r="L3371" s="10">
        <v>54</v>
      </c>
      <c r="M3371" t="b">
        <v>1</v>
      </c>
      <c r="N3371" t="s">
        <v>8269</v>
      </c>
      <c r="O3371" s="11">
        <f t="shared" si="212"/>
        <v>104</v>
      </c>
      <c r="P3371" s="12">
        <f t="shared" si="213"/>
        <v>96</v>
      </c>
      <c r="Q3371" s="14" t="s">
        <v>8314</v>
      </c>
      <c r="R3371" t="s">
        <v>8315</v>
      </c>
      <c r="S3371" s="17">
        <f t="shared" si="214"/>
        <v>42690.041435185187</v>
      </c>
      <c r="T3371" s="17">
        <f t="shared" si="215"/>
        <v>42750.041435185187</v>
      </c>
      <c r="U3371">
        <f>MONTH(Table1[[#This Row],[Launched]])</f>
        <v>11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 s="8">
        <v>1481961600</v>
      </c>
      <c r="J3372">
        <v>1479283285</v>
      </c>
      <c r="K3372" t="b">
        <v>0</v>
      </c>
      <c r="L3372" s="10">
        <v>26</v>
      </c>
      <c r="M3372" t="b">
        <v>1</v>
      </c>
      <c r="N3372" t="s">
        <v>8269</v>
      </c>
      <c r="O3372" s="11">
        <f t="shared" si="212"/>
        <v>118</v>
      </c>
      <c r="P3372" s="12">
        <f t="shared" si="213"/>
        <v>68</v>
      </c>
      <c r="Q3372" s="14" t="s">
        <v>8314</v>
      </c>
      <c r="R3372" t="s">
        <v>8315</v>
      </c>
      <c r="S3372" s="17">
        <f t="shared" si="214"/>
        <v>42690.334317129629</v>
      </c>
      <c r="T3372" s="17">
        <f t="shared" si="215"/>
        <v>42721.333333333328</v>
      </c>
      <c r="U3372">
        <f>MONTH(Table1[[#This Row],[Launched]])</f>
        <v>11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8218</v>
      </c>
      <c r="G3373" t="s">
        <v>8223</v>
      </c>
      <c r="H3373" t="s">
        <v>8245</v>
      </c>
      <c r="I3373" s="8">
        <v>1449089965</v>
      </c>
      <c r="J3373">
        <v>1446670765</v>
      </c>
      <c r="K3373" t="b">
        <v>0</v>
      </c>
      <c r="L3373" s="10">
        <v>9</v>
      </c>
      <c r="M3373" t="b">
        <v>1</v>
      </c>
      <c r="N3373" t="s">
        <v>8269</v>
      </c>
      <c r="O3373" s="11">
        <f t="shared" si="212"/>
        <v>139</v>
      </c>
      <c r="P3373" s="12">
        <f t="shared" si="213"/>
        <v>31</v>
      </c>
      <c r="Q3373" s="14" t="s">
        <v>8314</v>
      </c>
      <c r="R3373" t="s">
        <v>8315</v>
      </c>
      <c r="S3373" s="17">
        <f t="shared" si="214"/>
        <v>42312.874594907407</v>
      </c>
      <c r="T3373" s="17">
        <f t="shared" si="215"/>
        <v>42340.874594907407</v>
      </c>
      <c r="U3373">
        <f>MONTH(Table1[[#This Row],[Launched]])</f>
        <v>11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 s="8">
        <v>1408942740</v>
      </c>
      <c r="J3374">
        <v>1407157756</v>
      </c>
      <c r="K3374" t="b">
        <v>0</v>
      </c>
      <c r="L3374" s="10">
        <v>27</v>
      </c>
      <c r="M3374" t="b">
        <v>1</v>
      </c>
      <c r="N3374" t="s">
        <v>8269</v>
      </c>
      <c r="O3374" s="11">
        <f t="shared" si="212"/>
        <v>104</v>
      </c>
      <c r="P3374" s="12">
        <f t="shared" si="213"/>
        <v>38</v>
      </c>
      <c r="Q3374" s="14" t="s">
        <v>8314</v>
      </c>
      <c r="R3374" t="s">
        <v>8315</v>
      </c>
      <c r="S3374" s="17">
        <f t="shared" si="214"/>
        <v>41855.548101851848</v>
      </c>
      <c r="T3374" s="17">
        <f t="shared" si="215"/>
        <v>41876.207638888889</v>
      </c>
      <c r="U3374">
        <f>MONTH(Table1[[#This Row],[Launched]])</f>
        <v>8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 s="8">
        <v>1437235200</v>
      </c>
      <c r="J3375">
        <v>1435177840</v>
      </c>
      <c r="K3375" t="b">
        <v>0</v>
      </c>
      <c r="L3375" s="10">
        <v>30</v>
      </c>
      <c r="M3375" t="b">
        <v>1</v>
      </c>
      <c r="N3375" t="s">
        <v>8269</v>
      </c>
      <c r="O3375" s="11">
        <f t="shared" si="212"/>
        <v>100</v>
      </c>
      <c r="P3375" s="12">
        <f t="shared" si="213"/>
        <v>67</v>
      </c>
      <c r="Q3375" s="14" t="s">
        <v>8314</v>
      </c>
      <c r="R3375" t="s">
        <v>8315</v>
      </c>
      <c r="S3375" s="17">
        <f t="shared" si="214"/>
        <v>42179.854629629626</v>
      </c>
      <c r="T3375" s="17">
        <f t="shared" si="215"/>
        <v>42203.666666666672</v>
      </c>
      <c r="U3375">
        <f>MONTH(Table1[[#This Row],[Launched]])</f>
        <v>6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 s="8">
        <v>1446053616</v>
      </c>
      <c r="J3376">
        <v>1443461616</v>
      </c>
      <c r="K3376" t="b">
        <v>0</v>
      </c>
      <c r="L3376" s="10">
        <v>52</v>
      </c>
      <c r="M3376" t="b">
        <v>1</v>
      </c>
      <c r="N3376" t="s">
        <v>8269</v>
      </c>
      <c r="O3376" s="11">
        <f t="shared" si="212"/>
        <v>107</v>
      </c>
      <c r="P3376" s="12">
        <f t="shared" si="213"/>
        <v>72</v>
      </c>
      <c r="Q3376" s="14" t="s">
        <v>8314</v>
      </c>
      <c r="R3376" t="s">
        <v>8315</v>
      </c>
      <c r="S3376" s="17">
        <f t="shared" si="214"/>
        <v>42275.731666666667</v>
      </c>
      <c r="T3376" s="17">
        <f t="shared" si="215"/>
        <v>42305.731666666667</v>
      </c>
      <c r="U3376">
        <f>MONTH(Table1[[#This Row],[Launched]])</f>
        <v>9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 s="8">
        <v>1400423973</v>
      </c>
      <c r="J3377">
        <v>1399387173</v>
      </c>
      <c r="K3377" t="b">
        <v>0</v>
      </c>
      <c r="L3377" s="10">
        <v>17</v>
      </c>
      <c r="M3377" t="b">
        <v>1</v>
      </c>
      <c r="N3377" t="s">
        <v>8269</v>
      </c>
      <c r="O3377" s="11">
        <f t="shared" si="212"/>
        <v>100</v>
      </c>
      <c r="P3377" s="12">
        <f t="shared" si="213"/>
        <v>176</v>
      </c>
      <c r="Q3377" s="14" t="s">
        <v>8314</v>
      </c>
      <c r="R3377" t="s">
        <v>8315</v>
      </c>
      <c r="S3377" s="17">
        <f t="shared" si="214"/>
        <v>41765.610798611109</v>
      </c>
      <c r="T3377" s="17">
        <f t="shared" si="215"/>
        <v>41777.610798611109</v>
      </c>
      <c r="U3377">
        <f>MONTH(Table1[[#This Row],[Launched]])</f>
        <v>5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 s="8">
        <v>1429976994</v>
      </c>
      <c r="J3378">
        <v>1424796594</v>
      </c>
      <c r="K3378" t="b">
        <v>0</v>
      </c>
      <c r="L3378" s="10">
        <v>19</v>
      </c>
      <c r="M3378" t="b">
        <v>1</v>
      </c>
      <c r="N3378" t="s">
        <v>8269</v>
      </c>
      <c r="O3378" s="11">
        <f t="shared" si="212"/>
        <v>100</v>
      </c>
      <c r="P3378" s="12">
        <f t="shared" si="213"/>
        <v>421</v>
      </c>
      <c r="Q3378" s="14" t="s">
        <v>8314</v>
      </c>
      <c r="R3378" t="s">
        <v>8315</v>
      </c>
      <c r="S3378" s="17">
        <f t="shared" si="214"/>
        <v>42059.701319444444</v>
      </c>
      <c r="T3378" s="17">
        <f t="shared" si="215"/>
        <v>42119.659652777773</v>
      </c>
      <c r="U3378">
        <f>MONTH(Table1[[#This Row],[Launched]])</f>
        <v>2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 s="8">
        <v>1426870560</v>
      </c>
      <c r="J3379">
        <v>1424280899</v>
      </c>
      <c r="K3379" t="b">
        <v>0</v>
      </c>
      <c r="L3379" s="10">
        <v>77</v>
      </c>
      <c r="M3379" t="b">
        <v>1</v>
      </c>
      <c r="N3379" t="s">
        <v>8269</v>
      </c>
      <c r="O3379" s="11">
        <f t="shared" si="212"/>
        <v>101</v>
      </c>
      <c r="P3379" s="12">
        <f t="shared" si="213"/>
        <v>105</v>
      </c>
      <c r="Q3379" s="14" t="s">
        <v>8314</v>
      </c>
      <c r="R3379" t="s">
        <v>8315</v>
      </c>
      <c r="S3379" s="17">
        <f t="shared" si="214"/>
        <v>42053.732627314821</v>
      </c>
      <c r="T3379" s="17">
        <f t="shared" si="215"/>
        <v>42083.705555555556</v>
      </c>
      <c r="U3379">
        <f>MONTH(Table1[[#This Row],[Launched]])</f>
        <v>2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8218</v>
      </c>
      <c r="G3380" t="s">
        <v>8224</v>
      </c>
      <c r="H3380" t="s">
        <v>8246</v>
      </c>
      <c r="I3380" s="8">
        <v>1409490480</v>
      </c>
      <c r="J3380">
        <v>1407400306</v>
      </c>
      <c r="K3380" t="b">
        <v>0</v>
      </c>
      <c r="L3380" s="10">
        <v>21</v>
      </c>
      <c r="M3380" t="b">
        <v>1</v>
      </c>
      <c r="N3380" t="s">
        <v>8269</v>
      </c>
      <c r="O3380" s="11">
        <f t="shared" si="212"/>
        <v>108</v>
      </c>
      <c r="P3380" s="12">
        <f t="shared" si="213"/>
        <v>28</v>
      </c>
      <c r="Q3380" s="14" t="s">
        <v>8314</v>
      </c>
      <c r="R3380" t="s">
        <v>8315</v>
      </c>
      <c r="S3380" s="17">
        <f t="shared" si="214"/>
        <v>41858.355393518519</v>
      </c>
      <c r="T3380" s="17">
        <f t="shared" si="215"/>
        <v>41882.547222222223</v>
      </c>
      <c r="U3380">
        <f>MONTH(Table1[[#This Row],[Launched]])</f>
        <v>8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 s="8">
        <v>1440630000</v>
      </c>
      <c r="J3381">
        <v>1439122800</v>
      </c>
      <c r="K3381" t="b">
        <v>0</v>
      </c>
      <c r="L3381" s="10">
        <v>38</v>
      </c>
      <c r="M3381" t="b">
        <v>1</v>
      </c>
      <c r="N3381" t="s">
        <v>8269</v>
      </c>
      <c r="O3381" s="11">
        <f t="shared" si="212"/>
        <v>104</v>
      </c>
      <c r="P3381" s="12">
        <f t="shared" si="213"/>
        <v>55</v>
      </c>
      <c r="Q3381" s="14" t="s">
        <v>8314</v>
      </c>
      <c r="R3381" t="s">
        <v>8315</v>
      </c>
      <c r="S3381" s="17">
        <f t="shared" si="214"/>
        <v>42225.513888888891</v>
      </c>
      <c r="T3381" s="17">
        <f t="shared" si="215"/>
        <v>42242.958333333328</v>
      </c>
      <c r="U3381">
        <f>MONTH(Table1[[#This Row],[Launched]])</f>
        <v>8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 s="8">
        <v>1417305178</v>
      </c>
      <c r="J3382">
        <v>1414277578</v>
      </c>
      <c r="K3382" t="b">
        <v>0</v>
      </c>
      <c r="L3382" s="10">
        <v>28</v>
      </c>
      <c r="M3382" t="b">
        <v>1</v>
      </c>
      <c r="N3382" t="s">
        <v>8269</v>
      </c>
      <c r="O3382" s="11">
        <f t="shared" si="212"/>
        <v>104</v>
      </c>
      <c r="P3382" s="12">
        <f t="shared" si="213"/>
        <v>112</v>
      </c>
      <c r="Q3382" s="14" t="s">
        <v>8314</v>
      </c>
      <c r="R3382" t="s">
        <v>8315</v>
      </c>
      <c r="S3382" s="17">
        <f t="shared" si="214"/>
        <v>41937.95344907407</v>
      </c>
      <c r="T3382" s="17">
        <f t="shared" si="215"/>
        <v>41972.995115740734</v>
      </c>
      <c r="U3382">
        <f>MONTH(Table1[[#This Row],[Launched]])</f>
        <v>10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 s="8">
        <v>1426044383</v>
      </c>
      <c r="J3383">
        <v>1423455983</v>
      </c>
      <c r="K3383" t="b">
        <v>0</v>
      </c>
      <c r="L3383" s="10">
        <v>48</v>
      </c>
      <c r="M3383" t="b">
        <v>1</v>
      </c>
      <c r="N3383" t="s">
        <v>8269</v>
      </c>
      <c r="O3383" s="11">
        <f t="shared" si="212"/>
        <v>102</v>
      </c>
      <c r="P3383" s="12">
        <f t="shared" si="213"/>
        <v>85</v>
      </c>
      <c r="Q3383" s="14" t="s">
        <v>8314</v>
      </c>
      <c r="R3383" t="s">
        <v>8315</v>
      </c>
      <c r="S3383" s="17">
        <f t="shared" si="214"/>
        <v>42044.184988425928</v>
      </c>
      <c r="T3383" s="17">
        <f t="shared" si="215"/>
        <v>42074.143321759257</v>
      </c>
      <c r="U3383">
        <f>MONTH(Table1[[#This Row],[Launched]])</f>
        <v>2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 s="8">
        <v>1470092340</v>
      </c>
      <c r="J3384">
        <v>1467973256</v>
      </c>
      <c r="K3384" t="b">
        <v>0</v>
      </c>
      <c r="L3384" s="10">
        <v>46</v>
      </c>
      <c r="M3384" t="b">
        <v>1</v>
      </c>
      <c r="N3384" t="s">
        <v>8269</v>
      </c>
      <c r="O3384" s="11">
        <f t="shared" si="212"/>
        <v>101</v>
      </c>
      <c r="P3384" s="12">
        <f t="shared" si="213"/>
        <v>77</v>
      </c>
      <c r="Q3384" s="14" t="s">
        <v>8314</v>
      </c>
      <c r="R3384" t="s">
        <v>8315</v>
      </c>
      <c r="S3384" s="17">
        <f t="shared" si="214"/>
        <v>42559.431203703702</v>
      </c>
      <c r="T3384" s="17">
        <f t="shared" si="215"/>
        <v>42583.957638888889</v>
      </c>
      <c r="U3384">
        <f>MONTH(Table1[[#This Row],[Launched]])</f>
        <v>7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 s="8">
        <v>1466707620</v>
      </c>
      <c r="J3385">
        <v>1464979620</v>
      </c>
      <c r="K3385" t="b">
        <v>0</v>
      </c>
      <c r="L3385" s="10">
        <v>30</v>
      </c>
      <c r="M3385" t="b">
        <v>1</v>
      </c>
      <c r="N3385" t="s">
        <v>8269</v>
      </c>
      <c r="O3385" s="11">
        <f t="shared" si="212"/>
        <v>112</v>
      </c>
      <c r="P3385" s="12">
        <f t="shared" si="213"/>
        <v>65</v>
      </c>
      <c r="Q3385" s="14" t="s">
        <v>8314</v>
      </c>
      <c r="R3385" t="s">
        <v>8315</v>
      </c>
      <c r="S3385" s="17">
        <f t="shared" si="214"/>
        <v>42524.782638888893</v>
      </c>
      <c r="T3385" s="17">
        <f t="shared" si="215"/>
        <v>42544.782638888893</v>
      </c>
      <c r="U3385">
        <f>MONTH(Table1[[#This Row],[Launched]])</f>
        <v>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 s="8">
        <v>1448074800</v>
      </c>
      <c r="J3386">
        <v>1444874768</v>
      </c>
      <c r="K3386" t="b">
        <v>0</v>
      </c>
      <c r="L3386" s="10">
        <v>64</v>
      </c>
      <c r="M3386" t="b">
        <v>1</v>
      </c>
      <c r="N3386" t="s">
        <v>8269</v>
      </c>
      <c r="O3386" s="11">
        <f t="shared" si="212"/>
        <v>100</v>
      </c>
      <c r="P3386" s="12">
        <f t="shared" si="213"/>
        <v>94</v>
      </c>
      <c r="Q3386" s="14" t="s">
        <v>8314</v>
      </c>
      <c r="R3386" t="s">
        <v>8315</v>
      </c>
      <c r="S3386" s="17">
        <f t="shared" si="214"/>
        <v>42292.087592592594</v>
      </c>
      <c r="T3386" s="17">
        <f t="shared" si="215"/>
        <v>42329.125</v>
      </c>
      <c r="U3386">
        <f>MONTH(Table1[[#This Row],[Launched]])</f>
        <v>10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 s="8">
        <v>1418244552</v>
      </c>
      <c r="J3387">
        <v>1415652552</v>
      </c>
      <c r="K3387" t="b">
        <v>0</v>
      </c>
      <c r="L3387" s="10">
        <v>15</v>
      </c>
      <c r="M3387" t="b">
        <v>1</v>
      </c>
      <c r="N3387" t="s">
        <v>8269</v>
      </c>
      <c r="O3387" s="11">
        <f t="shared" si="212"/>
        <v>100</v>
      </c>
      <c r="P3387" s="12">
        <f t="shared" si="213"/>
        <v>133</v>
      </c>
      <c r="Q3387" s="14" t="s">
        <v>8314</v>
      </c>
      <c r="R3387" t="s">
        <v>8315</v>
      </c>
      <c r="S3387" s="17">
        <f t="shared" si="214"/>
        <v>41953.8675</v>
      </c>
      <c r="T3387" s="17">
        <f t="shared" si="215"/>
        <v>41983.8675</v>
      </c>
      <c r="U3387">
        <f>MONTH(Table1[[#This Row],[Launched]])</f>
        <v>11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 s="8">
        <v>1417620506</v>
      </c>
      <c r="J3388">
        <v>1415028506</v>
      </c>
      <c r="K3388" t="b">
        <v>0</v>
      </c>
      <c r="L3388" s="10">
        <v>41</v>
      </c>
      <c r="M3388" t="b">
        <v>1</v>
      </c>
      <c r="N3388" t="s">
        <v>8269</v>
      </c>
      <c r="O3388" s="11">
        <f t="shared" si="212"/>
        <v>105</v>
      </c>
      <c r="P3388" s="12">
        <f t="shared" si="213"/>
        <v>51</v>
      </c>
      <c r="Q3388" s="14" t="s">
        <v>8314</v>
      </c>
      <c r="R3388" t="s">
        <v>8315</v>
      </c>
      <c r="S3388" s="17">
        <f t="shared" si="214"/>
        <v>41946.644745370373</v>
      </c>
      <c r="T3388" s="17">
        <f t="shared" si="215"/>
        <v>41976.644745370373</v>
      </c>
      <c r="U3388">
        <f>MONTH(Table1[[#This Row],[Launched]])</f>
        <v>11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 s="8">
        <v>1418581088</v>
      </c>
      <c r="J3389">
        <v>1415125088</v>
      </c>
      <c r="K3389" t="b">
        <v>0</v>
      </c>
      <c r="L3389" s="10">
        <v>35</v>
      </c>
      <c r="M3389" t="b">
        <v>1</v>
      </c>
      <c r="N3389" t="s">
        <v>8269</v>
      </c>
      <c r="O3389" s="11">
        <f t="shared" si="212"/>
        <v>117</v>
      </c>
      <c r="P3389" s="12">
        <f t="shared" si="213"/>
        <v>100</v>
      </c>
      <c r="Q3389" s="14" t="s">
        <v>8314</v>
      </c>
      <c r="R3389" t="s">
        <v>8315</v>
      </c>
      <c r="S3389" s="17">
        <f t="shared" si="214"/>
        <v>41947.762592592589</v>
      </c>
      <c r="T3389" s="17">
        <f t="shared" si="215"/>
        <v>41987.762592592597</v>
      </c>
      <c r="U3389">
        <f>MONTH(Table1[[#This Row],[Launched]])</f>
        <v>11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 s="8">
        <v>1434625441</v>
      </c>
      <c r="J3390">
        <v>1432033441</v>
      </c>
      <c r="K3390" t="b">
        <v>0</v>
      </c>
      <c r="L3390" s="10">
        <v>45</v>
      </c>
      <c r="M3390" t="b">
        <v>1</v>
      </c>
      <c r="N3390" t="s">
        <v>8269</v>
      </c>
      <c r="O3390" s="11">
        <f t="shared" si="212"/>
        <v>104</v>
      </c>
      <c r="P3390" s="12">
        <f t="shared" si="213"/>
        <v>35</v>
      </c>
      <c r="Q3390" s="14" t="s">
        <v>8314</v>
      </c>
      <c r="R3390" t="s">
        <v>8315</v>
      </c>
      <c r="S3390" s="17">
        <f t="shared" si="214"/>
        <v>42143.461122685185</v>
      </c>
      <c r="T3390" s="17">
        <f t="shared" si="215"/>
        <v>42173.461122685185</v>
      </c>
      <c r="U3390">
        <f>MONTH(Table1[[#This Row],[Launched]])</f>
        <v>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 s="8">
        <v>1464960682</v>
      </c>
      <c r="J3391">
        <v>1462368682</v>
      </c>
      <c r="K3391" t="b">
        <v>0</v>
      </c>
      <c r="L3391" s="10">
        <v>62</v>
      </c>
      <c r="M3391" t="b">
        <v>1</v>
      </c>
      <c r="N3391" t="s">
        <v>8269</v>
      </c>
      <c r="O3391" s="11">
        <f t="shared" si="212"/>
        <v>115</v>
      </c>
      <c r="P3391" s="12">
        <f t="shared" si="213"/>
        <v>185</v>
      </c>
      <c r="Q3391" s="14" t="s">
        <v>8314</v>
      </c>
      <c r="R3391" t="s">
        <v>8315</v>
      </c>
      <c r="S3391" s="17">
        <f t="shared" si="214"/>
        <v>42494.563449074078</v>
      </c>
      <c r="T3391" s="17">
        <f t="shared" si="215"/>
        <v>42524.563449074078</v>
      </c>
      <c r="U3391">
        <f>MONTH(Table1[[#This Row],[Launched]])</f>
        <v>5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 s="8">
        <v>1405017345</v>
      </c>
      <c r="J3392">
        <v>1403721345</v>
      </c>
      <c r="K3392" t="b">
        <v>0</v>
      </c>
      <c r="L3392" s="10">
        <v>22</v>
      </c>
      <c r="M3392" t="b">
        <v>1</v>
      </c>
      <c r="N3392" t="s">
        <v>8269</v>
      </c>
      <c r="O3392" s="11">
        <f t="shared" si="212"/>
        <v>102</v>
      </c>
      <c r="P3392" s="12">
        <f t="shared" si="213"/>
        <v>70</v>
      </c>
      <c r="Q3392" s="14" t="s">
        <v>8314</v>
      </c>
      <c r="R3392" t="s">
        <v>8315</v>
      </c>
      <c r="S3392" s="17">
        <f t="shared" si="214"/>
        <v>41815.774826388886</v>
      </c>
      <c r="T3392" s="17">
        <f t="shared" si="215"/>
        <v>41830.774826388886</v>
      </c>
      <c r="U3392">
        <f>MONTH(Table1[[#This Row],[Launched]])</f>
        <v>6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8218</v>
      </c>
      <c r="G3393" t="s">
        <v>8223</v>
      </c>
      <c r="H3393" t="s">
        <v>8245</v>
      </c>
      <c r="I3393" s="8">
        <v>1407536880</v>
      </c>
      <c r="J3393">
        <v>1404997548</v>
      </c>
      <c r="K3393" t="b">
        <v>0</v>
      </c>
      <c r="L3393" s="10">
        <v>18</v>
      </c>
      <c r="M3393" t="b">
        <v>1</v>
      </c>
      <c r="N3393" t="s">
        <v>8269</v>
      </c>
      <c r="O3393" s="11">
        <f t="shared" si="212"/>
        <v>223</v>
      </c>
      <c r="P3393" s="12">
        <f t="shared" si="213"/>
        <v>62</v>
      </c>
      <c r="Q3393" s="14" t="s">
        <v>8314</v>
      </c>
      <c r="R3393" t="s">
        <v>8315</v>
      </c>
      <c r="S3393" s="17">
        <f t="shared" si="214"/>
        <v>41830.545694444445</v>
      </c>
      <c r="T3393" s="17">
        <f t="shared" si="215"/>
        <v>41859.936111111114</v>
      </c>
      <c r="U3393">
        <f>MONTH(Table1[[#This Row],[Launched]])</f>
        <v>7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8218</v>
      </c>
      <c r="G3394" t="s">
        <v>8224</v>
      </c>
      <c r="H3394" t="s">
        <v>8246</v>
      </c>
      <c r="I3394" s="8">
        <v>1462565855</v>
      </c>
      <c r="J3394">
        <v>1458245855</v>
      </c>
      <c r="K3394" t="b">
        <v>0</v>
      </c>
      <c r="L3394" s="10">
        <v>12</v>
      </c>
      <c r="M3394" t="b">
        <v>1</v>
      </c>
      <c r="N3394" t="s">
        <v>8269</v>
      </c>
      <c r="O3394" s="11">
        <f t="shared" ref="O3394:O3457" si="216">ROUND(E3394/D3394*100,0)</f>
        <v>100</v>
      </c>
      <c r="P3394" s="12">
        <f t="shared" si="213"/>
        <v>42</v>
      </c>
      <c r="Q3394" s="14" t="s">
        <v>8314</v>
      </c>
      <c r="R3394" t="s">
        <v>8315</v>
      </c>
      <c r="S3394" s="17">
        <f t="shared" si="214"/>
        <v>42446.845543981486</v>
      </c>
      <c r="T3394" s="17">
        <f t="shared" si="215"/>
        <v>42496.845543981486</v>
      </c>
      <c r="U3394">
        <f>MONTH(Table1[[#This Row],[Launched]])</f>
        <v>3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 s="8">
        <v>1415234760</v>
      </c>
      <c r="J3395">
        <v>1413065230</v>
      </c>
      <c r="K3395" t="b">
        <v>0</v>
      </c>
      <c r="L3395" s="10">
        <v>44</v>
      </c>
      <c r="M3395" t="b">
        <v>1</v>
      </c>
      <c r="N3395" t="s">
        <v>8269</v>
      </c>
      <c r="O3395" s="11">
        <f t="shared" si="216"/>
        <v>106</v>
      </c>
      <c r="P3395" s="12">
        <f t="shared" ref="P3395:P3458" si="217">IFERROR(ROUND(E3395/L3395,),"No Backers")</f>
        <v>36</v>
      </c>
      <c r="Q3395" s="14" t="s">
        <v>8314</v>
      </c>
      <c r="R3395" t="s">
        <v>8315</v>
      </c>
      <c r="S3395" s="17">
        <f t="shared" ref="S3395:S3458" si="218">(((J3395/60)/60)/24)+DATE(1970,1,1)</f>
        <v>41923.921643518523</v>
      </c>
      <c r="T3395" s="17">
        <f t="shared" ref="T3395:T3458" si="219">(((I3395/60)/60)/24)+DATE(1970,1,1)</f>
        <v>41949.031944444447</v>
      </c>
      <c r="U3395">
        <f>MONTH(Table1[[#This Row],[Launched]])</f>
        <v>10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8218</v>
      </c>
      <c r="G3396" t="s">
        <v>8224</v>
      </c>
      <c r="H3396" t="s">
        <v>8246</v>
      </c>
      <c r="I3396" s="8">
        <v>1406470645</v>
      </c>
      <c r="J3396">
        <v>1403878645</v>
      </c>
      <c r="K3396" t="b">
        <v>0</v>
      </c>
      <c r="L3396" s="10">
        <v>27</v>
      </c>
      <c r="M3396" t="b">
        <v>1</v>
      </c>
      <c r="N3396" t="s">
        <v>8269</v>
      </c>
      <c r="O3396" s="11">
        <f t="shared" si="216"/>
        <v>142</v>
      </c>
      <c r="P3396" s="12">
        <f t="shared" si="217"/>
        <v>29</v>
      </c>
      <c r="Q3396" s="14" t="s">
        <v>8314</v>
      </c>
      <c r="R3396" t="s">
        <v>8315</v>
      </c>
      <c r="S3396" s="17">
        <f t="shared" si="218"/>
        <v>41817.59542824074</v>
      </c>
      <c r="T3396" s="17">
        <f t="shared" si="219"/>
        <v>41847.59542824074</v>
      </c>
      <c r="U3396">
        <f>MONTH(Table1[[#This Row],[Launched]])</f>
        <v>6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8218</v>
      </c>
      <c r="G3397" t="s">
        <v>8224</v>
      </c>
      <c r="H3397" t="s">
        <v>8246</v>
      </c>
      <c r="I3397" s="8">
        <v>1433009400</v>
      </c>
      <c r="J3397">
        <v>1431795944</v>
      </c>
      <c r="K3397" t="b">
        <v>0</v>
      </c>
      <c r="L3397" s="10">
        <v>38</v>
      </c>
      <c r="M3397" t="b">
        <v>1</v>
      </c>
      <c r="N3397" t="s">
        <v>8269</v>
      </c>
      <c r="O3397" s="11">
        <f t="shared" si="216"/>
        <v>184</v>
      </c>
      <c r="P3397" s="12">
        <f t="shared" si="217"/>
        <v>24</v>
      </c>
      <c r="Q3397" s="14" t="s">
        <v>8314</v>
      </c>
      <c r="R3397" t="s">
        <v>8315</v>
      </c>
      <c r="S3397" s="17">
        <f t="shared" si="218"/>
        <v>42140.712314814817</v>
      </c>
      <c r="T3397" s="17">
        <f t="shared" si="219"/>
        <v>42154.756944444445</v>
      </c>
      <c r="U3397">
        <f>MONTH(Table1[[#This Row],[Launched]])</f>
        <v>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 s="8">
        <v>1401595140</v>
      </c>
      <c r="J3398">
        <v>1399286589</v>
      </c>
      <c r="K3398" t="b">
        <v>0</v>
      </c>
      <c r="L3398" s="10">
        <v>28</v>
      </c>
      <c r="M3398" t="b">
        <v>1</v>
      </c>
      <c r="N3398" t="s">
        <v>8269</v>
      </c>
      <c r="O3398" s="11">
        <f t="shared" si="216"/>
        <v>104</v>
      </c>
      <c r="P3398" s="12">
        <f t="shared" si="217"/>
        <v>56</v>
      </c>
      <c r="Q3398" s="14" t="s">
        <v>8314</v>
      </c>
      <c r="R3398" t="s">
        <v>8315</v>
      </c>
      <c r="S3398" s="17">
        <f t="shared" si="218"/>
        <v>41764.44663194444</v>
      </c>
      <c r="T3398" s="17">
        <f t="shared" si="219"/>
        <v>41791.165972222225</v>
      </c>
      <c r="U3398">
        <f>MONTH(Table1[[#This Row],[Launched]])</f>
        <v>5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8218</v>
      </c>
      <c r="G3399" t="s">
        <v>8224</v>
      </c>
      <c r="H3399" t="s">
        <v>8246</v>
      </c>
      <c r="I3399" s="8">
        <v>1455832800</v>
      </c>
      <c r="J3399">
        <v>1452338929</v>
      </c>
      <c r="K3399" t="b">
        <v>0</v>
      </c>
      <c r="L3399" s="10">
        <v>24</v>
      </c>
      <c r="M3399" t="b">
        <v>1</v>
      </c>
      <c r="N3399" t="s">
        <v>8269</v>
      </c>
      <c r="O3399" s="11">
        <f t="shared" si="216"/>
        <v>112</v>
      </c>
      <c r="P3399" s="12">
        <f t="shared" si="217"/>
        <v>12</v>
      </c>
      <c r="Q3399" s="14" t="s">
        <v>8314</v>
      </c>
      <c r="R3399" t="s">
        <v>8315</v>
      </c>
      <c r="S3399" s="17">
        <f t="shared" si="218"/>
        <v>42378.478344907402</v>
      </c>
      <c r="T3399" s="17">
        <f t="shared" si="219"/>
        <v>42418.916666666672</v>
      </c>
      <c r="U3399">
        <f>MONTH(Table1[[#This Row],[Launched]])</f>
        <v>1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 s="8">
        <v>1416589200</v>
      </c>
      <c r="J3400">
        <v>1414605776</v>
      </c>
      <c r="K3400" t="b">
        <v>0</v>
      </c>
      <c r="L3400" s="10">
        <v>65</v>
      </c>
      <c r="M3400" t="b">
        <v>1</v>
      </c>
      <c r="N3400" t="s">
        <v>8269</v>
      </c>
      <c r="O3400" s="11">
        <f t="shared" si="216"/>
        <v>111</v>
      </c>
      <c r="P3400" s="12">
        <f t="shared" si="217"/>
        <v>68</v>
      </c>
      <c r="Q3400" s="14" t="s">
        <v>8314</v>
      </c>
      <c r="R3400" t="s">
        <v>8315</v>
      </c>
      <c r="S3400" s="17">
        <f t="shared" si="218"/>
        <v>41941.75203703704</v>
      </c>
      <c r="T3400" s="17">
        <f t="shared" si="219"/>
        <v>41964.708333333328</v>
      </c>
      <c r="U3400">
        <f>MONTH(Table1[[#This Row],[Launched]])</f>
        <v>10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 s="8">
        <v>1424556325</v>
      </c>
      <c r="J3401">
        <v>1421964325</v>
      </c>
      <c r="K3401" t="b">
        <v>0</v>
      </c>
      <c r="L3401" s="10">
        <v>46</v>
      </c>
      <c r="M3401" t="b">
        <v>1</v>
      </c>
      <c r="N3401" t="s">
        <v>8269</v>
      </c>
      <c r="O3401" s="11">
        <f t="shared" si="216"/>
        <v>104</v>
      </c>
      <c r="P3401" s="12">
        <f t="shared" si="217"/>
        <v>27</v>
      </c>
      <c r="Q3401" s="14" t="s">
        <v>8314</v>
      </c>
      <c r="R3401" t="s">
        <v>8315</v>
      </c>
      <c r="S3401" s="17">
        <f t="shared" si="218"/>
        <v>42026.920428240745</v>
      </c>
      <c r="T3401" s="17">
        <f t="shared" si="219"/>
        <v>42056.920428240745</v>
      </c>
      <c r="U3401">
        <f>MONTH(Table1[[#This Row],[Launched]])</f>
        <v>1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 s="8">
        <v>1409266414</v>
      </c>
      <c r="J3402">
        <v>1405378414</v>
      </c>
      <c r="K3402" t="b">
        <v>0</v>
      </c>
      <c r="L3402" s="10">
        <v>85</v>
      </c>
      <c r="M3402" t="b">
        <v>1</v>
      </c>
      <c r="N3402" t="s">
        <v>8269</v>
      </c>
      <c r="O3402" s="11">
        <f t="shared" si="216"/>
        <v>100</v>
      </c>
      <c r="P3402" s="12">
        <f t="shared" si="217"/>
        <v>118</v>
      </c>
      <c r="Q3402" s="14" t="s">
        <v>8314</v>
      </c>
      <c r="R3402" t="s">
        <v>8315</v>
      </c>
      <c r="S3402" s="17">
        <f t="shared" si="218"/>
        <v>41834.953865740739</v>
      </c>
      <c r="T3402" s="17">
        <f t="shared" si="219"/>
        <v>41879.953865740739</v>
      </c>
      <c r="U3402">
        <f>MONTH(Table1[[#This Row],[Launched]])</f>
        <v>7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 s="8">
        <v>1438968146</v>
      </c>
      <c r="J3403">
        <v>1436376146</v>
      </c>
      <c r="K3403" t="b">
        <v>0</v>
      </c>
      <c r="L3403" s="10">
        <v>66</v>
      </c>
      <c r="M3403" t="b">
        <v>1</v>
      </c>
      <c r="N3403" t="s">
        <v>8269</v>
      </c>
      <c r="O3403" s="11">
        <f t="shared" si="216"/>
        <v>102</v>
      </c>
      <c r="P3403" s="12">
        <f t="shared" si="217"/>
        <v>45</v>
      </c>
      <c r="Q3403" s="14" t="s">
        <v>8314</v>
      </c>
      <c r="R3403" t="s">
        <v>8315</v>
      </c>
      <c r="S3403" s="17">
        <f t="shared" si="218"/>
        <v>42193.723912037036</v>
      </c>
      <c r="T3403" s="17">
        <f t="shared" si="219"/>
        <v>42223.723912037036</v>
      </c>
      <c r="U3403">
        <f>MONTH(Table1[[#This Row],[Launched]])</f>
        <v>7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 s="8">
        <v>1447295460</v>
      </c>
      <c r="J3404">
        <v>1444747843</v>
      </c>
      <c r="K3404" t="b">
        <v>0</v>
      </c>
      <c r="L3404" s="10">
        <v>165</v>
      </c>
      <c r="M3404" t="b">
        <v>1</v>
      </c>
      <c r="N3404" t="s">
        <v>8269</v>
      </c>
      <c r="O3404" s="11">
        <f t="shared" si="216"/>
        <v>110</v>
      </c>
      <c r="P3404" s="12">
        <f t="shared" si="217"/>
        <v>100</v>
      </c>
      <c r="Q3404" s="14" t="s">
        <v>8314</v>
      </c>
      <c r="R3404" t="s">
        <v>8315</v>
      </c>
      <c r="S3404" s="17">
        <f t="shared" si="218"/>
        <v>42290.61855324074</v>
      </c>
      <c r="T3404" s="17">
        <f t="shared" si="219"/>
        <v>42320.104861111111</v>
      </c>
      <c r="U3404">
        <f>MONTH(Table1[[#This Row],[Launched]])</f>
        <v>10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 s="8">
        <v>1435230324</v>
      </c>
      <c r="J3405">
        <v>1432638324</v>
      </c>
      <c r="K3405" t="b">
        <v>0</v>
      </c>
      <c r="L3405" s="10">
        <v>17</v>
      </c>
      <c r="M3405" t="b">
        <v>1</v>
      </c>
      <c r="N3405" t="s">
        <v>8269</v>
      </c>
      <c r="O3405" s="11">
        <f t="shared" si="216"/>
        <v>100</v>
      </c>
      <c r="P3405" s="12">
        <f t="shared" si="217"/>
        <v>118</v>
      </c>
      <c r="Q3405" s="14" t="s">
        <v>8314</v>
      </c>
      <c r="R3405" t="s">
        <v>8315</v>
      </c>
      <c r="S3405" s="17">
        <f t="shared" si="218"/>
        <v>42150.462083333332</v>
      </c>
      <c r="T3405" s="17">
        <f t="shared" si="219"/>
        <v>42180.462083333332</v>
      </c>
      <c r="U3405">
        <f>MONTH(Table1[[#This Row],[Launched]])</f>
        <v>5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8218</v>
      </c>
      <c r="G3406" t="s">
        <v>8223</v>
      </c>
      <c r="H3406" t="s">
        <v>8245</v>
      </c>
      <c r="I3406" s="8">
        <v>1434542702</v>
      </c>
      <c r="J3406">
        <v>1432814702</v>
      </c>
      <c r="K3406" t="b">
        <v>0</v>
      </c>
      <c r="L3406" s="10">
        <v>3</v>
      </c>
      <c r="M3406" t="b">
        <v>1</v>
      </c>
      <c r="N3406" t="s">
        <v>8269</v>
      </c>
      <c r="O3406" s="11">
        <f t="shared" si="216"/>
        <v>122</v>
      </c>
      <c r="P3406" s="12">
        <f t="shared" si="217"/>
        <v>203</v>
      </c>
      <c r="Q3406" s="14" t="s">
        <v>8314</v>
      </c>
      <c r="R3406" t="s">
        <v>8315</v>
      </c>
      <c r="S3406" s="17">
        <f t="shared" si="218"/>
        <v>42152.503495370373</v>
      </c>
      <c r="T3406" s="17">
        <f t="shared" si="219"/>
        <v>42172.503495370373</v>
      </c>
      <c r="U3406">
        <f>MONTH(Table1[[#This Row],[Launched]])</f>
        <v>5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 s="8">
        <v>1456876740</v>
      </c>
      <c r="J3407">
        <v>1455063886</v>
      </c>
      <c r="K3407" t="b">
        <v>0</v>
      </c>
      <c r="L3407" s="10">
        <v>17</v>
      </c>
      <c r="M3407" t="b">
        <v>1</v>
      </c>
      <c r="N3407" t="s">
        <v>8269</v>
      </c>
      <c r="O3407" s="11">
        <f t="shared" si="216"/>
        <v>138</v>
      </c>
      <c r="P3407" s="12">
        <f t="shared" si="217"/>
        <v>28</v>
      </c>
      <c r="Q3407" s="14" t="s">
        <v>8314</v>
      </c>
      <c r="R3407" t="s">
        <v>8315</v>
      </c>
      <c r="S3407" s="17">
        <f t="shared" si="218"/>
        <v>42410.017199074078</v>
      </c>
      <c r="T3407" s="17">
        <f t="shared" si="219"/>
        <v>42430.999305555553</v>
      </c>
      <c r="U3407">
        <f>MONTH(Table1[[#This Row],[Launched]])</f>
        <v>2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 s="8">
        <v>1405511376</v>
      </c>
      <c r="J3408">
        <v>1401623376</v>
      </c>
      <c r="K3408" t="b">
        <v>0</v>
      </c>
      <c r="L3408" s="10">
        <v>91</v>
      </c>
      <c r="M3408" t="b">
        <v>1</v>
      </c>
      <c r="N3408" t="s">
        <v>8269</v>
      </c>
      <c r="O3408" s="11">
        <f t="shared" si="216"/>
        <v>100</v>
      </c>
      <c r="P3408" s="12">
        <f t="shared" si="217"/>
        <v>110</v>
      </c>
      <c r="Q3408" s="14" t="s">
        <v>8314</v>
      </c>
      <c r="R3408" t="s">
        <v>8315</v>
      </c>
      <c r="S3408" s="17">
        <f t="shared" si="218"/>
        <v>41791.492777777778</v>
      </c>
      <c r="T3408" s="17">
        <f t="shared" si="219"/>
        <v>41836.492777777778</v>
      </c>
      <c r="U3408">
        <f>MONTH(Table1[[#This Row],[Launched]])</f>
        <v>6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 s="8">
        <v>1404641289</v>
      </c>
      <c r="J3409">
        <v>1402049289</v>
      </c>
      <c r="K3409" t="b">
        <v>0</v>
      </c>
      <c r="L3409" s="10">
        <v>67</v>
      </c>
      <c r="M3409" t="b">
        <v>1</v>
      </c>
      <c r="N3409" t="s">
        <v>8269</v>
      </c>
      <c r="O3409" s="11">
        <f t="shared" si="216"/>
        <v>107</v>
      </c>
      <c r="P3409" s="12">
        <f t="shared" si="217"/>
        <v>32</v>
      </c>
      <c r="Q3409" s="14" t="s">
        <v>8314</v>
      </c>
      <c r="R3409" t="s">
        <v>8315</v>
      </c>
      <c r="S3409" s="17">
        <f t="shared" si="218"/>
        <v>41796.422326388885</v>
      </c>
      <c r="T3409" s="17">
        <f t="shared" si="219"/>
        <v>41826.422326388885</v>
      </c>
      <c r="U3409">
        <f>MONTH(Table1[[#This Row],[Launched]])</f>
        <v>6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8218</v>
      </c>
      <c r="G3410" t="s">
        <v>8223</v>
      </c>
      <c r="H3410" t="s">
        <v>8245</v>
      </c>
      <c r="I3410" s="8">
        <v>1405727304</v>
      </c>
      <c r="J3410">
        <v>1403135304</v>
      </c>
      <c r="K3410" t="b">
        <v>0</v>
      </c>
      <c r="L3410" s="10">
        <v>18</v>
      </c>
      <c r="M3410" t="b">
        <v>1</v>
      </c>
      <c r="N3410" t="s">
        <v>8269</v>
      </c>
      <c r="O3410" s="11">
        <f t="shared" si="216"/>
        <v>211</v>
      </c>
      <c r="P3410" s="12">
        <f t="shared" si="217"/>
        <v>59</v>
      </c>
      <c r="Q3410" s="14" t="s">
        <v>8314</v>
      </c>
      <c r="R3410" t="s">
        <v>8315</v>
      </c>
      <c r="S3410" s="17">
        <f t="shared" si="218"/>
        <v>41808.991944444446</v>
      </c>
      <c r="T3410" s="17">
        <f t="shared" si="219"/>
        <v>41838.991944444446</v>
      </c>
      <c r="U3410">
        <f>MONTH(Table1[[#This Row],[Launched]])</f>
        <v>6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8218</v>
      </c>
      <c r="G3411" t="s">
        <v>8224</v>
      </c>
      <c r="H3411" t="s">
        <v>8246</v>
      </c>
      <c r="I3411" s="8">
        <v>1469998680</v>
      </c>
      <c r="J3411">
        <v>1466710358</v>
      </c>
      <c r="K3411" t="b">
        <v>0</v>
      </c>
      <c r="L3411" s="10">
        <v>21</v>
      </c>
      <c r="M3411" t="b">
        <v>1</v>
      </c>
      <c r="N3411" t="s">
        <v>8269</v>
      </c>
      <c r="O3411" s="11">
        <f t="shared" si="216"/>
        <v>124</v>
      </c>
      <c r="P3411" s="12">
        <f t="shared" si="217"/>
        <v>29</v>
      </c>
      <c r="Q3411" s="14" t="s">
        <v>8314</v>
      </c>
      <c r="R3411" t="s">
        <v>8315</v>
      </c>
      <c r="S3411" s="17">
        <f t="shared" si="218"/>
        <v>42544.814328703709</v>
      </c>
      <c r="T3411" s="17">
        <f t="shared" si="219"/>
        <v>42582.873611111107</v>
      </c>
      <c r="U3411">
        <f>MONTH(Table1[[#This Row],[Launched]])</f>
        <v>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 s="8">
        <v>1465196400</v>
      </c>
      <c r="J3412">
        <v>1462841990</v>
      </c>
      <c r="K3412" t="b">
        <v>0</v>
      </c>
      <c r="L3412" s="10">
        <v>40</v>
      </c>
      <c r="M3412" t="b">
        <v>1</v>
      </c>
      <c r="N3412" t="s">
        <v>8269</v>
      </c>
      <c r="O3412" s="11">
        <f t="shared" si="216"/>
        <v>109</v>
      </c>
      <c r="P3412" s="12">
        <f t="shared" si="217"/>
        <v>81</v>
      </c>
      <c r="Q3412" s="14" t="s">
        <v>8314</v>
      </c>
      <c r="R3412" t="s">
        <v>8315</v>
      </c>
      <c r="S3412" s="17">
        <f t="shared" si="218"/>
        <v>42500.041550925926</v>
      </c>
      <c r="T3412" s="17">
        <f t="shared" si="219"/>
        <v>42527.291666666672</v>
      </c>
      <c r="U3412">
        <f>MONTH(Table1[[#This Row],[Launched]])</f>
        <v>5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 s="8">
        <v>1444264372</v>
      </c>
      <c r="J3413">
        <v>1442536372</v>
      </c>
      <c r="K3413" t="b">
        <v>0</v>
      </c>
      <c r="L3413" s="10">
        <v>78</v>
      </c>
      <c r="M3413" t="b">
        <v>1</v>
      </c>
      <c r="N3413" t="s">
        <v>8269</v>
      </c>
      <c r="O3413" s="11">
        <f t="shared" si="216"/>
        <v>104</v>
      </c>
      <c r="P3413" s="12">
        <f t="shared" si="217"/>
        <v>199</v>
      </c>
      <c r="Q3413" s="14" t="s">
        <v>8314</v>
      </c>
      <c r="R3413" t="s">
        <v>8315</v>
      </c>
      <c r="S3413" s="17">
        <f t="shared" si="218"/>
        <v>42265.022824074069</v>
      </c>
      <c r="T3413" s="17">
        <f t="shared" si="219"/>
        <v>42285.022824074069</v>
      </c>
      <c r="U3413">
        <f>MONTH(Table1[[#This Row],[Launched]])</f>
        <v>9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 s="8">
        <v>1411858862</v>
      </c>
      <c r="J3414">
        <v>1409266862</v>
      </c>
      <c r="K3414" t="b">
        <v>0</v>
      </c>
      <c r="L3414" s="10">
        <v>26</v>
      </c>
      <c r="M3414" t="b">
        <v>1</v>
      </c>
      <c r="N3414" t="s">
        <v>8269</v>
      </c>
      <c r="O3414" s="11">
        <f t="shared" si="216"/>
        <v>100</v>
      </c>
      <c r="P3414" s="12">
        <f t="shared" si="217"/>
        <v>115</v>
      </c>
      <c r="Q3414" s="14" t="s">
        <v>8314</v>
      </c>
      <c r="R3414" t="s">
        <v>8315</v>
      </c>
      <c r="S3414" s="17">
        <f t="shared" si="218"/>
        <v>41879.959050925929</v>
      </c>
      <c r="T3414" s="17">
        <f t="shared" si="219"/>
        <v>41909.959050925929</v>
      </c>
      <c r="U3414">
        <f>MONTH(Table1[[#This Row],[Launched]])</f>
        <v>8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8218</v>
      </c>
      <c r="G3415" t="s">
        <v>8223</v>
      </c>
      <c r="H3415" t="s">
        <v>8245</v>
      </c>
      <c r="I3415" s="8">
        <v>1425099540</v>
      </c>
      <c r="J3415">
        <v>1424280938</v>
      </c>
      <c r="K3415" t="b">
        <v>0</v>
      </c>
      <c r="L3415" s="10">
        <v>14</v>
      </c>
      <c r="M3415" t="b">
        <v>1</v>
      </c>
      <c r="N3415" t="s">
        <v>8269</v>
      </c>
      <c r="O3415" s="11">
        <f t="shared" si="216"/>
        <v>130</v>
      </c>
      <c r="P3415" s="12">
        <f t="shared" si="217"/>
        <v>46</v>
      </c>
      <c r="Q3415" s="14" t="s">
        <v>8314</v>
      </c>
      <c r="R3415" t="s">
        <v>8315</v>
      </c>
      <c r="S3415" s="17">
        <f t="shared" si="218"/>
        <v>42053.733078703706</v>
      </c>
      <c r="T3415" s="17">
        <f t="shared" si="219"/>
        <v>42063.207638888889</v>
      </c>
      <c r="U3415">
        <f>MONTH(Table1[[#This Row],[Launched]])</f>
        <v>2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 s="8">
        <v>1480579140</v>
      </c>
      <c r="J3416">
        <v>1478030325</v>
      </c>
      <c r="K3416" t="b">
        <v>0</v>
      </c>
      <c r="L3416" s="10">
        <v>44</v>
      </c>
      <c r="M3416" t="b">
        <v>1</v>
      </c>
      <c r="N3416" t="s">
        <v>8269</v>
      </c>
      <c r="O3416" s="11">
        <f t="shared" si="216"/>
        <v>104</v>
      </c>
      <c r="P3416" s="12">
        <f t="shared" si="217"/>
        <v>71</v>
      </c>
      <c r="Q3416" s="14" t="s">
        <v>8314</v>
      </c>
      <c r="R3416" t="s">
        <v>8315</v>
      </c>
      <c r="S3416" s="17">
        <f t="shared" si="218"/>
        <v>42675.832465277781</v>
      </c>
      <c r="T3416" s="17">
        <f t="shared" si="219"/>
        <v>42705.332638888889</v>
      </c>
      <c r="U3416">
        <f>MONTH(Table1[[#This Row],[Launched]])</f>
        <v>11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8218</v>
      </c>
      <c r="G3417" t="s">
        <v>8223</v>
      </c>
      <c r="H3417" t="s">
        <v>8245</v>
      </c>
      <c r="I3417" s="8">
        <v>1460935800</v>
      </c>
      <c r="J3417">
        <v>1459999656</v>
      </c>
      <c r="K3417" t="b">
        <v>0</v>
      </c>
      <c r="L3417" s="10">
        <v>9</v>
      </c>
      <c r="M3417" t="b">
        <v>1</v>
      </c>
      <c r="N3417" t="s">
        <v>8269</v>
      </c>
      <c r="O3417" s="11">
        <f t="shared" si="216"/>
        <v>100</v>
      </c>
      <c r="P3417" s="12">
        <f t="shared" si="217"/>
        <v>22</v>
      </c>
      <c r="Q3417" s="14" t="s">
        <v>8314</v>
      </c>
      <c r="R3417" t="s">
        <v>8315</v>
      </c>
      <c r="S3417" s="17">
        <f t="shared" si="218"/>
        <v>42467.144166666665</v>
      </c>
      <c r="T3417" s="17">
        <f t="shared" si="219"/>
        <v>42477.979166666672</v>
      </c>
      <c r="U3417">
        <f>MONTH(Table1[[#This Row],[Launched]])</f>
        <v>4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 s="8">
        <v>1429813800</v>
      </c>
      <c r="J3418">
        <v>1427363645</v>
      </c>
      <c r="K3418" t="b">
        <v>0</v>
      </c>
      <c r="L3418" s="10">
        <v>30</v>
      </c>
      <c r="M3418" t="b">
        <v>1</v>
      </c>
      <c r="N3418" t="s">
        <v>8269</v>
      </c>
      <c r="O3418" s="11">
        <f t="shared" si="216"/>
        <v>120</v>
      </c>
      <c r="P3418" s="12">
        <f t="shared" si="217"/>
        <v>159</v>
      </c>
      <c r="Q3418" s="14" t="s">
        <v>8314</v>
      </c>
      <c r="R3418" t="s">
        <v>8315</v>
      </c>
      <c r="S3418" s="17">
        <f t="shared" si="218"/>
        <v>42089.412557870368</v>
      </c>
      <c r="T3418" s="17">
        <f t="shared" si="219"/>
        <v>42117.770833333328</v>
      </c>
      <c r="U3418">
        <f>MONTH(Table1[[#This Row],[Launched]])</f>
        <v>3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 s="8">
        <v>1414284180</v>
      </c>
      <c r="J3419">
        <v>1410558948</v>
      </c>
      <c r="K3419" t="b">
        <v>0</v>
      </c>
      <c r="L3419" s="10">
        <v>45</v>
      </c>
      <c r="M3419" t="b">
        <v>1</v>
      </c>
      <c r="N3419" t="s">
        <v>8269</v>
      </c>
      <c r="O3419" s="11">
        <f t="shared" si="216"/>
        <v>100</v>
      </c>
      <c r="P3419" s="12">
        <f t="shared" si="217"/>
        <v>38</v>
      </c>
      <c r="Q3419" s="14" t="s">
        <v>8314</v>
      </c>
      <c r="R3419" t="s">
        <v>8315</v>
      </c>
      <c r="S3419" s="17">
        <f t="shared" si="218"/>
        <v>41894.91375</v>
      </c>
      <c r="T3419" s="17">
        <f t="shared" si="219"/>
        <v>41938.029861111114</v>
      </c>
      <c r="U3419">
        <f>MONTH(Table1[[#This Row],[Launched]])</f>
        <v>9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 s="8">
        <v>1400875307</v>
      </c>
      <c r="J3420">
        <v>1398283307</v>
      </c>
      <c r="K3420" t="b">
        <v>0</v>
      </c>
      <c r="L3420" s="10">
        <v>56</v>
      </c>
      <c r="M3420" t="b">
        <v>1</v>
      </c>
      <c r="N3420" t="s">
        <v>8269</v>
      </c>
      <c r="O3420" s="11">
        <f t="shared" si="216"/>
        <v>101</v>
      </c>
      <c r="P3420" s="12">
        <f t="shared" si="217"/>
        <v>72</v>
      </c>
      <c r="Q3420" s="14" t="s">
        <v>8314</v>
      </c>
      <c r="R3420" t="s">
        <v>8315</v>
      </c>
      <c r="S3420" s="17">
        <f t="shared" si="218"/>
        <v>41752.83457175926</v>
      </c>
      <c r="T3420" s="17">
        <f t="shared" si="219"/>
        <v>41782.83457175926</v>
      </c>
      <c r="U3420">
        <f>MONTH(Table1[[#This Row],[Launched]])</f>
        <v>4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 s="8">
        <v>1459978200</v>
      </c>
      <c r="J3421">
        <v>1458416585</v>
      </c>
      <c r="K3421" t="b">
        <v>0</v>
      </c>
      <c r="L3421" s="10">
        <v>46</v>
      </c>
      <c r="M3421" t="b">
        <v>1</v>
      </c>
      <c r="N3421" t="s">
        <v>8269</v>
      </c>
      <c r="O3421" s="11">
        <f t="shared" si="216"/>
        <v>107</v>
      </c>
      <c r="P3421" s="12">
        <f t="shared" si="217"/>
        <v>64</v>
      </c>
      <c r="Q3421" s="14" t="s">
        <v>8314</v>
      </c>
      <c r="R3421" t="s">
        <v>8315</v>
      </c>
      <c r="S3421" s="17">
        <f t="shared" si="218"/>
        <v>42448.821585648147</v>
      </c>
      <c r="T3421" s="17">
        <f t="shared" si="219"/>
        <v>42466.895833333328</v>
      </c>
      <c r="U3421">
        <f>MONTH(Table1[[#This Row],[Launched]])</f>
        <v>3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8218</v>
      </c>
      <c r="G3422" t="s">
        <v>8224</v>
      </c>
      <c r="H3422" t="s">
        <v>8246</v>
      </c>
      <c r="I3422" s="8">
        <v>1455408000</v>
      </c>
      <c r="J3422">
        <v>1454638202</v>
      </c>
      <c r="K3422" t="b">
        <v>0</v>
      </c>
      <c r="L3422" s="10">
        <v>34</v>
      </c>
      <c r="M3422" t="b">
        <v>1</v>
      </c>
      <c r="N3422" t="s">
        <v>8269</v>
      </c>
      <c r="O3422" s="11">
        <f t="shared" si="216"/>
        <v>138</v>
      </c>
      <c r="P3422" s="12">
        <f t="shared" si="217"/>
        <v>28</v>
      </c>
      <c r="Q3422" s="14" t="s">
        <v>8314</v>
      </c>
      <c r="R3422" t="s">
        <v>8315</v>
      </c>
      <c r="S3422" s="17">
        <f t="shared" si="218"/>
        <v>42405.090300925927</v>
      </c>
      <c r="T3422" s="17">
        <f t="shared" si="219"/>
        <v>42414</v>
      </c>
      <c r="U3422">
        <f>MONTH(Table1[[#This Row],[Launched]])</f>
        <v>2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 s="8">
        <v>1425495563</v>
      </c>
      <c r="J3423">
        <v>1422903563</v>
      </c>
      <c r="K3423" t="b">
        <v>0</v>
      </c>
      <c r="L3423" s="10">
        <v>98</v>
      </c>
      <c r="M3423" t="b">
        <v>1</v>
      </c>
      <c r="N3423" t="s">
        <v>8269</v>
      </c>
      <c r="O3423" s="11">
        <f t="shared" si="216"/>
        <v>101</v>
      </c>
      <c r="P3423" s="12">
        <f t="shared" si="217"/>
        <v>103</v>
      </c>
      <c r="Q3423" s="14" t="s">
        <v>8314</v>
      </c>
      <c r="R3423" t="s">
        <v>8315</v>
      </c>
      <c r="S3423" s="17">
        <f t="shared" si="218"/>
        <v>42037.791238425925</v>
      </c>
      <c r="T3423" s="17">
        <f t="shared" si="219"/>
        <v>42067.791238425925</v>
      </c>
      <c r="U3423">
        <f>MONTH(Table1[[#This Row],[Launched]])</f>
        <v>2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 s="8">
        <v>1450051200</v>
      </c>
      <c r="J3424">
        <v>1447594176</v>
      </c>
      <c r="K3424" t="b">
        <v>0</v>
      </c>
      <c r="L3424" s="10">
        <v>46</v>
      </c>
      <c r="M3424" t="b">
        <v>1</v>
      </c>
      <c r="N3424" t="s">
        <v>8269</v>
      </c>
      <c r="O3424" s="11">
        <f t="shared" si="216"/>
        <v>109</v>
      </c>
      <c r="P3424" s="12">
        <f t="shared" si="217"/>
        <v>71</v>
      </c>
      <c r="Q3424" s="14" t="s">
        <v>8314</v>
      </c>
      <c r="R3424" t="s">
        <v>8315</v>
      </c>
      <c r="S3424" s="17">
        <f t="shared" si="218"/>
        <v>42323.562222222223</v>
      </c>
      <c r="T3424" s="17">
        <f t="shared" si="219"/>
        <v>42352</v>
      </c>
      <c r="U3424">
        <f>MONTH(Table1[[#This Row],[Launched]])</f>
        <v>11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8218</v>
      </c>
      <c r="G3425" t="s">
        <v>8223</v>
      </c>
      <c r="H3425" t="s">
        <v>8245</v>
      </c>
      <c r="I3425" s="8">
        <v>1429912341</v>
      </c>
      <c r="J3425">
        <v>1427320341</v>
      </c>
      <c r="K3425" t="b">
        <v>0</v>
      </c>
      <c r="L3425" s="10">
        <v>10</v>
      </c>
      <c r="M3425" t="b">
        <v>1</v>
      </c>
      <c r="N3425" t="s">
        <v>8269</v>
      </c>
      <c r="O3425" s="11">
        <f t="shared" si="216"/>
        <v>140</v>
      </c>
      <c r="P3425" s="12">
        <f t="shared" si="217"/>
        <v>35</v>
      </c>
      <c r="Q3425" s="14" t="s">
        <v>8314</v>
      </c>
      <c r="R3425" t="s">
        <v>8315</v>
      </c>
      <c r="S3425" s="17">
        <f t="shared" si="218"/>
        <v>42088.911354166667</v>
      </c>
      <c r="T3425" s="17">
        <f t="shared" si="219"/>
        <v>42118.911354166667</v>
      </c>
      <c r="U3425">
        <f>MONTH(Table1[[#This Row],[Launched]])</f>
        <v>3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 s="8">
        <v>1423119540</v>
      </c>
      <c r="J3426">
        <v>1421252084</v>
      </c>
      <c r="K3426" t="b">
        <v>0</v>
      </c>
      <c r="L3426" s="10">
        <v>76</v>
      </c>
      <c r="M3426" t="b">
        <v>1</v>
      </c>
      <c r="N3426" t="s">
        <v>8269</v>
      </c>
      <c r="O3426" s="11">
        <f t="shared" si="216"/>
        <v>104</v>
      </c>
      <c r="P3426" s="12">
        <f t="shared" si="217"/>
        <v>82</v>
      </c>
      <c r="Q3426" s="14" t="s">
        <v>8314</v>
      </c>
      <c r="R3426" t="s">
        <v>8315</v>
      </c>
      <c r="S3426" s="17">
        <f t="shared" si="218"/>
        <v>42018.676898148144</v>
      </c>
      <c r="T3426" s="17">
        <f t="shared" si="219"/>
        <v>42040.290972222225</v>
      </c>
      <c r="U3426">
        <f>MONTH(Table1[[#This Row],[Launched]])</f>
        <v>1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 s="8">
        <v>1412434136</v>
      </c>
      <c r="J3427">
        <v>1409669336</v>
      </c>
      <c r="K3427" t="b">
        <v>0</v>
      </c>
      <c r="L3427" s="10">
        <v>104</v>
      </c>
      <c r="M3427" t="b">
        <v>1</v>
      </c>
      <c r="N3427" t="s">
        <v>8269</v>
      </c>
      <c r="O3427" s="11">
        <f t="shared" si="216"/>
        <v>103</v>
      </c>
      <c r="P3427" s="12">
        <f t="shared" si="217"/>
        <v>297</v>
      </c>
      <c r="Q3427" s="14" t="s">
        <v>8314</v>
      </c>
      <c r="R3427" t="s">
        <v>8315</v>
      </c>
      <c r="S3427" s="17">
        <f t="shared" si="218"/>
        <v>41884.617314814815</v>
      </c>
      <c r="T3427" s="17">
        <f t="shared" si="219"/>
        <v>41916.617314814815</v>
      </c>
      <c r="U3427">
        <f>MONTH(Table1[[#This Row],[Launched]])</f>
        <v>9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 s="8">
        <v>1411264800</v>
      </c>
      <c r="J3428">
        <v>1409620903</v>
      </c>
      <c r="K3428" t="b">
        <v>0</v>
      </c>
      <c r="L3428" s="10">
        <v>87</v>
      </c>
      <c r="M3428" t="b">
        <v>1</v>
      </c>
      <c r="N3428" t="s">
        <v>8269</v>
      </c>
      <c r="O3428" s="11">
        <f t="shared" si="216"/>
        <v>108</v>
      </c>
      <c r="P3428" s="12">
        <f t="shared" si="217"/>
        <v>47</v>
      </c>
      <c r="Q3428" s="14" t="s">
        <v>8314</v>
      </c>
      <c r="R3428" t="s">
        <v>8315</v>
      </c>
      <c r="S3428" s="17">
        <f t="shared" si="218"/>
        <v>41884.056747685187</v>
      </c>
      <c r="T3428" s="17">
        <f t="shared" si="219"/>
        <v>41903.083333333336</v>
      </c>
      <c r="U3428">
        <f>MONTH(Table1[[#This Row],[Launched]])</f>
        <v>9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 s="8">
        <v>1404314952</v>
      </c>
      <c r="J3429">
        <v>1401722952</v>
      </c>
      <c r="K3429" t="b">
        <v>0</v>
      </c>
      <c r="L3429" s="10">
        <v>29</v>
      </c>
      <c r="M3429" t="b">
        <v>1</v>
      </c>
      <c r="N3429" t="s">
        <v>8269</v>
      </c>
      <c r="O3429" s="11">
        <f t="shared" si="216"/>
        <v>100</v>
      </c>
      <c r="P3429" s="12">
        <f t="shared" si="217"/>
        <v>52</v>
      </c>
      <c r="Q3429" s="14" t="s">
        <v>8314</v>
      </c>
      <c r="R3429" t="s">
        <v>8315</v>
      </c>
      <c r="S3429" s="17">
        <f t="shared" si="218"/>
        <v>41792.645277777774</v>
      </c>
      <c r="T3429" s="17">
        <f t="shared" si="219"/>
        <v>41822.645277777774</v>
      </c>
      <c r="U3429">
        <f>MONTH(Table1[[#This Row],[Launched]])</f>
        <v>6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 s="8">
        <v>1425142800</v>
      </c>
      <c r="J3430">
        <v>1422983847</v>
      </c>
      <c r="K3430" t="b">
        <v>0</v>
      </c>
      <c r="L3430" s="10">
        <v>51</v>
      </c>
      <c r="M3430" t="b">
        <v>1</v>
      </c>
      <c r="N3430" t="s">
        <v>8269</v>
      </c>
      <c r="O3430" s="11">
        <f t="shared" si="216"/>
        <v>103</v>
      </c>
      <c r="P3430" s="12">
        <f t="shared" si="217"/>
        <v>40</v>
      </c>
      <c r="Q3430" s="14" t="s">
        <v>8314</v>
      </c>
      <c r="R3430" t="s">
        <v>8315</v>
      </c>
      <c r="S3430" s="17">
        <f t="shared" si="218"/>
        <v>42038.720451388886</v>
      </c>
      <c r="T3430" s="17">
        <f t="shared" si="219"/>
        <v>42063.708333333328</v>
      </c>
      <c r="U3430">
        <f>MONTH(Table1[[#This Row],[Launched]])</f>
        <v>2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8218</v>
      </c>
      <c r="G3431" t="s">
        <v>8224</v>
      </c>
      <c r="H3431" t="s">
        <v>8246</v>
      </c>
      <c r="I3431" s="8">
        <v>1478046661</v>
      </c>
      <c r="J3431">
        <v>1476837061</v>
      </c>
      <c r="K3431" t="b">
        <v>0</v>
      </c>
      <c r="L3431" s="10">
        <v>12</v>
      </c>
      <c r="M3431" t="b">
        <v>1</v>
      </c>
      <c r="N3431" t="s">
        <v>8269</v>
      </c>
      <c r="O3431" s="11">
        <f t="shared" si="216"/>
        <v>130</v>
      </c>
      <c r="P3431" s="12">
        <f t="shared" si="217"/>
        <v>16</v>
      </c>
      <c r="Q3431" s="14" t="s">
        <v>8314</v>
      </c>
      <c r="R3431" t="s">
        <v>8315</v>
      </c>
      <c r="S3431" s="17">
        <f t="shared" si="218"/>
        <v>42662.021539351852</v>
      </c>
      <c r="T3431" s="17">
        <f t="shared" si="219"/>
        <v>42676.021539351852</v>
      </c>
      <c r="U3431">
        <f>MONTH(Table1[[#This Row],[Launched]])</f>
        <v>10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 s="8">
        <v>1406760101</v>
      </c>
      <c r="J3432">
        <v>1404168101</v>
      </c>
      <c r="K3432" t="b">
        <v>0</v>
      </c>
      <c r="L3432" s="10">
        <v>72</v>
      </c>
      <c r="M3432" t="b">
        <v>1</v>
      </c>
      <c r="N3432" t="s">
        <v>8269</v>
      </c>
      <c r="O3432" s="11">
        <f t="shared" si="216"/>
        <v>109</v>
      </c>
      <c r="P3432" s="12">
        <f t="shared" si="217"/>
        <v>30</v>
      </c>
      <c r="Q3432" s="14" t="s">
        <v>8314</v>
      </c>
      <c r="R3432" t="s">
        <v>8315</v>
      </c>
      <c r="S3432" s="17">
        <f t="shared" si="218"/>
        <v>41820.945613425924</v>
      </c>
      <c r="T3432" s="17">
        <f t="shared" si="219"/>
        <v>41850.945613425924</v>
      </c>
      <c r="U3432">
        <f>MONTH(Table1[[#This Row],[Launched]])</f>
        <v>6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 s="8">
        <v>1408383153</v>
      </c>
      <c r="J3433">
        <v>1405791153</v>
      </c>
      <c r="K3433" t="b">
        <v>0</v>
      </c>
      <c r="L3433" s="10">
        <v>21</v>
      </c>
      <c r="M3433" t="b">
        <v>1</v>
      </c>
      <c r="N3433" t="s">
        <v>8269</v>
      </c>
      <c r="O3433" s="11">
        <f t="shared" si="216"/>
        <v>100</v>
      </c>
      <c r="P3433" s="12">
        <f t="shared" si="217"/>
        <v>95</v>
      </c>
      <c r="Q3433" s="14" t="s">
        <v>8314</v>
      </c>
      <c r="R3433" t="s">
        <v>8315</v>
      </c>
      <c r="S3433" s="17">
        <f t="shared" si="218"/>
        <v>41839.730937500004</v>
      </c>
      <c r="T3433" s="17">
        <f t="shared" si="219"/>
        <v>41869.730937500004</v>
      </c>
      <c r="U3433">
        <f>MONTH(Table1[[#This Row],[Launched]])</f>
        <v>7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 s="8">
        <v>1454709600</v>
      </c>
      <c r="J3434">
        <v>1452520614</v>
      </c>
      <c r="K3434" t="b">
        <v>0</v>
      </c>
      <c r="L3434" s="10">
        <v>42</v>
      </c>
      <c r="M3434" t="b">
        <v>1</v>
      </c>
      <c r="N3434" t="s">
        <v>8269</v>
      </c>
      <c r="O3434" s="11">
        <f t="shared" si="216"/>
        <v>110</v>
      </c>
      <c r="P3434" s="12">
        <f t="shared" si="217"/>
        <v>52</v>
      </c>
      <c r="Q3434" s="14" t="s">
        <v>8314</v>
      </c>
      <c r="R3434" t="s">
        <v>8315</v>
      </c>
      <c r="S3434" s="17">
        <f t="shared" si="218"/>
        <v>42380.581180555557</v>
      </c>
      <c r="T3434" s="17">
        <f t="shared" si="219"/>
        <v>42405.916666666672</v>
      </c>
      <c r="U3434">
        <f>MONTH(Table1[[#This Row],[Launched]])</f>
        <v>1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 s="8">
        <v>1402974000</v>
      </c>
      <c r="J3435">
        <v>1400290255</v>
      </c>
      <c r="K3435" t="b">
        <v>0</v>
      </c>
      <c r="L3435" s="10">
        <v>71</v>
      </c>
      <c r="M3435" t="b">
        <v>1</v>
      </c>
      <c r="N3435" t="s">
        <v>8269</v>
      </c>
      <c r="O3435" s="11">
        <f t="shared" si="216"/>
        <v>100</v>
      </c>
      <c r="P3435" s="12">
        <f t="shared" si="217"/>
        <v>134</v>
      </c>
      <c r="Q3435" s="14" t="s">
        <v>8314</v>
      </c>
      <c r="R3435" t="s">
        <v>8315</v>
      </c>
      <c r="S3435" s="17">
        <f t="shared" si="218"/>
        <v>41776.063136574077</v>
      </c>
      <c r="T3435" s="17">
        <f t="shared" si="219"/>
        <v>41807.125</v>
      </c>
      <c r="U3435">
        <f>MONTH(Table1[[#This Row],[Launched]])</f>
        <v>5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 s="8">
        <v>1404983269</v>
      </c>
      <c r="J3436">
        <v>1402391269</v>
      </c>
      <c r="K3436" t="b">
        <v>0</v>
      </c>
      <c r="L3436" s="10">
        <v>168</v>
      </c>
      <c r="M3436" t="b">
        <v>1</v>
      </c>
      <c r="N3436" t="s">
        <v>8269</v>
      </c>
      <c r="O3436" s="11">
        <f t="shared" si="216"/>
        <v>106</v>
      </c>
      <c r="P3436" s="12">
        <f t="shared" si="217"/>
        <v>63</v>
      </c>
      <c r="Q3436" s="14" t="s">
        <v>8314</v>
      </c>
      <c r="R3436" t="s">
        <v>8315</v>
      </c>
      <c r="S3436" s="17">
        <f t="shared" si="218"/>
        <v>41800.380428240744</v>
      </c>
      <c r="T3436" s="17">
        <f t="shared" si="219"/>
        <v>41830.380428240744</v>
      </c>
      <c r="U3436">
        <f>MONTH(Table1[[#This Row],[Launched]])</f>
        <v>6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 s="8">
        <v>1470538800</v>
      </c>
      <c r="J3437">
        <v>1469112493</v>
      </c>
      <c r="K3437" t="b">
        <v>0</v>
      </c>
      <c r="L3437" s="10">
        <v>19</v>
      </c>
      <c r="M3437" t="b">
        <v>1</v>
      </c>
      <c r="N3437" t="s">
        <v>8269</v>
      </c>
      <c r="O3437" s="11">
        <f t="shared" si="216"/>
        <v>112</v>
      </c>
      <c r="P3437" s="12">
        <f t="shared" si="217"/>
        <v>59</v>
      </c>
      <c r="Q3437" s="14" t="s">
        <v>8314</v>
      </c>
      <c r="R3437" t="s">
        <v>8315</v>
      </c>
      <c r="S3437" s="17">
        <f t="shared" si="218"/>
        <v>42572.61681712963</v>
      </c>
      <c r="T3437" s="17">
        <f t="shared" si="219"/>
        <v>42589.125</v>
      </c>
      <c r="U3437">
        <f>MONTH(Table1[[#This Row],[Launched]])</f>
        <v>7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 s="8">
        <v>1408638480</v>
      </c>
      <c r="J3438">
        <v>1406811593</v>
      </c>
      <c r="K3438" t="b">
        <v>0</v>
      </c>
      <c r="L3438" s="10">
        <v>37</v>
      </c>
      <c r="M3438" t="b">
        <v>1</v>
      </c>
      <c r="N3438" t="s">
        <v>8269</v>
      </c>
      <c r="O3438" s="11">
        <f t="shared" si="216"/>
        <v>106</v>
      </c>
      <c r="P3438" s="12">
        <f t="shared" si="217"/>
        <v>143</v>
      </c>
      <c r="Q3438" s="14" t="s">
        <v>8314</v>
      </c>
      <c r="R3438" t="s">
        <v>8315</v>
      </c>
      <c r="S3438" s="17">
        <f t="shared" si="218"/>
        <v>41851.541585648149</v>
      </c>
      <c r="T3438" s="17">
        <f t="shared" si="219"/>
        <v>41872.686111111114</v>
      </c>
      <c r="U3438">
        <f>MONTH(Table1[[#This Row],[Launched]])</f>
        <v>7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 s="8">
        <v>1440003820</v>
      </c>
      <c r="J3439">
        <v>1437411820</v>
      </c>
      <c r="K3439" t="b">
        <v>0</v>
      </c>
      <c r="L3439" s="10">
        <v>36</v>
      </c>
      <c r="M3439" t="b">
        <v>1</v>
      </c>
      <c r="N3439" t="s">
        <v>8269</v>
      </c>
      <c r="O3439" s="11">
        <f t="shared" si="216"/>
        <v>101</v>
      </c>
      <c r="P3439" s="12">
        <f t="shared" si="217"/>
        <v>84</v>
      </c>
      <c r="Q3439" s="14" t="s">
        <v>8314</v>
      </c>
      <c r="R3439" t="s">
        <v>8315</v>
      </c>
      <c r="S3439" s="17">
        <f t="shared" si="218"/>
        <v>42205.710879629631</v>
      </c>
      <c r="T3439" s="17">
        <f t="shared" si="219"/>
        <v>42235.710879629631</v>
      </c>
      <c r="U3439">
        <f>MONTH(Table1[[#This Row],[Launched]])</f>
        <v>7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 s="8">
        <v>1430600400</v>
      </c>
      <c r="J3440">
        <v>1428358567</v>
      </c>
      <c r="K3440" t="b">
        <v>0</v>
      </c>
      <c r="L3440" s="10">
        <v>14</v>
      </c>
      <c r="M3440" t="b">
        <v>1</v>
      </c>
      <c r="N3440" t="s">
        <v>8269</v>
      </c>
      <c r="O3440" s="11">
        <f t="shared" si="216"/>
        <v>104</v>
      </c>
      <c r="P3440" s="12">
        <f t="shared" si="217"/>
        <v>186</v>
      </c>
      <c r="Q3440" s="14" t="s">
        <v>8314</v>
      </c>
      <c r="R3440" t="s">
        <v>8315</v>
      </c>
      <c r="S3440" s="17">
        <f t="shared" si="218"/>
        <v>42100.927858796291</v>
      </c>
      <c r="T3440" s="17">
        <f t="shared" si="219"/>
        <v>42126.875</v>
      </c>
      <c r="U3440">
        <f>MONTH(Table1[[#This Row],[Launched]])</f>
        <v>4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 s="8">
        <v>1453179540</v>
      </c>
      <c r="J3441">
        <v>1452030730</v>
      </c>
      <c r="K3441" t="b">
        <v>0</v>
      </c>
      <c r="L3441" s="10">
        <v>18</v>
      </c>
      <c r="M3441" t="b">
        <v>1</v>
      </c>
      <c r="N3441" t="s">
        <v>8269</v>
      </c>
      <c r="O3441" s="11">
        <f t="shared" si="216"/>
        <v>135</v>
      </c>
      <c r="P3441" s="12">
        <f t="shared" si="217"/>
        <v>90</v>
      </c>
      <c r="Q3441" s="14" t="s">
        <v>8314</v>
      </c>
      <c r="R3441" t="s">
        <v>8315</v>
      </c>
      <c r="S3441" s="17">
        <f t="shared" si="218"/>
        <v>42374.911226851851</v>
      </c>
      <c r="T3441" s="17">
        <f t="shared" si="219"/>
        <v>42388.207638888889</v>
      </c>
      <c r="U3441">
        <f>MONTH(Table1[[#This Row],[Launched]])</f>
        <v>1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 s="8">
        <v>1405095300</v>
      </c>
      <c r="J3442">
        <v>1403146628</v>
      </c>
      <c r="K3442" t="b">
        <v>0</v>
      </c>
      <c r="L3442" s="10">
        <v>82</v>
      </c>
      <c r="M3442" t="b">
        <v>1</v>
      </c>
      <c r="N3442" t="s">
        <v>8269</v>
      </c>
      <c r="O3442" s="11">
        <f t="shared" si="216"/>
        <v>105</v>
      </c>
      <c r="P3442" s="12">
        <f t="shared" si="217"/>
        <v>64</v>
      </c>
      <c r="Q3442" s="14" t="s">
        <v>8314</v>
      </c>
      <c r="R3442" t="s">
        <v>8315</v>
      </c>
      <c r="S3442" s="17">
        <f t="shared" si="218"/>
        <v>41809.12300925926</v>
      </c>
      <c r="T3442" s="17">
        <f t="shared" si="219"/>
        <v>41831.677083333336</v>
      </c>
      <c r="U3442">
        <f>MONTH(Table1[[#This Row],[Launched]])</f>
        <v>6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 s="8">
        <v>1447445820</v>
      </c>
      <c r="J3443">
        <v>1445077121</v>
      </c>
      <c r="K3443" t="b">
        <v>0</v>
      </c>
      <c r="L3443" s="10">
        <v>43</v>
      </c>
      <c r="M3443" t="b">
        <v>1</v>
      </c>
      <c r="N3443" t="s">
        <v>8269</v>
      </c>
      <c r="O3443" s="11">
        <f t="shared" si="216"/>
        <v>103</v>
      </c>
      <c r="P3443" s="12">
        <f t="shared" si="217"/>
        <v>60</v>
      </c>
      <c r="Q3443" s="14" t="s">
        <v>8314</v>
      </c>
      <c r="R3443" t="s">
        <v>8315</v>
      </c>
      <c r="S3443" s="17">
        <f t="shared" si="218"/>
        <v>42294.429641203707</v>
      </c>
      <c r="T3443" s="17">
        <f t="shared" si="219"/>
        <v>42321.845138888893</v>
      </c>
      <c r="U3443">
        <f>MONTH(Table1[[#This Row],[Launched]])</f>
        <v>10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8218</v>
      </c>
      <c r="G3444" t="s">
        <v>8223</v>
      </c>
      <c r="H3444" t="s">
        <v>8245</v>
      </c>
      <c r="I3444" s="8">
        <v>1433016672</v>
      </c>
      <c r="J3444">
        <v>1430424672</v>
      </c>
      <c r="K3444" t="b">
        <v>0</v>
      </c>
      <c r="L3444" s="10">
        <v>8</v>
      </c>
      <c r="M3444" t="b">
        <v>1</v>
      </c>
      <c r="N3444" t="s">
        <v>8269</v>
      </c>
      <c r="O3444" s="11">
        <f t="shared" si="216"/>
        <v>100</v>
      </c>
      <c r="P3444" s="12">
        <f t="shared" si="217"/>
        <v>31</v>
      </c>
      <c r="Q3444" s="14" t="s">
        <v>8314</v>
      </c>
      <c r="R3444" t="s">
        <v>8315</v>
      </c>
      <c r="S3444" s="17">
        <f t="shared" si="218"/>
        <v>42124.841111111105</v>
      </c>
      <c r="T3444" s="17">
        <f t="shared" si="219"/>
        <v>42154.841111111105</v>
      </c>
      <c r="U3444">
        <f>MONTH(Table1[[#This Row],[Launched]])</f>
        <v>4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 s="8">
        <v>1410266146</v>
      </c>
      <c r="J3445">
        <v>1407674146</v>
      </c>
      <c r="K3445" t="b">
        <v>0</v>
      </c>
      <c r="L3445" s="10">
        <v>45</v>
      </c>
      <c r="M3445" t="b">
        <v>1</v>
      </c>
      <c r="N3445" t="s">
        <v>8269</v>
      </c>
      <c r="O3445" s="11">
        <f t="shared" si="216"/>
        <v>186</v>
      </c>
      <c r="P3445" s="12">
        <f t="shared" si="217"/>
        <v>41</v>
      </c>
      <c r="Q3445" s="14" t="s">
        <v>8314</v>
      </c>
      <c r="R3445" t="s">
        <v>8315</v>
      </c>
      <c r="S3445" s="17">
        <f t="shared" si="218"/>
        <v>41861.524837962963</v>
      </c>
      <c r="T3445" s="17">
        <f t="shared" si="219"/>
        <v>41891.524837962963</v>
      </c>
      <c r="U3445">
        <f>MONTH(Table1[[#This Row],[Launched]])</f>
        <v>8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8218</v>
      </c>
      <c r="G3446" t="s">
        <v>8225</v>
      </c>
      <c r="H3446" t="s">
        <v>8247</v>
      </c>
      <c r="I3446" s="8">
        <v>1465394340</v>
      </c>
      <c r="J3446">
        <v>1464677986</v>
      </c>
      <c r="K3446" t="b">
        <v>0</v>
      </c>
      <c r="L3446" s="10">
        <v>20</v>
      </c>
      <c r="M3446" t="b">
        <v>1</v>
      </c>
      <c r="N3446" t="s">
        <v>8269</v>
      </c>
      <c r="O3446" s="11">
        <f t="shared" si="216"/>
        <v>289</v>
      </c>
      <c r="P3446" s="12">
        <f t="shared" si="217"/>
        <v>43</v>
      </c>
      <c r="Q3446" s="14" t="s">
        <v>8314</v>
      </c>
      <c r="R3446" t="s">
        <v>8315</v>
      </c>
      <c r="S3446" s="17">
        <f t="shared" si="218"/>
        <v>42521.291504629626</v>
      </c>
      <c r="T3446" s="17">
        <f t="shared" si="219"/>
        <v>42529.582638888889</v>
      </c>
      <c r="U3446">
        <f>MONTH(Table1[[#This Row],[Launched]])</f>
        <v>5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 s="8">
        <v>1445604236</v>
      </c>
      <c r="J3447">
        <v>1443185036</v>
      </c>
      <c r="K3447" t="b">
        <v>0</v>
      </c>
      <c r="L3447" s="10">
        <v>31</v>
      </c>
      <c r="M3447" t="b">
        <v>1</v>
      </c>
      <c r="N3447" t="s">
        <v>8269</v>
      </c>
      <c r="O3447" s="11">
        <f t="shared" si="216"/>
        <v>100</v>
      </c>
      <c r="P3447" s="12">
        <f t="shared" si="217"/>
        <v>65</v>
      </c>
      <c r="Q3447" s="14" t="s">
        <v>8314</v>
      </c>
      <c r="R3447" t="s">
        <v>8315</v>
      </c>
      <c r="S3447" s="17">
        <f t="shared" si="218"/>
        <v>42272.530509259261</v>
      </c>
      <c r="T3447" s="17">
        <f t="shared" si="219"/>
        <v>42300.530509259261</v>
      </c>
      <c r="U3447">
        <f>MONTH(Table1[[#This Row],[Launched]])</f>
        <v>9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 s="8">
        <v>1423138800</v>
      </c>
      <c r="J3448">
        <v>1421092725</v>
      </c>
      <c r="K3448" t="b">
        <v>0</v>
      </c>
      <c r="L3448" s="10">
        <v>25</v>
      </c>
      <c r="M3448" t="b">
        <v>1</v>
      </c>
      <c r="N3448" t="s">
        <v>8269</v>
      </c>
      <c r="O3448" s="11">
        <f t="shared" si="216"/>
        <v>108</v>
      </c>
      <c r="P3448" s="12">
        <f t="shared" si="217"/>
        <v>43</v>
      </c>
      <c r="Q3448" s="14" t="s">
        <v>8314</v>
      </c>
      <c r="R3448" t="s">
        <v>8315</v>
      </c>
      <c r="S3448" s="17">
        <f t="shared" si="218"/>
        <v>42016.832465277781</v>
      </c>
      <c r="T3448" s="17">
        <f t="shared" si="219"/>
        <v>42040.513888888891</v>
      </c>
      <c r="U3448">
        <f>MONTH(Table1[[#This Row],[Launched]])</f>
        <v>1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 s="8">
        <v>1458332412</v>
      </c>
      <c r="J3449">
        <v>1454448012</v>
      </c>
      <c r="K3449" t="b">
        <v>0</v>
      </c>
      <c r="L3449" s="10">
        <v>14</v>
      </c>
      <c r="M3449" t="b">
        <v>1</v>
      </c>
      <c r="N3449" t="s">
        <v>8269</v>
      </c>
      <c r="O3449" s="11">
        <f t="shared" si="216"/>
        <v>108</v>
      </c>
      <c r="P3449" s="12">
        <f t="shared" si="217"/>
        <v>77</v>
      </c>
      <c r="Q3449" s="14" t="s">
        <v>8314</v>
      </c>
      <c r="R3449" t="s">
        <v>8315</v>
      </c>
      <c r="S3449" s="17">
        <f t="shared" si="218"/>
        <v>42402.889027777783</v>
      </c>
      <c r="T3449" s="17">
        <f t="shared" si="219"/>
        <v>42447.847361111111</v>
      </c>
      <c r="U3449">
        <f>MONTH(Table1[[#This Row],[Launched]])</f>
        <v>2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 s="8">
        <v>1418784689</v>
      </c>
      <c r="J3450">
        <v>1416192689</v>
      </c>
      <c r="K3450" t="b">
        <v>0</v>
      </c>
      <c r="L3450" s="10">
        <v>45</v>
      </c>
      <c r="M3450" t="b">
        <v>1</v>
      </c>
      <c r="N3450" t="s">
        <v>8269</v>
      </c>
      <c r="O3450" s="11">
        <f t="shared" si="216"/>
        <v>110</v>
      </c>
      <c r="P3450" s="12">
        <f t="shared" si="217"/>
        <v>51</v>
      </c>
      <c r="Q3450" s="14" t="s">
        <v>8314</v>
      </c>
      <c r="R3450" t="s">
        <v>8315</v>
      </c>
      <c r="S3450" s="17">
        <f t="shared" si="218"/>
        <v>41960.119085648148</v>
      </c>
      <c r="T3450" s="17">
        <f t="shared" si="219"/>
        <v>41990.119085648148</v>
      </c>
      <c r="U3450">
        <f>MONTH(Table1[[#This Row],[Launched]])</f>
        <v>11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8218</v>
      </c>
      <c r="G3451" t="s">
        <v>8223</v>
      </c>
      <c r="H3451" t="s">
        <v>8245</v>
      </c>
      <c r="I3451" s="8">
        <v>1468036800</v>
      </c>
      <c r="J3451">
        <v>1465607738</v>
      </c>
      <c r="K3451" t="b">
        <v>0</v>
      </c>
      <c r="L3451" s="10">
        <v>20</v>
      </c>
      <c r="M3451" t="b">
        <v>1</v>
      </c>
      <c r="N3451" t="s">
        <v>8269</v>
      </c>
      <c r="O3451" s="11">
        <f t="shared" si="216"/>
        <v>171</v>
      </c>
      <c r="P3451" s="12">
        <f t="shared" si="217"/>
        <v>68</v>
      </c>
      <c r="Q3451" s="14" t="s">
        <v>8314</v>
      </c>
      <c r="R3451" t="s">
        <v>8315</v>
      </c>
      <c r="S3451" s="17">
        <f t="shared" si="218"/>
        <v>42532.052523148144</v>
      </c>
      <c r="T3451" s="17">
        <f t="shared" si="219"/>
        <v>42560.166666666672</v>
      </c>
      <c r="U3451">
        <f>MONTH(Table1[[#This Row],[Launched]])</f>
        <v>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8218</v>
      </c>
      <c r="G3452" t="s">
        <v>8224</v>
      </c>
      <c r="H3452" t="s">
        <v>8246</v>
      </c>
      <c r="I3452" s="8">
        <v>1427990071</v>
      </c>
      <c r="J3452">
        <v>1422809671</v>
      </c>
      <c r="K3452" t="b">
        <v>0</v>
      </c>
      <c r="L3452" s="10">
        <v>39</v>
      </c>
      <c r="M3452" t="b">
        <v>1</v>
      </c>
      <c r="N3452" t="s">
        <v>8269</v>
      </c>
      <c r="O3452" s="11">
        <f t="shared" si="216"/>
        <v>152</v>
      </c>
      <c r="P3452" s="12">
        <f t="shared" si="217"/>
        <v>19</v>
      </c>
      <c r="Q3452" s="14" t="s">
        <v>8314</v>
      </c>
      <c r="R3452" t="s">
        <v>8315</v>
      </c>
      <c r="S3452" s="17">
        <f t="shared" si="218"/>
        <v>42036.704525462963</v>
      </c>
      <c r="T3452" s="17">
        <f t="shared" si="219"/>
        <v>42096.662858796291</v>
      </c>
      <c r="U3452">
        <f>MONTH(Table1[[#This Row],[Launched]])</f>
        <v>2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8218</v>
      </c>
      <c r="G3453" t="s">
        <v>8223</v>
      </c>
      <c r="H3453" t="s">
        <v>8245</v>
      </c>
      <c r="I3453" s="8">
        <v>1429636927</v>
      </c>
      <c r="J3453">
        <v>1427304127</v>
      </c>
      <c r="K3453" t="b">
        <v>0</v>
      </c>
      <c r="L3453" s="10">
        <v>16</v>
      </c>
      <c r="M3453" t="b">
        <v>1</v>
      </c>
      <c r="N3453" t="s">
        <v>8269</v>
      </c>
      <c r="O3453" s="11">
        <f t="shared" si="216"/>
        <v>101</v>
      </c>
      <c r="P3453" s="12">
        <f t="shared" si="217"/>
        <v>41</v>
      </c>
      <c r="Q3453" s="14" t="s">
        <v>8314</v>
      </c>
      <c r="R3453" t="s">
        <v>8315</v>
      </c>
      <c r="S3453" s="17">
        <f t="shared" si="218"/>
        <v>42088.723692129628</v>
      </c>
      <c r="T3453" s="17">
        <f t="shared" si="219"/>
        <v>42115.723692129628</v>
      </c>
      <c r="U3453">
        <f>MONTH(Table1[[#This Row],[Launched]])</f>
        <v>3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 s="8">
        <v>1406087940</v>
      </c>
      <c r="J3454">
        <v>1404141626</v>
      </c>
      <c r="K3454" t="b">
        <v>0</v>
      </c>
      <c r="L3454" s="10">
        <v>37</v>
      </c>
      <c r="M3454" t="b">
        <v>1</v>
      </c>
      <c r="N3454" t="s">
        <v>8269</v>
      </c>
      <c r="O3454" s="11">
        <f t="shared" si="216"/>
        <v>153</v>
      </c>
      <c r="P3454" s="12">
        <f t="shared" si="217"/>
        <v>41</v>
      </c>
      <c r="Q3454" s="14" t="s">
        <v>8314</v>
      </c>
      <c r="R3454" t="s">
        <v>8315</v>
      </c>
      <c r="S3454" s="17">
        <f t="shared" si="218"/>
        <v>41820.639189814814</v>
      </c>
      <c r="T3454" s="17">
        <f t="shared" si="219"/>
        <v>41843.165972222225</v>
      </c>
      <c r="U3454">
        <f>MONTH(Table1[[#This Row],[Launched]])</f>
        <v>6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8218</v>
      </c>
      <c r="G3455" t="s">
        <v>8224</v>
      </c>
      <c r="H3455" t="s">
        <v>8246</v>
      </c>
      <c r="I3455" s="8">
        <v>1471130956</v>
      </c>
      <c r="J3455">
        <v>1465946956</v>
      </c>
      <c r="K3455" t="b">
        <v>0</v>
      </c>
      <c r="L3455" s="10">
        <v>14</v>
      </c>
      <c r="M3455" t="b">
        <v>1</v>
      </c>
      <c r="N3455" t="s">
        <v>8269</v>
      </c>
      <c r="O3455" s="11">
        <f t="shared" si="216"/>
        <v>128</v>
      </c>
      <c r="P3455" s="12">
        <f t="shared" si="217"/>
        <v>28</v>
      </c>
      <c r="Q3455" s="14" t="s">
        <v>8314</v>
      </c>
      <c r="R3455" t="s">
        <v>8315</v>
      </c>
      <c r="S3455" s="17">
        <f t="shared" si="218"/>
        <v>42535.97865740741</v>
      </c>
      <c r="T3455" s="17">
        <f t="shared" si="219"/>
        <v>42595.97865740741</v>
      </c>
      <c r="U3455">
        <f>MONTH(Table1[[#This Row],[Launched]])</f>
        <v>6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8218</v>
      </c>
      <c r="G3456" t="s">
        <v>8224</v>
      </c>
      <c r="H3456" t="s">
        <v>8246</v>
      </c>
      <c r="I3456" s="8">
        <v>1406825159</v>
      </c>
      <c r="J3456">
        <v>1404233159</v>
      </c>
      <c r="K3456" t="b">
        <v>0</v>
      </c>
      <c r="L3456" s="10">
        <v>21</v>
      </c>
      <c r="M3456" t="b">
        <v>1</v>
      </c>
      <c r="N3456" t="s">
        <v>8269</v>
      </c>
      <c r="O3456" s="11">
        <f t="shared" si="216"/>
        <v>101</v>
      </c>
      <c r="P3456" s="12">
        <f t="shared" si="217"/>
        <v>34</v>
      </c>
      <c r="Q3456" s="14" t="s">
        <v>8314</v>
      </c>
      <c r="R3456" t="s">
        <v>8315</v>
      </c>
      <c r="S3456" s="17">
        <f t="shared" si="218"/>
        <v>41821.698599537034</v>
      </c>
      <c r="T3456" s="17">
        <f t="shared" si="219"/>
        <v>41851.698599537034</v>
      </c>
      <c r="U3456">
        <f>MONTH(Table1[[#This Row],[Launched]])</f>
        <v>7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 s="8">
        <v>1476381627</v>
      </c>
      <c r="J3457">
        <v>1473789627</v>
      </c>
      <c r="K3457" t="b">
        <v>0</v>
      </c>
      <c r="L3457" s="10">
        <v>69</v>
      </c>
      <c r="M3457" t="b">
        <v>1</v>
      </c>
      <c r="N3457" t="s">
        <v>8269</v>
      </c>
      <c r="O3457" s="11">
        <f t="shared" si="216"/>
        <v>101</v>
      </c>
      <c r="P3457" s="12">
        <f t="shared" si="217"/>
        <v>146</v>
      </c>
      <c r="Q3457" s="14" t="s">
        <v>8314</v>
      </c>
      <c r="R3457" t="s">
        <v>8315</v>
      </c>
      <c r="S3457" s="17">
        <f t="shared" si="218"/>
        <v>42626.7503125</v>
      </c>
      <c r="T3457" s="17">
        <f t="shared" si="219"/>
        <v>42656.7503125</v>
      </c>
      <c r="U3457">
        <f>MONTH(Table1[[#This Row],[Launched]])</f>
        <v>9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 s="8">
        <v>1406876340</v>
      </c>
      <c r="J3458">
        <v>1404190567</v>
      </c>
      <c r="K3458" t="b">
        <v>0</v>
      </c>
      <c r="L3458" s="10">
        <v>16</v>
      </c>
      <c r="M3458" t="b">
        <v>1</v>
      </c>
      <c r="N3458" t="s">
        <v>8269</v>
      </c>
      <c r="O3458" s="11">
        <f t="shared" ref="O3458:O3521" si="220">ROUND(E3458/D3458*100,0)</f>
        <v>191</v>
      </c>
      <c r="P3458" s="12">
        <f t="shared" si="217"/>
        <v>359</v>
      </c>
      <c r="Q3458" s="14" t="s">
        <v>8314</v>
      </c>
      <c r="R3458" t="s">
        <v>8315</v>
      </c>
      <c r="S3458" s="17">
        <f t="shared" si="218"/>
        <v>41821.205636574072</v>
      </c>
      <c r="T3458" s="17">
        <f t="shared" si="219"/>
        <v>41852.290972222225</v>
      </c>
      <c r="U3458">
        <f>MONTH(Table1[[#This Row],[Launched]])</f>
        <v>7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 s="8">
        <v>1423720740</v>
      </c>
      <c r="J3459">
        <v>1421081857</v>
      </c>
      <c r="K3459" t="b">
        <v>0</v>
      </c>
      <c r="L3459" s="10">
        <v>55</v>
      </c>
      <c r="M3459" t="b">
        <v>1</v>
      </c>
      <c r="N3459" t="s">
        <v>8269</v>
      </c>
      <c r="O3459" s="11">
        <f t="shared" si="220"/>
        <v>140</v>
      </c>
      <c r="P3459" s="12">
        <f t="shared" ref="P3459:P3522" si="221">IFERROR(ROUND(E3459/L3459,),"No Backers")</f>
        <v>51</v>
      </c>
      <c r="Q3459" s="14" t="s">
        <v>8314</v>
      </c>
      <c r="R3459" t="s">
        <v>8315</v>
      </c>
      <c r="S3459" s="17">
        <f t="shared" ref="S3459:S3522" si="222">(((J3459/60)/60)/24)+DATE(1970,1,1)</f>
        <v>42016.706678240742</v>
      </c>
      <c r="T3459" s="17">
        <f t="shared" ref="T3459:T3522" si="223">(((I3459/60)/60)/24)+DATE(1970,1,1)</f>
        <v>42047.249305555553</v>
      </c>
      <c r="U3459">
        <f>MONTH(Table1[[#This Row],[Launched]])</f>
        <v>1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8218</v>
      </c>
      <c r="G3460" t="s">
        <v>8223</v>
      </c>
      <c r="H3460" t="s">
        <v>8245</v>
      </c>
      <c r="I3460" s="8">
        <v>1422937620</v>
      </c>
      <c r="J3460">
        <v>1420606303</v>
      </c>
      <c r="K3460" t="b">
        <v>0</v>
      </c>
      <c r="L3460" s="10">
        <v>27</v>
      </c>
      <c r="M3460" t="b">
        <v>1</v>
      </c>
      <c r="N3460" t="s">
        <v>8269</v>
      </c>
      <c r="O3460" s="11">
        <f t="shared" si="220"/>
        <v>124</v>
      </c>
      <c r="P3460" s="12">
        <f t="shared" si="221"/>
        <v>45</v>
      </c>
      <c r="Q3460" s="14" t="s">
        <v>8314</v>
      </c>
      <c r="R3460" t="s">
        <v>8315</v>
      </c>
      <c r="S3460" s="17">
        <f t="shared" si="222"/>
        <v>42011.202581018515</v>
      </c>
      <c r="T3460" s="17">
        <f t="shared" si="223"/>
        <v>42038.185416666667</v>
      </c>
      <c r="U3460">
        <f>MONTH(Table1[[#This Row],[Launched]])</f>
        <v>1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8218</v>
      </c>
      <c r="G3461" t="s">
        <v>8224</v>
      </c>
      <c r="H3461" t="s">
        <v>8246</v>
      </c>
      <c r="I3461" s="8">
        <v>1463743860</v>
      </c>
      <c r="J3461">
        <v>1461151860</v>
      </c>
      <c r="K3461" t="b">
        <v>0</v>
      </c>
      <c r="L3461" s="10">
        <v>36</v>
      </c>
      <c r="M3461" t="b">
        <v>1</v>
      </c>
      <c r="N3461" t="s">
        <v>8269</v>
      </c>
      <c r="O3461" s="11">
        <f t="shared" si="220"/>
        <v>126</v>
      </c>
      <c r="P3461" s="12">
        <f t="shared" si="221"/>
        <v>18</v>
      </c>
      <c r="Q3461" s="14" t="s">
        <v>8314</v>
      </c>
      <c r="R3461" t="s">
        <v>8315</v>
      </c>
      <c r="S3461" s="17">
        <f t="shared" si="222"/>
        <v>42480.479861111111</v>
      </c>
      <c r="T3461" s="17">
        <f t="shared" si="223"/>
        <v>42510.479861111111</v>
      </c>
      <c r="U3461">
        <f>MONTH(Table1[[#This Row],[Launched]])</f>
        <v>4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8218</v>
      </c>
      <c r="G3462" t="s">
        <v>8224</v>
      </c>
      <c r="H3462" t="s">
        <v>8246</v>
      </c>
      <c r="I3462" s="8">
        <v>1408106352</v>
      </c>
      <c r="J3462">
        <v>1406896752</v>
      </c>
      <c r="K3462" t="b">
        <v>0</v>
      </c>
      <c r="L3462" s="10">
        <v>19</v>
      </c>
      <c r="M3462" t="b">
        <v>1</v>
      </c>
      <c r="N3462" t="s">
        <v>8269</v>
      </c>
      <c r="O3462" s="11">
        <f t="shared" si="220"/>
        <v>190</v>
      </c>
      <c r="P3462" s="12">
        <f t="shared" si="221"/>
        <v>50</v>
      </c>
      <c r="Q3462" s="14" t="s">
        <v>8314</v>
      </c>
      <c r="R3462" t="s">
        <v>8315</v>
      </c>
      <c r="S3462" s="17">
        <f t="shared" si="222"/>
        <v>41852.527222222219</v>
      </c>
      <c r="T3462" s="17">
        <f t="shared" si="223"/>
        <v>41866.527222222219</v>
      </c>
      <c r="U3462">
        <f>MONTH(Table1[[#This Row],[Launched]])</f>
        <v>8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8218</v>
      </c>
      <c r="G3463" t="s">
        <v>8223</v>
      </c>
      <c r="H3463" t="s">
        <v>8245</v>
      </c>
      <c r="I3463" s="8">
        <v>1477710000</v>
      </c>
      <c r="J3463">
        <v>1475248279</v>
      </c>
      <c r="K3463" t="b">
        <v>0</v>
      </c>
      <c r="L3463" s="10">
        <v>12</v>
      </c>
      <c r="M3463" t="b">
        <v>1</v>
      </c>
      <c r="N3463" t="s">
        <v>8269</v>
      </c>
      <c r="O3463" s="11">
        <f t="shared" si="220"/>
        <v>139</v>
      </c>
      <c r="P3463" s="12">
        <f t="shared" si="221"/>
        <v>58</v>
      </c>
      <c r="Q3463" s="14" t="s">
        <v>8314</v>
      </c>
      <c r="R3463" t="s">
        <v>8315</v>
      </c>
      <c r="S3463" s="17">
        <f t="shared" si="222"/>
        <v>42643.632858796293</v>
      </c>
      <c r="T3463" s="17">
        <f t="shared" si="223"/>
        <v>42672.125</v>
      </c>
      <c r="U3463">
        <f>MONTH(Table1[[#This Row],[Launched]])</f>
        <v>9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8218</v>
      </c>
      <c r="G3464" t="s">
        <v>8223</v>
      </c>
      <c r="H3464" t="s">
        <v>8245</v>
      </c>
      <c r="I3464" s="8">
        <v>1436551200</v>
      </c>
      <c r="J3464">
        <v>1435181628</v>
      </c>
      <c r="K3464" t="b">
        <v>0</v>
      </c>
      <c r="L3464" s="10">
        <v>17</v>
      </c>
      <c r="M3464" t="b">
        <v>1</v>
      </c>
      <c r="N3464" t="s">
        <v>8269</v>
      </c>
      <c r="O3464" s="11">
        <f t="shared" si="220"/>
        <v>202</v>
      </c>
      <c r="P3464" s="12">
        <f t="shared" si="221"/>
        <v>30</v>
      </c>
      <c r="Q3464" s="14" t="s">
        <v>8314</v>
      </c>
      <c r="R3464" t="s">
        <v>8315</v>
      </c>
      <c r="S3464" s="17">
        <f t="shared" si="222"/>
        <v>42179.898472222223</v>
      </c>
      <c r="T3464" s="17">
        <f t="shared" si="223"/>
        <v>42195.75</v>
      </c>
      <c r="U3464">
        <f>MONTH(Table1[[#This Row],[Launched]])</f>
        <v>6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 s="8">
        <v>1476158340</v>
      </c>
      <c r="J3465">
        <v>1472594585</v>
      </c>
      <c r="K3465" t="b">
        <v>0</v>
      </c>
      <c r="L3465" s="10">
        <v>114</v>
      </c>
      <c r="M3465" t="b">
        <v>1</v>
      </c>
      <c r="N3465" t="s">
        <v>8269</v>
      </c>
      <c r="O3465" s="11">
        <f t="shared" si="220"/>
        <v>103</v>
      </c>
      <c r="P3465" s="12">
        <f t="shared" si="221"/>
        <v>91</v>
      </c>
      <c r="Q3465" s="14" t="s">
        <v>8314</v>
      </c>
      <c r="R3465" t="s">
        <v>8315</v>
      </c>
      <c r="S3465" s="17">
        <f t="shared" si="222"/>
        <v>42612.918807870374</v>
      </c>
      <c r="T3465" s="17">
        <f t="shared" si="223"/>
        <v>42654.165972222225</v>
      </c>
      <c r="U3465">
        <f>MONTH(Table1[[#This Row],[Launched]])</f>
        <v>8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 s="8">
        <v>1471921637</v>
      </c>
      <c r="J3466">
        <v>1469329637</v>
      </c>
      <c r="K3466" t="b">
        <v>0</v>
      </c>
      <c r="L3466" s="10">
        <v>93</v>
      </c>
      <c r="M3466" t="b">
        <v>1</v>
      </c>
      <c r="N3466" t="s">
        <v>8269</v>
      </c>
      <c r="O3466" s="11">
        <f t="shared" si="220"/>
        <v>102</v>
      </c>
      <c r="P3466" s="12">
        <f t="shared" si="221"/>
        <v>55</v>
      </c>
      <c r="Q3466" s="14" t="s">
        <v>8314</v>
      </c>
      <c r="R3466" t="s">
        <v>8315</v>
      </c>
      <c r="S3466" s="17">
        <f t="shared" si="222"/>
        <v>42575.130057870367</v>
      </c>
      <c r="T3466" s="17">
        <f t="shared" si="223"/>
        <v>42605.130057870367</v>
      </c>
      <c r="U3466">
        <f>MONTH(Table1[[#This Row],[Launched]])</f>
        <v>7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 s="8">
        <v>1439136000</v>
      </c>
      <c r="J3467">
        <v>1436972472</v>
      </c>
      <c r="K3467" t="b">
        <v>0</v>
      </c>
      <c r="L3467" s="10">
        <v>36</v>
      </c>
      <c r="M3467" t="b">
        <v>1</v>
      </c>
      <c r="N3467" t="s">
        <v>8269</v>
      </c>
      <c r="O3467" s="11">
        <f t="shared" si="220"/>
        <v>103</v>
      </c>
      <c r="P3467" s="12">
        <f t="shared" si="221"/>
        <v>57</v>
      </c>
      <c r="Q3467" s="14" t="s">
        <v>8314</v>
      </c>
      <c r="R3467" t="s">
        <v>8315</v>
      </c>
      <c r="S3467" s="17">
        <f t="shared" si="222"/>
        <v>42200.625833333332</v>
      </c>
      <c r="T3467" s="17">
        <f t="shared" si="223"/>
        <v>42225.666666666672</v>
      </c>
      <c r="U3467">
        <f>MONTH(Table1[[#This Row],[Launched]])</f>
        <v>7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 s="8">
        <v>1461108450</v>
      </c>
      <c r="J3468">
        <v>1455928050</v>
      </c>
      <c r="K3468" t="b">
        <v>0</v>
      </c>
      <c r="L3468" s="10">
        <v>61</v>
      </c>
      <c r="M3468" t="b">
        <v>1</v>
      </c>
      <c r="N3468" t="s">
        <v>8269</v>
      </c>
      <c r="O3468" s="11">
        <f t="shared" si="220"/>
        <v>127</v>
      </c>
      <c r="P3468" s="12">
        <f t="shared" si="221"/>
        <v>73</v>
      </c>
      <c r="Q3468" s="14" t="s">
        <v>8314</v>
      </c>
      <c r="R3468" t="s">
        <v>8315</v>
      </c>
      <c r="S3468" s="17">
        <f t="shared" si="222"/>
        <v>42420.019097222219</v>
      </c>
      <c r="T3468" s="17">
        <f t="shared" si="223"/>
        <v>42479.977430555555</v>
      </c>
      <c r="U3468">
        <f>MONTH(Table1[[#This Row],[Launched]])</f>
        <v>2</v>
      </c>
    </row>
    <row r="3469" spans="1:21" ht="15.6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 s="8">
        <v>1426864032</v>
      </c>
      <c r="J3469">
        <v>1424275632</v>
      </c>
      <c r="K3469" t="b">
        <v>0</v>
      </c>
      <c r="L3469" s="10">
        <v>47</v>
      </c>
      <c r="M3469" t="b">
        <v>1</v>
      </c>
      <c r="N3469" t="s">
        <v>8269</v>
      </c>
      <c r="O3469" s="11">
        <f t="shared" si="220"/>
        <v>101</v>
      </c>
      <c r="P3469" s="12">
        <f t="shared" si="221"/>
        <v>64</v>
      </c>
      <c r="Q3469" s="14" t="s">
        <v>8314</v>
      </c>
      <c r="R3469" t="s">
        <v>8315</v>
      </c>
      <c r="S3469" s="17">
        <f t="shared" si="222"/>
        <v>42053.671666666662</v>
      </c>
      <c r="T3469" s="17">
        <f t="shared" si="223"/>
        <v>42083.630000000005</v>
      </c>
      <c r="U3469">
        <f>MONTH(Table1[[#This Row],[Launched]])</f>
        <v>2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 s="8">
        <v>1474426800</v>
      </c>
      <c r="J3470">
        <v>1471976529</v>
      </c>
      <c r="K3470" t="b">
        <v>0</v>
      </c>
      <c r="L3470" s="10">
        <v>17</v>
      </c>
      <c r="M3470" t="b">
        <v>1</v>
      </c>
      <c r="N3470" t="s">
        <v>8269</v>
      </c>
      <c r="O3470" s="11">
        <f t="shared" si="220"/>
        <v>122</v>
      </c>
      <c r="P3470" s="12">
        <f t="shared" si="221"/>
        <v>716</v>
      </c>
      <c r="Q3470" s="14" t="s">
        <v>8314</v>
      </c>
      <c r="R3470" t="s">
        <v>8315</v>
      </c>
      <c r="S3470" s="17">
        <f t="shared" si="222"/>
        <v>42605.765381944439</v>
      </c>
      <c r="T3470" s="17">
        <f t="shared" si="223"/>
        <v>42634.125</v>
      </c>
      <c r="U3470">
        <f>MONTH(Table1[[#This Row],[Launched]])</f>
        <v>8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 s="8">
        <v>1461857045</v>
      </c>
      <c r="J3471">
        <v>1459265045</v>
      </c>
      <c r="K3471" t="b">
        <v>0</v>
      </c>
      <c r="L3471" s="10">
        <v>63</v>
      </c>
      <c r="M3471" t="b">
        <v>1</v>
      </c>
      <c r="N3471" t="s">
        <v>8269</v>
      </c>
      <c r="O3471" s="11">
        <f t="shared" si="220"/>
        <v>113</v>
      </c>
      <c r="P3471" s="12">
        <f t="shared" si="221"/>
        <v>50</v>
      </c>
      <c r="Q3471" s="14" t="s">
        <v>8314</v>
      </c>
      <c r="R3471" t="s">
        <v>8315</v>
      </c>
      <c r="S3471" s="17">
        <f t="shared" si="222"/>
        <v>42458.641724537039</v>
      </c>
      <c r="T3471" s="17">
        <f t="shared" si="223"/>
        <v>42488.641724537039</v>
      </c>
      <c r="U3471">
        <f>MONTH(Table1[[#This Row],[Launched]])</f>
        <v>3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8218</v>
      </c>
      <c r="G3472" t="s">
        <v>8223</v>
      </c>
      <c r="H3472" t="s">
        <v>8245</v>
      </c>
      <c r="I3472" s="8">
        <v>1468618680</v>
      </c>
      <c r="J3472">
        <v>1465345902</v>
      </c>
      <c r="K3472" t="b">
        <v>0</v>
      </c>
      <c r="L3472" s="10">
        <v>9</v>
      </c>
      <c r="M3472" t="b">
        <v>1</v>
      </c>
      <c r="N3472" t="s">
        <v>8269</v>
      </c>
      <c r="O3472" s="11">
        <f t="shared" si="220"/>
        <v>150</v>
      </c>
      <c r="P3472" s="12">
        <f t="shared" si="221"/>
        <v>42</v>
      </c>
      <c r="Q3472" s="14" t="s">
        <v>8314</v>
      </c>
      <c r="R3472" t="s">
        <v>8315</v>
      </c>
      <c r="S3472" s="17">
        <f t="shared" si="222"/>
        <v>42529.022013888884</v>
      </c>
      <c r="T3472" s="17">
        <f t="shared" si="223"/>
        <v>42566.901388888888</v>
      </c>
      <c r="U3472">
        <f>MONTH(Table1[[#This Row],[Launched]])</f>
        <v>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8218</v>
      </c>
      <c r="G3473" t="s">
        <v>8224</v>
      </c>
      <c r="H3473" t="s">
        <v>8246</v>
      </c>
      <c r="I3473" s="8">
        <v>1409515200</v>
      </c>
      <c r="J3473">
        <v>1405971690</v>
      </c>
      <c r="K3473" t="b">
        <v>0</v>
      </c>
      <c r="L3473" s="10">
        <v>30</v>
      </c>
      <c r="M3473" t="b">
        <v>1</v>
      </c>
      <c r="N3473" t="s">
        <v>8269</v>
      </c>
      <c r="O3473" s="11">
        <f t="shared" si="220"/>
        <v>215</v>
      </c>
      <c r="P3473" s="12">
        <f t="shared" si="221"/>
        <v>36</v>
      </c>
      <c r="Q3473" s="14" t="s">
        <v>8314</v>
      </c>
      <c r="R3473" t="s">
        <v>8315</v>
      </c>
      <c r="S3473" s="17">
        <f t="shared" si="222"/>
        <v>41841.820486111108</v>
      </c>
      <c r="T3473" s="17">
        <f t="shared" si="223"/>
        <v>41882.833333333336</v>
      </c>
      <c r="U3473">
        <f>MONTH(Table1[[#This Row],[Launched]])</f>
        <v>7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 s="8">
        <v>1415253540</v>
      </c>
      <c r="J3474">
        <v>1413432331</v>
      </c>
      <c r="K3474" t="b">
        <v>0</v>
      </c>
      <c r="L3474" s="10">
        <v>23</v>
      </c>
      <c r="M3474" t="b">
        <v>1</v>
      </c>
      <c r="N3474" t="s">
        <v>8269</v>
      </c>
      <c r="O3474" s="11">
        <f t="shared" si="220"/>
        <v>102</v>
      </c>
      <c r="P3474" s="12">
        <f t="shared" si="221"/>
        <v>89</v>
      </c>
      <c r="Q3474" s="14" t="s">
        <v>8314</v>
      </c>
      <c r="R3474" t="s">
        <v>8315</v>
      </c>
      <c r="S3474" s="17">
        <f t="shared" si="222"/>
        <v>41928.170497685183</v>
      </c>
      <c r="T3474" s="17">
        <f t="shared" si="223"/>
        <v>41949.249305555553</v>
      </c>
      <c r="U3474">
        <f>MONTH(Table1[[#This Row],[Launched]])</f>
        <v>10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 s="8">
        <v>1426883220</v>
      </c>
      <c r="J3475">
        <v>1425067296</v>
      </c>
      <c r="K3475" t="b">
        <v>0</v>
      </c>
      <c r="L3475" s="10">
        <v>33</v>
      </c>
      <c r="M3475" t="b">
        <v>1</v>
      </c>
      <c r="N3475" t="s">
        <v>8269</v>
      </c>
      <c r="O3475" s="11">
        <f t="shared" si="220"/>
        <v>100</v>
      </c>
      <c r="P3475" s="12">
        <f t="shared" si="221"/>
        <v>148</v>
      </c>
      <c r="Q3475" s="14" t="s">
        <v>8314</v>
      </c>
      <c r="R3475" t="s">
        <v>8315</v>
      </c>
      <c r="S3475" s="17">
        <f t="shared" si="222"/>
        <v>42062.834444444445</v>
      </c>
      <c r="T3475" s="17">
        <f t="shared" si="223"/>
        <v>42083.852083333331</v>
      </c>
      <c r="U3475">
        <f>MONTH(Table1[[#This Row],[Launched]])</f>
        <v>2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 s="8">
        <v>1469016131</v>
      </c>
      <c r="J3476">
        <v>1466424131</v>
      </c>
      <c r="K3476" t="b">
        <v>0</v>
      </c>
      <c r="L3476" s="10">
        <v>39</v>
      </c>
      <c r="M3476" t="b">
        <v>1</v>
      </c>
      <c r="N3476" t="s">
        <v>8269</v>
      </c>
      <c r="O3476" s="11">
        <f t="shared" si="220"/>
        <v>101</v>
      </c>
      <c r="P3476" s="12">
        <f t="shared" si="221"/>
        <v>52</v>
      </c>
      <c r="Q3476" s="14" t="s">
        <v>8314</v>
      </c>
      <c r="R3476" t="s">
        <v>8315</v>
      </c>
      <c r="S3476" s="17">
        <f t="shared" si="222"/>
        <v>42541.501516203702</v>
      </c>
      <c r="T3476" s="17">
        <f t="shared" si="223"/>
        <v>42571.501516203702</v>
      </c>
      <c r="U3476">
        <f>MONTH(Table1[[#This Row],[Launched]])</f>
        <v>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8218</v>
      </c>
      <c r="G3477" t="s">
        <v>8224</v>
      </c>
      <c r="H3477" t="s">
        <v>8246</v>
      </c>
      <c r="I3477" s="8">
        <v>1414972800</v>
      </c>
      <c r="J3477">
        <v>1412629704</v>
      </c>
      <c r="K3477" t="b">
        <v>0</v>
      </c>
      <c r="L3477" s="10">
        <v>17</v>
      </c>
      <c r="M3477" t="b">
        <v>1</v>
      </c>
      <c r="N3477" t="s">
        <v>8269</v>
      </c>
      <c r="O3477" s="11">
        <f t="shared" si="220"/>
        <v>113</v>
      </c>
      <c r="P3477" s="12">
        <f t="shared" si="221"/>
        <v>20</v>
      </c>
      <c r="Q3477" s="14" t="s">
        <v>8314</v>
      </c>
      <c r="R3477" t="s">
        <v>8315</v>
      </c>
      <c r="S3477" s="17">
        <f t="shared" si="222"/>
        <v>41918.880833333329</v>
      </c>
      <c r="T3477" s="17">
        <f t="shared" si="223"/>
        <v>41946</v>
      </c>
      <c r="U3477">
        <f>MONTH(Table1[[#This Row],[Launched]])</f>
        <v>10</v>
      </c>
    </row>
    <row r="3478" spans="1:21" ht="57.6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8218</v>
      </c>
      <c r="G3478" t="s">
        <v>8223</v>
      </c>
      <c r="H3478" t="s">
        <v>8245</v>
      </c>
      <c r="I3478" s="8">
        <v>1414378800</v>
      </c>
      <c r="J3478">
        <v>1412836990</v>
      </c>
      <c r="K3478" t="b">
        <v>0</v>
      </c>
      <c r="L3478" s="10">
        <v>6</v>
      </c>
      <c r="M3478" t="b">
        <v>1</v>
      </c>
      <c r="N3478" t="s">
        <v>8269</v>
      </c>
      <c r="O3478" s="11">
        <f t="shared" si="220"/>
        <v>104</v>
      </c>
      <c r="P3478" s="12">
        <f t="shared" si="221"/>
        <v>52</v>
      </c>
      <c r="Q3478" s="14" t="s">
        <v>8314</v>
      </c>
      <c r="R3478" t="s">
        <v>8315</v>
      </c>
      <c r="S3478" s="17">
        <f t="shared" si="222"/>
        <v>41921.279976851853</v>
      </c>
      <c r="T3478" s="17">
        <f t="shared" si="223"/>
        <v>41939.125</v>
      </c>
      <c r="U3478">
        <f>MONTH(Table1[[#This Row],[Launched]])</f>
        <v>10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 s="8">
        <v>1431831600</v>
      </c>
      <c r="J3479">
        <v>1430761243</v>
      </c>
      <c r="K3479" t="b">
        <v>0</v>
      </c>
      <c r="L3479" s="10">
        <v>39</v>
      </c>
      <c r="M3479" t="b">
        <v>1</v>
      </c>
      <c r="N3479" t="s">
        <v>8269</v>
      </c>
      <c r="O3479" s="11">
        <f t="shared" si="220"/>
        <v>115</v>
      </c>
      <c r="P3479" s="12">
        <f t="shared" si="221"/>
        <v>53</v>
      </c>
      <c r="Q3479" s="14" t="s">
        <v>8314</v>
      </c>
      <c r="R3479" t="s">
        <v>8315</v>
      </c>
      <c r="S3479" s="17">
        <f t="shared" si="222"/>
        <v>42128.736608796295</v>
      </c>
      <c r="T3479" s="17">
        <f t="shared" si="223"/>
        <v>42141.125</v>
      </c>
      <c r="U3479">
        <f>MONTH(Table1[[#This Row],[Launched]])</f>
        <v>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 s="8">
        <v>1426539600</v>
      </c>
      <c r="J3480">
        <v>1424296822</v>
      </c>
      <c r="K3480" t="b">
        <v>0</v>
      </c>
      <c r="L3480" s="10">
        <v>57</v>
      </c>
      <c r="M3480" t="b">
        <v>1</v>
      </c>
      <c r="N3480" t="s">
        <v>8269</v>
      </c>
      <c r="O3480" s="11">
        <f t="shared" si="220"/>
        <v>113</v>
      </c>
      <c r="P3480" s="12">
        <f t="shared" si="221"/>
        <v>40</v>
      </c>
      <c r="Q3480" s="14" t="s">
        <v>8314</v>
      </c>
      <c r="R3480" t="s">
        <v>8315</v>
      </c>
      <c r="S3480" s="17">
        <f t="shared" si="222"/>
        <v>42053.916921296302</v>
      </c>
      <c r="T3480" s="17">
        <f t="shared" si="223"/>
        <v>42079.875</v>
      </c>
      <c r="U3480">
        <f>MONTH(Table1[[#This Row],[Launched]])</f>
        <v>2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 s="8">
        <v>1403382680</v>
      </c>
      <c r="J3481">
        <v>1400790680</v>
      </c>
      <c r="K3481" t="b">
        <v>0</v>
      </c>
      <c r="L3481" s="10">
        <v>56</v>
      </c>
      <c r="M3481" t="b">
        <v>1</v>
      </c>
      <c r="N3481" t="s">
        <v>8269</v>
      </c>
      <c r="O3481" s="11">
        <f t="shared" si="220"/>
        <v>128</v>
      </c>
      <c r="P3481" s="12">
        <f t="shared" si="221"/>
        <v>34</v>
      </c>
      <c r="Q3481" s="14" t="s">
        <v>8314</v>
      </c>
      <c r="R3481" t="s">
        <v>8315</v>
      </c>
      <c r="S3481" s="17">
        <f t="shared" si="222"/>
        <v>41781.855092592588</v>
      </c>
      <c r="T3481" s="17">
        <f t="shared" si="223"/>
        <v>41811.855092592588</v>
      </c>
      <c r="U3481">
        <f>MONTH(Table1[[#This Row],[Launched]])</f>
        <v>5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 s="8">
        <v>1436562000</v>
      </c>
      <c r="J3482">
        <v>1434440227</v>
      </c>
      <c r="K3482" t="b">
        <v>0</v>
      </c>
      <c r="L3482" s="10">
        <v>13</v>
      </c>
      <c r="M3482" t="b">
        <v>1</v>
      </c>
      <c r="N3482" t="s">
        <v>8269</v>
      </c>
      <c r="O3482" s="11">
        <f t="shared" si="220"/>
        <v>143</v>
      </c>
      <c r="P3482" s="12">
        <f t="shared" si="221"/>
        <v>165</v>
      </c>
      <c r="Q3482" s="14" t="s">
        <v>8314</v>
      </c>
      <c r="R3482" t="s">
        <v>8315</v>
      </c>
      <c r="S3482" s="17">
        <f t="shared" si="222"/>
        <v>42171.317442129628</v>
      </c>
      <c r="T3482" s="17">
        <f t="shared" si="223"/>
        <v>42195.875</v>
      </c>
      <c r="U3482">
        <f>MONTH(Table1[[#This Row],[Launched]])</f>
        <v>6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 s="8">
        <v>1420178188</v>
      </c>
      <c r="J3483">
        <v>1418709388</v>
      </c>
      <c r="K3483" t="b">
        <v>0</v>
      </c>
      <c r="L3483" s="10">
        <v>95</v>
      </c>
      <c r="M3483" t="b">
        <v>1</v>
      </c>
      <c r="N3483" t="s">
        <v>8269</v>
      </c>
      <c r="O3483" s="11">
        <f t="shared" si="220"/>
        <v>119</v>
      </c>
      <c r="P3483" s="12">
        <f t="shared" si="221"/>
        <v>125</v>
      </c>
      <c r="Q3483" s="14" t="s">
        <v>8314</v>
      </c>
      <c r="R3483" t="s">
        <v>8315</v>
      </c>
      <c r="S3483" s="17">
        <f t="shared" si="222"/>
        <v>41989.24754629629</v>
      </c>
      <c r="T3483" s="17">
        <f t="shared" si="223"/>
        <v>42006.24754629629</v>
      </c>
      <c r="U3483">
        <f>MONTH(Table1[[#This Row],[Launched]])</f>
        <v>12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 s="8">
        <v>1404671466</v>
      </c>
      <c r="J3484">
        <v>1402079466</v>
      </c>
      <c r="K3484" t="b">
        <v>0</v>
      </c>
      <c r="L3484" s="10">
        <v>80</v>
      </c>
      <c r="M3484" t="b">
        <v>1</v>
      </c>
      <c r="N3484" t="s">
        <v>8269</v>
      </c>
      <c r="O3484" s="11">
        <f t="shared" si="220"/>
        <v>138</v>
      </c>
      <c r="P3484" s="12">
        <f t="shared" si="221"/>
        <v>52</v>
      </c>
      <c r="Q3484" s="14" t="s">
        <v>8314</v>
      </c>
      <c r="R3484" t="s">
        <v>8315</v>
      </c>
      <c r="S3484" s="17">
        <f t="shared" si="222"/>
        <v>41796.771597222221</v>
      </c>
      <c r="T3484" s="17">
        <f t="shared" si="223"/>
        <v>41826.771597222221</v>
      </c>
      <c r="U3484">
        <f>MONTH(Table1[[#This Row],[Launched]])</f>
        <v>6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 s="8">
        <v>1404403381</v>
      </c>
      <c r="J3485">
        <v>1401811381</v>
      </c>
      <c r="K3485" t="b">
        <v>0</v>
      </c>
      <c r="L3485" s="10">
        <v>133</v>
      </c>
      <c r="M3485" t="b">
        <v>1</v>
      </c>
      <c r="N3485" t="s">
        <v>8269</v>
      </c>
      <c r="O3485" s="11">
        <f t="shared" si="220"/>
        <v>160</v>
      </c>
      <c r="P3485" s="12">
        <f t="shared" si="221"/>
        <v>40</v>
      </c>
      <c r="Q3485" s="14" t="s">
        <v>8314</v>
      </c>
      <c r="R3485" t="s">
        <v>8315</v>
      </c>
      <c r="S3485" s="17">
        <f t="shared" si="222"/>
        <v>41793.668761574074</v>
      </c>
      <c r="T3485" s="17">
        <f t="shared" si="223"/>
        <v>41823.668761574074</v>
      </c>
      <c r="U3485">
        <f>MONTH(Table1[[#This Row],[Launched]])</f>
        <v>6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 s="8">
        <v>1466014499</v>
      </c>
      <c r="J3486">
        <v>1463422499</v>
      </c>
      <c r="K3486" t="b">
        <v>0</v>
      </c>
      <c r="L3486" s="10">
        <v>44</v>
      </c>
      <c r="M3486" t="b">
        <v>1</v>
      </c>
      <c r="N3486" t="s">
        <v>8269</v>
      </c>
      <c r="O3486" s="11">
        <f t="shared" si="220"/>
        <v>114</v>
      </c>
      <c r="P3486" s="12">
        <f t="shared" si="221"/>
        <v>65</v>
      </c>
      <c r="Q3486" s="14" t="s">
        <v>8314</v>
      </c>
      <c r="R3486" t="s">
        <v>8315</v>
      </c>
      <c r="S3486" s="17">
        <f t="shared" si="222"/>
        <v>42506.760405092587</v>
      </c>
      <c r="T3486" s="17">
        <f t="shared" si="223"/>
        <v>42536.760405092587</v>
      </c>
      <c r="U3486">
        <f>MONTH(Table1[[#This Row],[Launched]])</f>
        <v>5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 s="8">
        <v>1454431080</v>
      </c>
      <c r="J3487">
        <v>1451839080</v>
      </c>
      <c r="K3487" t="b">
        <v>0</v>
      </c>
      <c r="L3487" s="10">
        <v>30</v>
      </c>
      <c r="M3487" t="b">
        <v>1</v>
      </c>
      <c r="N3487" t="s">
        <v>8269</v>
      </c>
      <c r="O3487" s="11">
        <f t="shared" si="220"/>
        <v>101</v>
      </c>
      <c r="P3487" s="12">
        <f t="shared" si="221"/>
        <v>55</v>
      </c>
      <c r="Q3487" s="14" t="s">
        <v>8314</v>
      </c>
      <c r="R3487" t="s">
        <v>8315</v>
      </c>
      <c r="S3487" s="17">
        <f t="shared" si="222"/>
        <v>42372.693055555559</v>
      </c>
      <c r="T3487" s="17">
        <f t="shared" si="223"/>
        <v>42402.693055555559</v>
      </c>
      <c r="U3487">
        <f>MONTH(Table1[[#This Row],[Launched]])</f>
        <v>1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 s="8">
        <v>1433314740</v>
      </c>
      <c r="J3488">
        <v>1430600401</v>
      </c>
      <c r="K3488" t="b">
        <v>0</v>
      </c>
      <c r="L3488" s="10">
        <v>56</v>
      </c>
      <c r="M3488" t="b">
        <v>1</v>
      </c>
      <c r="N3488" t="s">
        <v>8269</v>
      </c>
      <c r="O3488" s="11">
        <f t="shared" si="220"/>
        <v>155</v>
      </c>
      <c r="P3488" s="12">
        <f t="shared" si="221"/>
        <v>83</v>
      </c>
      <c r="Q3488" s="14" t="s">
        <v>8314</v>
      </c>
      <c r="R3488" t="s">
        <v>8315</v>
      </c>
      <c r="S3488" s="17">
        <f t="shared" si="222"/>
        <v>42126.87501157407</v>
      </c>
      <c r="T3488" s="17">
        <f t="shared" si="223"/>
        <v>42158.290972222225</v>
      </c>
      <c r="U3488">
        <f>MONTH(Table1[[#This Row],[Launched]])</f>
        <v>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 s="8">
        <v>1435185252</v>
      </c>
      <c r="J3489">
        <v>1432593252</v>
      </c>
      <c r="K3489" t="b">
        <v>0</v>
      </c>
      <c r="L3489" s="10">
        <v>66</v>
      </c>
      <c r="M3489" t="b">
        <v>1</v>
      </c>
      <c r="N3489" t="s">
        <v>8269</v>
      </c>
      <c r="O3489" s="11">
        <f t="shared" si="220"/>
        <v>128</v>
      </c>
      <c r="P3489" s="12">
        <f t="shared" si="221"/>
        <v>39</v>
      </c>
      <c r="Q3489" s="14" t="s">
        <v>8314</v>
      </c>
      <c r="R3489" t="s">
        <v>8315</v>
      </c>
      <c r="S3489" s="17">
        <f t="shared" si="222"/>
        <v>42149.940416666665</v>
      </c>
      <c r="T3489" s="17">
        <f t="shared" si="223"/>
        <v>42179.940416666665</v>
      </c>
      <c r="U3489">
        <f>MONTH(Table1[[#This Row],[Launched]])</f>
        <v>5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 s="8">
        <v>1429286400</v>
      </c>
      <c r="J3490">
        <v>1427221560</v>
      </c>
      <c r="K3490" t="b">
        <v>0</v>
      </c>
      <c r="L3490" s="10">
        <v>29</v>
      </c>
      <c r="M3490" t="b">
        <v>1</v>
      </c>
      <c r="N3490" t="s">
        <v>8269</v>
      </c>
      <c r="O3490" s="11">
        <f t="shared" si="220"/>
        <v>121</v>
      </c>
      <c r="P3490" s="12">
        <f t="shared" si="221"/>
        <v>125</v>
      </c>
      <c r="Q3490" s="14" t="s">
        <v>8314</v>
      </c>
      <c r="R3490" t="s">
        <v>8315</v>
      </c>
      <c r="S3490" s="17">
        <f t="shared" si="222"/>
        <v>42087.768055555556</v>
      </c>
      <c r="T3490" s="17">
        <f t="shared" si="223"/>
        <v>42111.666666666672</v>
      </c>
      <c r="U3490">
        <f>MONTH(Table1[[#This Row],[Launched]])</f>
        <v>3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 s="8">
        <v>1400965200</v>
      </c>
      <c r="J3491">
        <v>1398352531</v>
      </c>
      <c r="K3491" t="b">
        <v>0</v>
      </c>
      <c r="L3491" s="10">
        <v>72</v>
      </c>
      <c r="M3491" t="b">
        <v>1</v>
      </c>
      <c r="N3491" t="s">
        <v>8269</v>
      </c>
      <c r="O3491" s="11">
        <f t="shared" si="220"/>
        <v>113</v>
      </c>
      <c r="P3491" s="12">
        <f t="shared" si="221"/>
        <v>78</v>
      </c>
      <c r="Q3491" s="14" t="s">
        <v>8314</v>
      </c>
      <c r="R3491" t="s">
        <v>8315</v>
      </c>
      <c r="S3491" s="17">
        <f t="shared" si="222"/>
        <v>41753.635775462964</v>
      </c>
      <c r="T3491" s="17">
        <f t="shared" si="223"/>
        <v>41783.875</v>
      </c>
      <c r="U3491">
        <f>MONTH(Table1[[#This Row],[Launched]])</f>
        <v>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 s="8">
        <v>1460574924</v>
      </c>
      <c r="J3492">
        <v>1457982924</v>
      </c>
      <c r="K3492" t="b">
        <v>0</v>
      </c>
      <c r="L3492" s="10">
        <v>27</v>
      </c>
      <c r="M3492" t="b">
        <v>1</v>
      </c>
      <c r="N3492" t="s">
        <v>8269</v>
      </c>
      <c r="O3492" s="11">
        <f t="shared" si="220"/>
        <v>128</v>
      </c>
      <c r="P3492" s="12">
        <f t="shared" si="221"/>
        <v>47</v>
      </c>
      <c r="Q3492" s="14" t="s">
        <v>8314</v>
      </c>
      <c r="R3492" t="s">
        <v>8315</v>
      </c>
      <c r="S3492" s="17">
        <f t="shared" si="222"/>
        <v>42443.802361111113</v>
      </c>
      <c r="T3492" s="17">
        <f t="shared" si="223"/>
        <v>42473.802361111113</v>
      </c>
      <c r="U3492">
        <f>MONTH(Table1[[#This Row],[Launched]])</f>
        <v>3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8218</v>
      </c>
      <c r="G3493" t="s">
        <v>8223</v>
      </c>
      <c r="H3493" t="s">
        <v>8245</v>
      </c>
      <c r="I3493" s="8">
        <v>1431928784</v>
      </c>
      <c r="J3493">
        <v>1430114384</v>
      </c>
      <c r="K3493" t="b">
        <v>0</v>
      </c>
      <c r="L3493" s="10">
        <v>10</v>
      </c>
      <c r="M3493" t="b">
        <v>1</v>
      </c>
      <c r="N3493" t="s">
        <v>8269</v>
      </c>
      <c r="O3493" s="11">
        <f t="shared" si="220"/>
        <v>158</v>
      </c>
      <c r="P3493" s="12">
        <f t="shared" si="221"/>
        <v>79</v>
      </c>
      <c r="Q3493" s="14" t="s">
        <v>8314</v>
      </c>
      <c r="R3493" t="s">
        <v>8315</v>
      </c>
      <c r="S3493" s="17">
        <f t="shared" si="222"/>
        <v>42121.249814814815</v>
      </c>
      <c r="T3493" s="17">
        <f t="shared" si="223"/>
        <v>42142.249814814815</v>
      </c>
      <c r="U3493">
        <f>MONTH(Table1[[#This Row],[Launched]])</f>
        <v>4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 s="8">
        <v>1445818397</v>
      </c>
      <c r="J3494">
        <v>1442794397</v>
      </c>
      <c r="K3494" t="b">
        <v>0</v>
      </c>
      <c r="L3494" s="10">
        <v>35</v>
      </c>
      <c r="M3494" t="b">
        <v>1</v>
      </c>
      <c r="N3494" t="s">
        <v>8269</v>
      </c>
      <c r="O3494" s="11">
        <f t="shared" si="220"/>
        <v>105</v>
      </c>
      <c r="P3494" s="12">
        <f t="shared" si="221"/>
        <v>114</v>
      </c>
      <c r="Q3494" s="14" t="s">
        <v>8314</v>
      </c>
      <c r="R3494" t="s">
        <v>8315</v>
      </c>
      <c r="S3494" s="17">
        <f t="shared" si="222"/>
        <v>42268.009224537032</v>
      </c>
      <c r="T3494" s="17">
        <f t="shared" si="223"/>
        <v>42303.009224537032</v>
      </c>
      <c r="U3494">
        <f>MONTH(Table1[[#This Row],[Launched]])</f>
        <v>9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 s="8">
        <v>1408252260</v>
      </c>
      <c r="J3495">
        <v>1406580436</v>
      </c>
      <c r="K3495" t="b">
        <v>0</v>
      </c>
      <c r="L3495" s="10">
        <v>29</v>
      </c>
      <c r="M3495" t="b">
        <v>1</v>
      </c>
      <c r="N3495" t="s">
        <v>8269</v>
      </c>
      <c r="O3495" s="11">
        <f t="shared" si="220"/>
        <v>100</v>
      </c>
      <c r="P3495" s="12">
        <f t="shared" si="221"/>
        <v>52</v>
      </c>
      <c r="Q3495" s="14" t="s">
        <v>8314</v>
      </c>
      <c r="R3495" t="s">
        <v>8315</v>
      </c>
      <c r="S3495" s="17">
        <f t="shared" si="222"/>
        <v>41848.866157407407</v>
      </c>
      <c r="T3495" s="17">
        <f t="shared" si="223"/>
        <v>41868.21597222222</v>
      </c>
      <c r="U3495">
        <f>MONTH(Table1[[#This Row],[Launched]])</f>
        <v>7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8218</v>
      </c>
      <c r="G3496" t="s">
        <v>8223</v>
      </c>
      <c r="H3496" t="s">
        <v>8245</v>
      </c>
      <c r="I3496" s="8">
        <v>1480140000</v>
      </c>
      <c r="J3496">
        <v>1479186575</v>
      </c>
      <c r="K3496" t="b">
        <v>0</v>
      </c>
      <c r="L3496" s="10">
        <v>13</v>
      </c>
      <c r="M3496" t="b">
        <v>1</v>
      </c>
      <c r="N3496" t="s">
        <v>8269</v>
      </c>
      <c r="O3496" s="11">
        <f t="shared" si="220"/>
        <v>100</v>
      </c>
      <c r="P3496" s="12">
        <f t="shared" si="221"/>
        <v>31</v>
      </c>
      <c r="Q3496" s="14" t="s">
        <v>8314</v>
      </c>
      <c r="R3496" t="s">
        <v>8315</v>
      </c>
      <c r="S3496" s="17">
        <f t="shared" si="222"/>
        <v>42689.214988425927</v>
      </c>
      <c r="T3496" s="17">
        <f t="shared" si="223"/>
        <v>42700.25</v>
      </c>
      <c r="U3496">
        <f>MONTH(Table1[[#This Row],[Launched]])</f>
        <v>11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 s="8">
        <v>1414862280</v>
      </c>
      <c r="J3497">
        <v>1412360309</v>
      </c>
      <c r="K3497" t="b">
        <v>0</v>
      </c>
      <c r="L3497" s="10">
        <v>72</v>
      </c>
      <c r="M3497" t="b">
        <v>1</v>
      </c>
      <c r="N3497" t="s">
        <v>8269</v>
      </c>
      <c r="O3497" s="11">
        <f t="shared" si="220"/>
        <v>107</v>
      </c>
      <c r="P3497" s="12">
        <f t="shared" si="221"/>
        <v>74</v>
      </c>
      <c r="Q3497" s="14" t="s">
        <v>8314</v>
      </c>
      <c r="R3497" t="s">
        <v>8315</v>
      </c>
      <c r="S3497" s="17">
        <f t="shared" si="222"/>
        <v>41915.762835648151</v>
      </c>
      <c r="T3497" s="17">
        <f t="shared" si="223"/>
        <v>41944.720833333333</v>
      </c>
      <c r="U3497">
        <f>MONTH(Table1[[#This Row],[Launched]])</f>
        <v>10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 s="8">
        <v>1473625166</v>
      </c>
      <c r="J3498">
        <v>1470169166</v>
      </c>
      <c r="K3498" t="b">
        <v>0</v>
      </c>
      <c r="L3498" s="10">
        <v>78</v>
      </c>
      <c r="M3498" t="b">
        <v>1</v>
      </c>
      <c r="N3498" t="s">
        <v>8269</v>
      </c>
      <c r="O3498" s="11">
        <f t="shared" si="220"/>
        <v>124</v>
      </c>
      <c r="P3498" s="12">
        <f t="shared" si="221"/>
        <v>48</v>
      </c>
      <c r="Q3498" s="14" t="s">
        <v>8314</v>
      </c>
      <c r="R3498" t="s">
        <v>8315</v>
      </c>
      <c r="S3498" s="17">
        <f t="shared" si="222"/>
        <v>42584.846828703703</v>
      </c>
      <c r="T3498" s="17">
        <f t="shared" si="223"/>
        <v>42624.846828703703</v>
      </c>
      <c r="U3498">
        <f>MONTH(Table1[[#This Row],[Launched]])</f>
        <v>8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 s="8">
        <v>1464904800</v>
      </c>
      <c r="J3499">
        <v>1463852904</v>
      </c>
      <c r="K3499" t="b">
        <v>0</v>
      </c>
      <c r="L3499" s="10">
        <v>49</v>
      </c>
      <c r="M3499" t="b">
        <v>1</v>
      </c>
      <c r="N3499" t="s">
        <v>8269</v>
      </c>
      <c r="O3499" s="11">
        <f t="shared" si="220"/>
        <v>109</v>
      </c>
      <c r="P3499" s="12">
        <f t="shared" si="221"/>
        <v>34</v>
      </c>
      <c r="Q3499" s="14" t="s">
        <v>8314</v>
      </c>
      <c r="R3499" t="s">
        <v>8315</v>
      </c>
      <c r="S3499" s="17">
        <f t="shared" si="222"/>
        <v>42511.741944444439</v>
      </c>
      <c r="T3499" s="17">
        <f t="shared" si="223"/>
        <v>42523.916666666672</v>
      </c>
      <c r="U3499">
        <f>MONTH(Table1[[#This Row],[Launched]])</f>
        <v>5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 s="8">
        <v>1464471840</v>
      </c>
      <c r="J3500">
        <v>1459309704</v>
      </c>
      <c r="K3500" t="b">
        <v>0</v>
      </c>
      <c r="L3500" s="10">
        <v>42</v>
      </c>
      <c r="M3500" t="b">
        <v>1</v>
      </c>
      <c r="N3500" t="s">
        <v>8269</v>
      </c>
      <c r="O3500" s="11">
        <f t="shared" si="220"/>
        <v>102</v>
      </c>
      <c r="P3500" s="12">
        <f t="shared" si="221"/>
        <v>40</v>
      </c>
      <c r="Q3500" s="14" t="s">
        <v>8314</v>
      </c>
      <c r="R3500" t="s">
        <v>8315</v>
      </c>
      <c r="S3500" s="17">
        <f t="shared" si="222"/>
        <v>42459.15861111111</v>
      </c>
      <c r="T3500" s="17">
        <f t="shared" si="223"/>
        <v>42518.905555555553</v>
      </c>
      <c r="U3500">
        <f>MONTH(Table1[[#This Row],[Launched]])</f>
        <v>3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 s="8">
        <v>1435733940</v>
      </c>
      <c r="J3501">
        <v>1431046325</v>
      </c>
      <c r="K3501" t="b">
        <v>0</v>
      </c>
      <c r="L3501" s="10">
        <v>35</v>
      </c>
      <c r="M3501" t="b">
        <v>1</v>
      </c>
      <c r="N3501" t="s">
        <v>8269</v>
      </c>
      <c r="O3501" s="11">
        <f t="shared" si="220"/>
        <v>106</v>
      </c>
      <c r="P3501" s="12">
        <f t="shared" si="221"/>
        <v>60</v>
      </c>
      <c r="Q3501" s="14" t="s">
        <v>8314</v>
      </c>
      <c r="R3501" t="s">
        <v>8315</v>
      </c>
      <c r="S3501" s="17">
        <f t="shared" si="222"/>
        <v>42132.036168981482</v>
      </c>
      <c r="T3501" s="17">
        <f t="shared" si="223"/>
        <v>42186.290972222225</v>
      </c>
      <c r="U3501">
        <f>MONTH(Table1[[#This Row],[Launched]])</f>
        <v>5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 s="8">
        <v>1457326740</v>
      </c>
      <c r="J3502">
        <v>1455919438</v>
      </c>
      <c r="K3502" t="b">
        <v>0</v>
      </c>
      <c r="L3502" s="10">
        <v>42</v>
      </c>
      <c r="M3502" t="b">
        <v>1</v>
      </c>
      <c r="N3502" t="s">
        <v>8269</v>
      </c>
      <c r="O3502" s="11">
        <f t="shared" si="220"/>
        <v>106</v>
      </c>
      <c r="P3502" s="12">
        <f t="shared" si="221"/>
        <v>25</v>
      </c>
      <c r="Q3502" s="14" t="s">
        <v>8314</v>
      </c>
      <c r="R3502" t="s">
        <v>8315</v>
      </c>
      <c r="S3502" s="17">
        <f t="shared" si="222"/>
        <v>42419.91942129629</v>
      </c>
      <c r="T3502" s="17">
        <f t="shared" si="223"/>
        <v>42436.207638888889</v>
      </c>
      <c r="U3502">
        <f>MONTH(Table1[[#This Row],[Launched]])</f>
        <v>2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 s="8">
        <v>1441995595</v>
      </c>
      <c r="J3503">
        <v>1439835595</v>
      </c>
      <c r="K3503" t="b">
        <v>0</v>
      </c>
      <c r="L3503" s="10">
        <v>42</v>
      </c>
      <c r="M3503" t="b">
        <v>1</v>
      </c>
      <c r="N3503" t="s">
        <v>8269</v>
      </c>
      <c r="O3503" s="11">
        <f t="shared" si="220"/>
        <v>101</v>
      </c>
      <c r="P3503" s="12">
        <f t="shared" si="221"/>
        <v>36</v>
      </c>
      <c r="Q3503" s="14" t="s">
        <v>8314</v>
      </c>
      <c r="R3503" t="s">
        <v>8315</v>
      </c>
      <c r="S3503" s="17">
        <f t="shared" si="222"/>
        <v>42233.763831018514</v>
      </c>
      <c r="T3503" s="17">
        <f t="shared" si="223"/>
        <v>42258.763831018514</v>
      </c>
      <c r="U3503">
        <f>MONTH(Table1[[#This Row],[Launched]])</f>
        <v>8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 s="8">
        <v>1458100740</v>
      </c>
      <c r="J3504">
        <v>1456862924</v>
      </c>
      <c r="K3504" t="b">
        <v>0</v>
      </c>
      <c r="L3504" s="10">
        <v>31</v>
      </c>
      <c r="M3504" t="b">
        <v>1</v>
      </c>
      <c r="N3504" t="s">
        <v>8269</v>
      </c>
      <c r="O3504" s="11">
        <f t="shared" si="220"/>
        <v>105</v>
      </c>
      <c r="P3504" s="12">
        <f t="shared" si="221"/>
        <v>136</v>
      </c>
      <c r="Q3504" s="14" t="s">
        <v>8314</v>
      </c>
      <c r="R3504" t="s">
        <v>8315</v>
      </c>
      <c r="S3504" s="17">
        <f t="shared" si="222"/>
        <v>42430.839398148149</v>
      </c>
      <c r="T3504" s="17">
        <f t="shared" si="223"/>
        <v>42445.165972222225</v>
      </c>
      <c r="U3504">
        <f>MONTH(Table1[[#This Row],[Launched]])</f>
        <v>3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 s="8">
        <v>1469359728</v>
      </c>
      <c r="J3505">
        <v>1466767728</v>
      </c>
      <c r="K3505" t="b">
        <v>0</v>
      </c>
      <c r="L3505" s="10">
        <v>38</v>
      </c>
      <c r="M3505" t="b">
        <v>1</v>
      </c>
      <c r="N3505" t="s">
        <v>8269</v>
      </c>
      <c r="O3505" s="11">
        <f t="shared" si="220"/>
        <v>108</v>
      </c>
      <c r="P3505" s="12">
        <f t="shared" si="221"/>
        <v>71</v>
      </c>
      <c r="Q3505" s="14" t="s">
        <v>8314</v>
      </c>
      <c r="R3505" t="s">
        <v>8315</v>
      </c>
      <c r="S3505" s="17">
        <f t="shared" si="222"/>
        <v>42545.478333333333</v>
      </c>
      <c r="T3505" s="17">
        <f t="shared" si="223"/>
        <v>42575.478333333333</v>
      </c>
      <c r="U3505">
        <f>MONTH(Table1[[#This Row],[Launched]])</f>
        <v>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 s="8">
        <v>1447959491</v>
      </c>
      <c r="J3506">
        <v>1445363891</v>
      </c>
      <c r="K3506" t="b">
        <v>0</v>
      </c>
      <c r="L3506" s="10">
        <v>8</v>
      </c>
      <c r="M3506" t="b">
        <v>1</v>
      </c>
      <c r="N3506" t="s">
        <v>8269</v>
      </c>
      <c r="O3506" s="11">
        <f t="shared" si="220"/>
        <v>100</v>
      </c>
      <c r="P3506" s="12">
        <f t="shared" si="221"/>
        <v>125</v>
      </c>
      <c r="Q3506" s="14" t="s">
        <v>8314</v>
      </c>
      <c r="R3506" t="s">
        <v>8315</v>
      </c>
      <c r="S3506" s="17">
        <f t="shared" si="222"/>
        <v>42297.748738425929</v>
      </c>
      <c r="T3506" s="17">
        <f t="shared" si="223"/>
        <v>42327.790405092594</v>
      </c>
      <c r="U3506">
        <f>MONTH(Table1[[#This Row],[Launched]])</f>
        <v>10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 s="8">
        <v>1399953600</v>
      </c>
      <c r="J3507">
        <v>1398983245</v>
      </c>
      <c r="K3507" t="b">
        <v>0</v>
      </c>
      <c r="L3507" s="10">
        <v>39</v>
      </c>
      <c r="M3507" t="b">
        <v>1</v>
      </c>
      <c r="N3507" t="s">
        <v>8269</v>
      </c>
      <c r="O3507" s="11">
        <f t="shared" si="220"/>
        <v>104</v>
      </c>
      <c r="P3507" s="12">
        <f t="shared" si="221"/>
        <v>67</v>
      </c>
      <c r="Q3507" s="14" t="s">
        <v>8314</v>
      </c>
      <c r="R3507" t="s">
        <v>8315</v>
      </c>
      <c r="S3507" s="17">
        <f t="shared" si="222"/>
        <v>41760.935706018521</v>
      </c>
      <c r="T3507" s="17">
        <f t="shared" si="223"/>
        <v>41772.166666666664</v>
      </c>
      <c r="U3507">
        <f>MONTH(Table1[[#This Row],[Launched]])</f>
        <v>5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 s="8">
        <v>1408815440</v>
      </c>
      <c r="J3508">
        <v>1404927440</v>
      </c>
      <c r="K3508" t="b">
        <v>0</v>
      </c>
      <c r="L3508" s="10">
        <v>29</v>
      </c>
      <c r="M3508" t="b">
        <v>1</v>
      </c>
      <c r="N3508" t="s">
        <v>8269</v>
      </c>
      <c r="O3508" s="11">
        <f t="shared" si="220"/>
        <v>102</v>
      </c>
      <c r="P3508" s="12">
        <f t="shared" si="221"/>
        <v>105</v>
      </c>
      <c r="Q3508" s="14" t="s">
        <v>8314</v>
      </c>
      <c r="R3508" t="s">
        <v>8315</v>
      </c>
      <c r="S3508" s="17">
        <f t="shared" si="222"/>
        <v>41829.734259259261</v>
      </c>
      <c r="T3508" s="17">
        <f t="shared" si="223"/>
        <v>41874.734259259261</v>
      </c>
      <c r="U3508">
        <f>MONTH(Table1[[#This Row],[Launched]])</f>
        <v>7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 s="8">
        <v>1464732537</v>
      </c>
      <c r="J3509">
        <v>1462140537</v>
      </c>
      <c r="K3509" t="b">
        <v>0</v>
      </c>
      <c r="L3509" s="10">
        <v>72</v>
      </c>
      <c r="M3509" t="b">
        <v>1</v>
      </c>
      <c r="N3509" t="s">
        <v>8269</v>
      </c>
      <c r="O3509" s="11">
        <f t="shared" si="220"/>
        <v>104</v>
      </c>
      <c r="P3509" s="12">
        <f t="shared" si="221"/>
        <v>145</v>
      </c>
      <c r="Q3509" s="14" t="s">
        <v>8314</v>
      </c>
      <c r="R3509" t="s">
        <v>8315</v>
      </c>
      <c r="S3509" s="17">
        <f t="shared" si="222"/>
        <v>42491.92288194444</v>
      </c>
      <c r="T3509" s="17">
        <f t="shared" si="223"/>
        <v>42521.92288194444</v>
      </c>
      <c r="U3509">
        <f>MONTH(Table1[[#This Row],[Launched]])</f>
        <v>5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8218</v>
      </c>
      <c r="G3510" t="s">
        <v>8224</v>
      </c>
      <c r="H3510" t="s">
        <v>8246</v>
      </c>
      <c r="I3510" s="8">
        <v>1462914000</v>
      </c>
      <c r="J3510">
        <v>1460914253</v>
      </c>
      <c r="K3510" t="b">
        <v>0</v>
      </c>
      <c r="L3510" s="10">
        <v>15</v>
      </c>
      <c r="M3510" t="b">
        <v>1</v>
      </c>
      <c r="N3510" t="s">
        <v>8269</v>
      </c>
      <c r="O3510" s="11">
        <f t="shared" si="220"/>
        <v>180</v>
      </c>
      <c r="P3510" s="12">
        <f t="shared" si="221"/>
        <v>12</v>
      </c>
      <c r="Q3510" s="14" t="s">
        <v>8314</v>
      </c>
      <c r="R3510" t="s">
        <v>8315</v>
      </c>
      <c r="S3510" s="17">
        <f t="shared" si="222"/>
        <v>42477.729780092588</v>
      </c>
      <c r="T3510" s="17">
        <f t="shared" si="223"/>
        <v>42500.875</v>
      </c>
      <c r="U3510">
        <f>MONTH(Table1[[#This Row],[Launched]])</f>
        <v>4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 s="8">
        <v>1416545700</v>
      </c>
      <c r="J3511">
        <v>1415392666</v>
      </c>
      <c r="K3511" t="b">
        <v>0</v>
      </c>
      <c r="L3511" s="10">
        <v>33</v>
      </c>
      <c r="M3511" t="b">
        <v>1</v>
      </c>
      <c r="N3511" t="s">
        <v>8269</v>
      </c>
      <c r="O3511" s="11">
        <f t="shared" si="220"/>
        <v>106</v>
      </c>
      <c r="P3511" s="12">
        <f t="shared" si="221"/>
        <v>97</v>
      </c>
      <c r="Q3511" s="14" t="s">
        <v>8314</v>
      </c>
      <c r="R3511" t="s">
        <v>8315</v>
      </c>
      <c r="S3511" s="17">
        <f t="shared" si="222"/>
        <v>41950.859560185185</v>
      </c>
      <c r="T3511" s="17">
        <f t="shared" si="223"/>
        <v>41964.204861111109</v>
      </c>
      <c r="U3511">
        <f>MONTH(Table1[[#This Row],[Launched]])</f>
        <v>11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8218</v>
      </c>
      <c r="G3512" t="s">
        <v>8223</v>
      </c>
      <c r="H3512" t="s">
        <v>8245</v>
      </c>
      <c r="I3512" s="8">
        <v>1404312846</v>
      </c>
      <c r="J3512">
        <v>1402584846</v>
      </c>
      <c r="K3512" t="b">
        <v>0</v>
      </c>
      <c r="L3512" s="10">
        <v>15</v>
      </c>
      <c r="M3512" t="b">
        <v>1</v>
      </c>
      <c r="N3512" t="s">
        <v>8269</v>
      </c>
      <c r="O3512" s="11">
        <f t="shared" si="220"/>
        <v>101</v>
      </c>
      <c r="P3512" s="12">
        <f t="shared" si="221"/>
        <v>60</v>
      </c>
      <c r="Q3512" s="14" t="s">
        <v>8314</v>
      </c>
      <c r="R3512" t="s">
        <v>8315</v>
      </c>
      <c r="S3512" s="17">
        <f t="shared" si="222"/>
        <v>41802.62090277778</v>
      </c>
      <c r="T3512" s="17">
        <f t="shared" si="223"/>
        <v>41822.62090277778</v>
      </c>
      <c r="U3512">
        <f>MONTH(Table1[[#This Row],[Launched]])</f>
        <v>6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 s="8">
        <v>1415385000</v>
      </c>
      <c r="J3513">
        <v>1413406695</v>
      </c>
      <c r="K3513" t="b">
        <v>0</v>
      </c>
      <c r="L3513" s="10">
        <v>19</v>
      </c>
      <c r="M3513" t="b">
        <v>1</v>
      </c>
      <c r="N3513" t="s">
        <v>8269</v>
      </c>
      <c r="O3513" s="11">
        <f t="shared" si="220"/>
        <v>101</v>
      </c>
      <c r="P3513" s="12">
        <f t="shared" si="221"/>
        <v>80</v>
      </c>
      <c r="Q3513" s="14" t="s">
        <v>8314</v>
      </c>
      <c r="R3513" t="s">
        <v>8315</v>
      </c>
      <c r="S3513" s="17">
        <f t="shared" si="222"/>
        <v>41927.873784722222</v>
      </c>
      <c r="T3513" s="17">
        <f t="shared" si="223"/>
        <v>41950.770833333336</v>
      </c>
      <c r="U3513">
        <f>MONTH(Table1[[#This Row],[Launched]])</f>
        <v>10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 s="8">
        <v>1429789992</v>
      </c>
      <c r="J3514">
        <v>1424609592</v>
      </c>
      <c r="K3514" t="b">
        <v>0</v>
      </c>
      <c r="L3514" s="10">
        <v>17</v>
      </c>
      <c r="M3514" t="b">
        <v>1</v>
      </c>
      <c r="N3514" t="s">
        <v>8269</v>
      </c>
      <c r="O3514" s="11">
        <f t="shared" si="220"/>
        <v>100</v>
      </c>
      <c r="P3514" s="12">
        <f t="shared" si="221"/>
        <v>59</v>
      </c>
      <c r="Q3514" s="14" t="s">
        <v>8314</v>
      </c>
      <c r="R3514" t="s">
        <v>8315</v>
      </c>
      <c r="S3514" s="17">
        <f t="shared" si="222"/>
        <v>42057.536944444444</v>
      </c>
      <c r="T3514" s="17">
        <f t="shared" si="223"/>
        <v>42117.49527777778</v>
      </c>
      <c r="U3514">
        <f>MONTH(Table1[[#This Row],[Launched]])</f>
        <v>2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 s="8">
        <v>1401857940</v>
      </c>
      <c r="J3515">
        <v>1400725112</v>
      </c>
      <c r="K3515" t="b">
        <v>0</v>
      </c>
      <c r="L3515" s="10">
        <v>44</v>
      </c>
      <c r="M3515" t="b">
        <v>1</v>
      </c>
      <c r="N3515" t="s">
        <v>8269</v>
      </c>
      <c r="O3515" s="11">
        <f t="shared" si="220"/>
        <v>118</v>
      </c>
      <c r="P3515" s="12">
        <f t="shared" si="221"/>
        <v>75</v>
      </c>
      <c r="Q3515" s="14" t="s">
        <v>8314</v>
      </c>
      <c r="R3515" t="s">
        <v>8315</v>
      </c>
      <c r="S3515" s="17">
        <f t="shared" si="222"/>
        <v>41781.096203703702</v>
      </c>
      <c r="T3515" s="17">
        <f t="shared" si="223"/>
        <v>41794.207638888889</v>
      </c>
      <c r="U3515">
        <f>MONTH(Table1[[#This Row],[Launched]])</f>
        <v>5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8218</v>
      </c>
      <c r="G3516" t="s">
        <v>8223</v>
      </c>
      <c r="H3516" t="s">
        <v>8245</v>
      </c>
      <c r="I3516" s="8">
        <v>1422853140</v>
      </c>
      <c r="J3516">
        <v>1421439552</v>
      </c>
      <c r="K3516" t="b">
        <v>0</v>
      </c>
      <c r="L3516" s="10">
        <v>10</v>
      </c>
      <c r="M3516" t="b">
        <v>1</v>
      </c>
      <c r="N3516" t="s">
        <v>8269</v>
      </c>
      <c r="O3516" s="11">
        <f t="shared" si="220"/>
        <v>110</v>
      </c>
      <c r="P3516" s="12">
        <f t="shared" si="221"/>
        <v>55</v>
      </c>
      <c r="Q3516" s="14" t="s">
        <v>8314</v>
      </c>
      <c r="R3516" t="s">
        <v>8315</v>
      </c>
      <c r="S3516" s="17">
        <f t="shared" si="222"/>
        <v>42020.846666666665</v>
      </c>
      <c r="T3516" s="17">
        <f t="shared" si="223"/>
        <v>42037.207638888889</v>
      </c>
      <c r="U3516">
        <f>MONTH(Table1[[#This Row],[Launched]])</f>
        <v>1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 s="8">
        <v>1433097171</v>
      </c>
      <c r="J3517">
        <v>1430505171</v>
      </c>
      <c r="K3517" t="b">
        <v>0</v>
      </c>
      <c r="L3517" s="10">
        <v>46</v>
      </c>
      <c r="M3517" t="b">
        <v>1</v>
      </c>
      <c r="N3517" t="s">
        <v>8269</v>
      </c>
      <c r="O3517" s="11">
        <f t="shared" si="220"/>
        <v>103</v>
      </c>
      <c r="P3517" s="12">
        <f t="shared" si="221"/>
        <v>67</v>
      </c>
      <c r="Q3517" s="14" t="s">
        <v>8314</v>
      </c>
      <c r="R3517" t="s">
        <v>8315</v>
      </c>
      <c r="S3517" s="17">
        <f t="shared" si="222"/>
        <v>42125.772812499999</v>
      </c>
      <c r="T3517" s="17">
        <f t="shared" si="223"/>
        <v>42155.772812499999</v>
      </c>
      <c r="U3517">
        <f>MONTH(Table1[[#This Row],[Launched]])</f>
        <v>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 s="8">
        <v>1410145200</v>
      </c>
      <c r="J3518">
        <v>1407197670</v>
      </c>
      <c r="K3518" t="b">
        <v>0</v>
      </c>
      <c r="L3518" s="10">
        <v>11</v>
      </c>
      <c r="M3518" t="b">
        <v>1</v>
      </c>
      <c r="N3518" t="s">
        <v>8269</v>
      </c>
      <c r="O3518" s="11">
        <f t="shared" si="220"/>
        <v>100</v>
      </c>
      <c r="P3518" s="12">
        <f t="shared" si="221"/>
        <v>227</v>
      </c>
      <c r="Q3518" s="14" t="s">
        <v>8314</v>
      </c>
      <c r="R3518" t="s">
        <v>8315</v>
      </c>
      <c r="S3518" s="17">
        <f t="shared" si="222"/>
        <v>41856.010069444441</v>
      </c>
      <c r="T3518" s="17">
        <f t="shared" si="223"/>
        <v>41890.125</v>
      </c>
      <c r="U3518">
        <f>MONTH(Table1[[#This Row],[Launched]])</f>
        <v>8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 s="8">
        <v>1404471600</v>
      </c>
      <c r="J3519">
        <v>1401910634</v>
      </c>
      <c r="K3519" t="b">
        <v>0</v>
      </c>
      <c r="L3519" s="10">
        <v>13</v>
      </c>
      <c r="M3519" t="b">
        <v>1</v>
      </c>
      <c r="N3519" t="s">
        <v>8269</v>
      </c>
      <c r="O3519" s="11">
        <f t="shared" si="220"/>
        <v>100</v>
      </c>
      <c r="P3519" s="12">
        <f t="shared" si="221"/>
        <v>308</v>
      </c>
      <c r="Q3519" s="14" t="s">
        <v>8314</v>
      </c>
      <c r="R3519" t="s">
        <v>8315</v>
      </c>
      <c r="S3519" s="17">
        <f t="shared" si="222"/>
        <v>41794.817523148151</v>
      </c>
      <c r="T3519" s="17">
        <f t="shared" si="223"/>
        <v>41824.458333333336</v>
      </c>
      <c r="U3519">
        <f>MONTH(Table1[[#This Row],[Launched]])</f>
        <v>6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 s="8">
        <v>1412259660</v>
      </c>
      <c r="J3520">
        <v>1410461299</v>
      </c>
      <c r="K3520" t="b">
        <v>0</v>
      </c>
      <c r="L3520" s="10">
        <v>33</v>
      </c>
      <c r="M3520" t="b">
        <v>1</v>
      </c>
      <c r="N3520" t="s">
        <v>8269</v>
      </c>
      <c r="O3520" s="11">
        <f t="shared" si="220"/>
        <v>110</v>
      </c>
      <c r="P3520" s="12">
        <f t="shared" si="221"/>
        <v>50</v>
      </c>
      <c r="Q3520" s="14" t="s">
        <v>8314</v>
      </c>
      <c r="R3520" t="s">
        <v>8315</v>
      </c>
      <c r="S3520" s="17">
        <f t="shared" si="222"/>
        <v>41893.783553240741</v>
      </c>
      <c r="T3520" s="17">
        <f t="shared" si="223"/>
        <v>41914.597916666666</v>
      </c>
      <c r="U3520">
        <f>MONTH(Table1[[#This Row],[Launched]])</f>
        <v>9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 s="8">
        <v>1425478950</v>
      </c>
      <c r="J3521">
        <v>1422886950</v>
      </c>
      <c r="K3521" t="b">
        <v>0</v>
      </c>
      <c r="L3521" s="10">
        <v>28</v>
      </c>
      <c r="M3521" t="b">
        <v>1</v>
      </c>
      <c r="N3521" t="s">
        <v>8269</v>
      </c>
      <c r="O3521" s="11">
        <f t="shared" si="220"/>
        <v>101</v>
      </c>
      <c r="P3521" s="12">
        <f t="shared" si="221"/>
        <v>72</v>
      </c>
      <c r="Q3521" s="14" t="s">
        <v>8314</v>
      </c>
      <c r="R3521" t="s">
        <v>8315</v>
      </c>
      <c r="S3521" s="17">
        <f t="shared" si="222"/>
        <v>42037.598958333328</v>
      </c>
      <c r="T3521" s="17">
        <f t="shared" si="223"/>
        <v>42067.598958333328</v>
      </c>
      <c r="U3521">
        <f>MONTH(Table1[[#This Row],[Launched]])</f>
        <v>2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 s="8">
        <v>1441547220</v>
      </c>
      <c r="J3522">
        <v>1439322412</v>
      </c>
      <c r="K3522" t="b">
        <v>0</v>
      </c>
      <c r="L3522" s="10">
        <v>21</v>
      </c>
      <c r="M3522" t="b">
        <v>1</v>
      </c>
      <c r="N3522" t="s">
        <v>8269</v>
      </c>
      <c r="O3522" s="11">
        <f t="shared" ref="O3522:O3585" si="224">ROUND(E3522/D3522*100,0)</f>
        <v>101</v>
      </c>
      <c r="P3522" s="12">
        <f t="shared" si="221"/>
        <v>96</v>
      </c>
      <c r="Q3522" s="14" t="s">
        <v>8314</v>
      </c>
      <c r="R3522" t="s">
        <v>8315</v>
      </c>
      <c r="S3522" s="17">
        <f t="shared" si="222"/>
        <v>42227.824212962965</v>
      </c>
      <c r="T3522" s="17">
        <f t="shared" si="223"/>
        <v>42253.57430555555</v>
      </c>
      <c r="U3522">
        <f>MONTH(Table1[[#This Row],[Launched]])</f>
        <v>8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8218</v>
      </c>
      <c r="G3523" t="s">
        <v>8223</v>
      </c>
      <c r="H3523" t="s">
        <v>8245</v>
      </c>
      <c r="I3523" s="8">
        <v>1411980020</v>
      </c>
      <c r="J3523">
        <v>1409388020</v>
      </c>
      <c r="K3523" t="b">
        <v>0</v>
      </c>
      <c r="L3523" s="10">
        <v>13</v>
      </c>
      <c r="M3523" t="b">
        <v>1</v>
      </c>
      <c r="N3523" t="s">
        <v>8269</v>
      </c>
      <c r="O3523" s="11">
        <f t="shared" si="224"/>
        <v>169</v>
      </c>
      <c r="P3523" s="12">
        <f t="shared" ref="P3523:P3586" si="225">IFERROR(ROUND(E3523/L3523,),"No Backers")</f>
        <v>46</v>
      </c>
      <c r="Q3523" s="14" t="s">
        <v>8314</v>
      </c>
      <c r="R3523" t="s">
        <v>8315</v>
      </c>
      <c r="S3523" s="17">
        <f t="shared" ref="S3523:S3586" si="226">(((J3523/60)/60)/24)+DATE(1970,1,1)</f>
        <v>41881.361342592594</v>
      </c>
      <c r="T3523" s="17">
        <f t="shared" ref="T3523:T3586" si="227">(((I3523/60)/60)/24)+DATE(1970,1,1)</f>
        <v>41911.361342592594</v>
      </c>
      <c r="U3523">
        <f>MONTH(Table1[[#This Row],[Launched]])</f>
        <v>8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 s="8">
        <v>1442311560</v>
      </c>
      <c r="J3524">
        <v>1439924246</v>
      </c>
      <c r="K3524" t="b">
        <v>0</v>
      </c>
      <c r="L3524" s="10">
        <v>34</v>
      </c>
      <c r="M3524" t="b">
        <v>1</v>
      </c>
      <c r="N3524" t="s">
        <v>8269</v>
      </c>
      <c r="O3524" s="11">
        <f t="shared" si="224"/>
        <v>100</v>
      </c>
      <c r="P3524" s="12">
        <f t="shared" si="225"/>
        <v>41</v>
      </c>
      <c r="Q3524" s="14" t="s">
        <v>8314</v>
      </c>
      <c r="R3524" t="s">
        <v>8315</v>
      </c>
      <c r="S3524" s="17">
        <f t="shared" si="226"/>
        <v>42234.789884259255</v>
      </c>
      <c r="T3524" s="17">
        <f t="shared" si="227"/>
        <v>42262.420833333337</v>
      </c>
      <c r="U3524">
        <f>MONTH(Table1[[#This Row],[Launched]])</f>
        <v>8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 s="8">
        <v>1474844400</v>
      </c>
      <c r="J3525">
        <v>1469871148</v>
      </c>
      <c r="K3525" t="b">
        <v>0</v>
      </c>
      <c r="L3525" s="10">
        <v>80</v>
      </c>
      <c r="M3525" t="b">
        <v>1</v>
      </c>
      <c r="N3525" t="s">
        <v>8269</v>
      </c>
      <c r="O3525" s="11">
        <f t="shared" si="224"/>
        <v>114</v>
      </c>
      <c r="P3525" s="12">
        <f t="shared" si="225"/>
        <v>57</v>
      </c>
      <c r="Q3525" s="14" t="s">
        <v>8314</v>
      </c>
      <c r="R3525" t="s">
        <v>8315</v>
      </c>
      <c r="S3525" s="17">
        <f t="shared" si="226"/>
        <v>42581.397546296299</v>
      </c>
      <c r="T3525" s="17">
        <f t="shared" si="227"/>
        <v>42638.958333333328</v>
      </c>
      <c r="U3525">
        <f>MONTH(Table1[[#This Row],[Launched]])</f>
        <v>7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 s="8">
        <v>1410580800</v>
      </c>
      <c r="J3526">
        <v>1409336373</v>
      </c>
      <c r="K3526" t="b">
        <v>0</v>
      </c>
      <c r="L3526" s="10">
        <v>74</v>
      </c>
      <c r="M3526" t="b">
        <v>1</v>
      </c>
      <c r="N3526" t="s">
        <v>8269</v>
      </c>
      <c r="O3526" s="11">
        <f t="shared" si="224"/>
        <v>102</v>
      </c>
      <c r="P3526" s="12">
        <f t="shared" si="225"/>
        <v>137</v>
      </c>
      <c r="Q3526" s="14" t="s">
        <v>8314</v>
      </c>
      <c r="R3526" t="s">
        <v>8315</v>
      </c>
      <c r="S3526" s="17">
        <f t="shared" si="226"/>
        <v>41880.76357638889</v>
      </c>
      <c r="T3526" s="17">
        <f t="shared" si="227"/>
        <v>41895.166666666664</v>
      </c>
      <c r="U3526">
        <f>MONTH(Table1[[#This Row],[Launched]])</f>
        <v>8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8218</v>
      </c>
      <c r="G3527" t="s">
        <v>8223</v>
      </c>
      <c r="H3527" t="s">
        <v>8245</v>
      </c>
      <c r="I3527" s="8">
        <v>1439136000</v>
      </c>
      <c r="J3527">
        <v>1438188106</v>
      </c>
      <c r="K3527" t="b">
        <v>0</v>
      </c>
      <c r="L3527" s="10">
        <v>7</v>
      </c>
      <c r="M3527" t="b">
        <v>1</v>
      </c>
      <c r="N3527" t="s">
        <v>8269</v>
      </c>
      <c r="O3527" s="11">
        <f t="shared" si="224"/>
        <v>106</v>
      </c>
      <c r="P3527" s="12">
        <f t="shared" si="225"/>
        <v>76</v>
      </c>
      <c r="Q3527" s="14" t="s">
        <v>8314</v>
      </c>
      <c r="R3527" t="s">
        <v>8315</v>
      </c>
      <c r="S3527" s="17">
        <f t="shared" si="226"/>
        <v>42214.6956712963</v>
      </c>
      <c r="T3527" s="17">
        <f t="shared" si="227"/>
        <v>42225.666666666672</v>
      </c>
      <c r="U3527">
        <f>MONTH(Table1[[#This Row],[Launched]])</f>
        <v>7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 s="8">
        <v>1461823140</v>
      </c>
      <c r="J3528">
        <v>1459411371</v>
      </c>
      <c r="K3528" t="b">
        <v>0</v>
      </c>
      <c r="L3528" s="10">
        <v>34</v>
      </c>
      <c r="M3528" t="b">
        <v>1</v>
      </c>
      <c r="N3528" t="s">
        <v>8269</v>
      </c>
      <c r="O3528" s="11">
        <f t="shared" si="224"/>
        <v>102</v>
      </c>
      <c r="P3528" s="12">
        <f t="shared" si="225"/>
        <v>99</v>
      </c>
      <c r="Q3528" s="14" t="s">
        <v>8314</v>
      </c>
      <c r="R3528" t="s">
        <v>8315</v>
      </c>
      <c r="S3528" s="17">
        <f t="shared" si="226"/>
        <v>42460.335312499999</v>
      </c>
      <c r="T3528" s="17">
        <f t="shared" si="227"/>
        <v>42488.249305555553</v>
      </c>
      <c r="U3528">
        <f>MONTH(Table1[[#This Row],[Launched]])</f>
        <v>3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 s="8">
        <v>1436587140</v>
      </c>
      <c r="J3529">
        <v>1434069205</v>
      </c>
      <c r="K3529" t="b">
        <v>0</v>
      </c>
      <c r="L3529" s="10">
        <v>86</v>
      </c>
      <c r="M3529" t="b">
        <v>1</v>
      </c>
      <c r="N3529" t="s">
        <v>8269</v>
      </c>
      <c r="O3529" s="11">
        <f t="shared" si="224"/>
        <v>117</v>
      </c>
      <c r="P3529" s="12">
        <f t="shared" si="225"/>
        <v>82</v>
      </c>
      <c r="Q3529" s="14" t="s">
        <v>8314</v>
      </c>
      <c r="R3529" t="s">
        <v>8315</v>
      </c>
      <c r="S3529" s="17">
        <f t="shared" si="226"/>
        <v>42167.023206018523</v>
      </c>
      <c r="T3529" s="17">
        <f t="shared" si="227"/>
        <v>42196.165972222225</v>
      </c>
      <c r="U3529">
        <f>MONTH(Table1[[#This Row],[Launched]])</f>
        <v>6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 s="8">
        <v>1484740918</v>
      </c>
      <c r="J3530">
        <v>1483012918</v>
      </c>
      <c r="K3530" t="b">
        <v>0</v>
      </c>
      <c r="L3530" s="10">
        <v>37</v>
      </c>
      <c r="M3530" t="b">
        <v>1</v>
      </c>
      <c r="N3530" t="s">
        <v>8269</v>
      </c>
      <c r="O3530" s="11">
        <f t="shared" si="224"/>
        <v>101</v>
      </c>
      <c r="P3530" s="12">
        <f t="shared" si="225"/>
        <v>45</v>
      </c>
      <c r="Q3530" s="14" t="s">
        <v>8314</v>
      </c>
      <c r="R3530" t="s">
        <v>8315</v>
      </c>
      <c r="S3530" s="17">
        <f t="shared" si="226"/>
        <v>42733.50136574074</v>
      </c>
      <c r="T3530" s="17">
        <f t="shared" si="227"/>
        <v>42753.50136574074</v>
      </c>
      <c r="U3530">
        <f>MONTH(Table1[[#This Row],[Launched]])</f>
        <v>12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8218</v>
      </c>
      <c r="G3531" t="s">
        <v>8223</v>
      </c>
      <c r="H3531" t="s">
        <v>8245</v>
      </c>
      <c r="I3531" s="8">
        <v>1436749200</v>
      </c>
      <c r="J3531">
        <v>1434997018</v>
      </c>
      <c r="K3531" t="b">
        <v>0</v>
      </c>
      <c r="L3531" s="10">
        <v>18</v>
      </c>
      <c r="M3531" t="b">
        <v>1</v>
      </c>
      <c r="N3531" t="s">
        <v>8269</v>
      </c>
      <c r="O3531" s="11">
        <f t="shared" si="224"/>
        <v>132</v>
      </c>
      <c r="P3531" s="12">
        <f t="shared" si="225"/>
        <v>37</v>
      </c>
      <c r="Q3531" s="14" t="s">
        <v>8314</v>
      </c>
      <c r="R3531" t="s">
        <v>8315</v>
      </c>
      <c r="S3531" s="17">
        <f t="shared" si="226"/>
        <v>42177.761782407411</v>
      </c>
      <c r="T3531" s="17">
        <f t="shared" si="227"/>
        <v>42198.041666666672</v>
      </c>
      <c r="U3531">
        <f>MONTH(Table1[[#This Row],[Launched]])</f>
        <v>6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 s="8">
        <v>1460318400</v>
      </c>
      <c r="J3532">
        <v>1457881057</v>
      </c>
      <c r="K3532" t="b">
        <v>0</v>
      </c>
      <c r="L3532" s="10">
        <v>22</v>
      </c>
      <c r="M3532" t="b">
        <v>1</v>
      </c>
      <c r="N3532" t="s">
        <v>8269</v>
      </c>
      <c r="O3532" s="11">
        <f t="shared" si="224"/>
        <v>100</v>
      </c>
      <c r="P3532" s="12">
        <f t="shared" si="225"/>
        <v>125</v>
      </c>
      <c r="Q3532" s="14" t="s">
        <v>8314</v>
      </c>
      <c r="R3532" t="s">
        <v>8315</v>
      </c>
      <c r="S3532" s="17">
        <f t="shared" si="226"/>
        <v>42442.623344907406</v>
      </c>
      <c r="T3532" s="17">
        <f t="shared" si="227"/>
        <v>42470.833333333328</v>
      </c>
      <c r="U3532">
        <f>MONTH(Table1[[#This Row],[Launched]])</f>
        <v>3</v>
      </c>
    </row>
    <row r="3533" spans="1:21" ht="15.6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 s="8">
        <v>1467301334</v>
      </c>
      <c r="J3533">
        <v>1464709334</v>
      </c>
      <c r="K3533" t="b">
        <v>0</v>
      </c>
      <c r="L3533" s="10">
        <v>26</v>
      </c>
      <c r="M3533" t="b">
        <v>1</v>
      </c>
      <c r="N3533" t="s">
        <v>8269</v>
      </c>
      <c r="O3533" s="11">
        <f t="shared" si="224"/>
        <v>128</v>
      </c>
      <c r="P3533" s="12">
        <f t="shared" si="225"/>
        <v>49</v>
      </c>
      <c r="Q3533" s="14" t="s">
        <v>8314</v>
      </c>
      <c r="R3533" t="s">
        <v>8315</v>
      </c>
      <c r="S3533" s="17">
        <f t="shared" si="226"/>
        <v>42521.654328703706</v>
      </c>
      <c r="T3533" s="17">
        <f t="shared" si="227"/>
        <v>42551.654328703706</v>
      </c>
      <c r="U3533">
        <f>MONTH(Table1[[#This Row],[Launched]])</f>
        <v>5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8218</v>
      </c>
      <c r="G3534" t="s">
        <v>8223</v>
      </c>
      <c r="H3534" t="s">
        <v>8245</v>
      </c>
      <c r="I3534" s="8">
        <v>1411012740</v>
      </c>
      <c r="J3534">
        <v>1409667827</v>
      </c>
      <c r="K3534" t="b">
        <v>0</v>
      </c>
      <c r="L3534" s="10">
        <v>27</v>
      </c>
      <c r="M3534" t="b">
        <v>1</v>
      </c>
      <c r="N3534" t="s">
        <v>8269</v>
      </c>
      <c r="O3534" s="11">
        <f t="shared" si="224"/>
        <v>119</v>
      </c>
      <c r="P3534" s="12">
        <f t="shared" si="225"/>
        <v>42</v>
      </c>
      <c r="Q3534" s="14" t="s">
        <v>8314</v>
      </c>
      <c r="R3534" t="s">
        <v>8315</v>
      </c>
      <c r="S3534" s="17">
        <f t="shared" si="226"/>
        <v>41884.599849537037</v>
      </c>
      <c r="T3534" s="17">
        <f t="shared" si="227"/>
        <v>41900.165972222225</v>
      </c>
      <c r="U3534">
        <f>MONTH(Table1[[#This Row],[Launched]])</f>
        <v>9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8218</v>
      </c>
      <c r="G3535" t="s">
        <v>8223</v>
      </c>
      <c r="H3535" t="s">
        <v>8245</v>
      </c>
      <c r="I3535" s="8">
        <v>1447269367</v>
      </c>
      <c r="J3535">
        <v>1444673767</v>
      </c>
      <c r="K3535" t="b">
        <v>0</v>
      </c>
      <c r="L3535" s="10">
        <v>8</v>
      </c>
      <c r="M3535" t="b">
        <v>1</v>
      </c>
      <c r="N3535" t="s">
        <v>8269</v>
      </c>
      <c r="O3535" s="11">
        <f t="shared" si="224"/>
        <v>126</v>
      </c>
      <c r="P3535" s="12">
        <f t="shared" si="225"/>
        <v>79</v>
      </c>
      <c r="Q3535" s="14" t="s">
        <v>8314</v>
      </c>
      <c r="R3535" t="s">
        <v>8315</v>
      </c>
      <c r="S3535" s="17">
        <f t="shared" si="226"/>
        <v>42289.761192129634</v>
      </c>
      <c r="T3535" s="17">
        <f t="shared" si="227"/>
        <v>42319.802858796291</v>
      </c>
      <c r="U3535">
        <f>MONTH(Table1[[#This Row],[Launched]])</f>
        <v>10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 s="8">
        <v>1443711623</v>
      </c>
      <c r="J3536">
        <v>1440687623</v>
      </c>
      <c r="K3536" t="b">
        <v>0</v>
      </c>
      <c r="L3536" s="10">
        <v>204</v>
      </c>
      <c r="M3536" t="b">
        <v>1</v>
      </c>
      <c r="N3536" t="s">
        <v>8269</v>
      </c>
      <c r="O3536" s="11">
        <f t="shared" si="224"/>
        <v>156</v>
      </c>
      <c r="P3536" s="12">
        <f t="shared" si="225"/>
        <v>38</v>
      </c>
      <c r="Q3536" s="14" t="s">
        <v>8314</v>
      </c>
      <c r="R3536" t="s">
        <v>8315</v>
      </c>
      <c r="S3536" s="17">
        <f t="shared" si="226"/>
        <v>42243.6252662037</v>
      </c>
      <c r="T3536" s="17">
        <f t="shared" si="227"/>
        <v>42278.6252662037</v>
      </c>
      <c r="U3536">
        <f>MONTH(Table1[[#This Row],[Launched]])</f>
        <v>8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 s="8">
        <v>1443808800</v>
      </c>
      <c r="J3537">
        <v>1441120910</v>
      </c>
      <c r="K3537" t="b">
        <v>0</v>
      </c>
      <c r="L3537" s="10">
        <v>46</v>
      </c>
      <c r="M3537" t="b">
        <v>1</v>
      </c>
      <c r="N3537" t="s">
        <v>8269</v>
      </c>
      <c r="O3537" s="11">
        <f t="shared" si="224"/>
        <v>103</v>
      </c>
      <c r="P3537" s="12">
        <f t="shared" si="225"/>
        <v>45</v>
      </c>
      <c r="Q3537" s="14" t="s">
        <v>8314</v>
      </c>
      <c r="R3537" t="s">
        <v>8315</v>
      </c>
      <c r="S3537" s="17">
        <f t="shared" si="226"/>
        <v>42248.640162037031</v>
      </c>
      <c r="T3537" s="17">
        <f t="shared" si="227"/>
        <v>42279.75</v>
      </c>
      <c r="U3537">
        <f>MONTH(Table1[[#This Row],[Launched]])</f>
        <v>9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8218</v>
      </c>
      <c r="G3538" t="s">
        <v>8224</v>
      </c>
      <c r="H3538" t="s">
        <v>8246</v>
      </c>
      <c r="I3538" s="8">
        <v>1450612740</v>
      </c>
      <c r="J3538">
        <v>1448040425</v>
      </c>
      <c r="K3538" t="b">
        <v>0</v>
      </c>
      <c r="L3538" s="10">
        <v>17</v>
      </c>
      <c r="M3538" t="b">
        <v>1</v>
      </c>
      <c r="N3538" t="s">
        <v>8269</v>
      </c>
      <c r="O3538" s="11">
        <f t="shared" si="224"/>
        <v>153</v>
      </c>
      <c r="P3538" s="12">
        <f t="shared" si="225"/>
        <v>14</v>
      </c>
      <c r="Q3538" s="14" t="s">
        <v>8314</v>
      </c>
      <c r="R3538" t="s">
        <v>8315</v>
      </c>
      <c r="S3538" s="17">
        <f t="shared" si="226"/>
        <v>42328.727141203708</v>
      </c>
      <c r="T3538" s="17">
        <f t="shared" si="227"/>
        <v>42358.499305555553</v>
      </c>
      <c r="U3538">
        <f>MONTH(Table1[[#This Row],[Launched]])</f>
        <v>11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8218</v>
      </c>
      <c r="G3539" t="s">
        <v>8228</v>
      </c>
      <c r="H3539" t="s">
        <v>8250</v>
      </c>
      <c r="I3539" s="8">
        <v>1416211140</v>
      </c>
      <c r="J3539">
        <v>1413016216</v>
      </c>
      <c r="K3539" t="b">
        <v>0</v>
      </c>
      <c r="L3539" s="10">
        <v>28</v>
      </c>
      <c r="M3539" t="b">
        <v>1</v>
      </c>
      <c r="N3539" t="s">
        <v>8269</v>
      </c>
      <c r="O3539" s="11">
        <f t="shared" si="224"/>
        <v>180</v>
      </c>
      <c r="P3539" s="12">
        <f t="shared" si="225"/>
        <v>44</v>
      </c>
      <c r="Q3539" s="14" t="s">
        <v>8314</v>
      </c>
      <c r="R3539" t="s">
        <v>8315</v>
      </c>
      <c r="S3539" s="17">
        <f t="shared" si="226"/>
        <v>41923.354351851849</v>
      </c>
      <c r="T3539" s="17">
        <f t="shared" si="227"/>
        <v>41960.332638888889</v>
      </c>
      <c r="U3539">
        <f>MONTH(Table1[[#This Row],[Launched]])</f>
        <v>10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 s="8">
        <v>1471428340</v>
      </c>
      <c r="J3540">
        <v>1469009140</v>
      </c>
      <c r="K3540" t="b">
        <v>0</v>
      </c>
      <c r="L3540" s="10">
        <v>83</v>
      </c>
      <c r="M3540" t="b">
        <v>1</v>
      </c>
      <c r="N3540" t="s">
        <v>8269</v>
      </c>
      <c r="O3540" s="11">
        <f t="shared" si="224"/>
        <v>128</v>
      </c>
      <c r="P3540" s="12">
        <f t="shared" si="225"/>
        <v>31</v>
      </c>
      <c r="Q3540" s="14" t="s">
        <v>8314</v>
      </c>
      <c r="R3540" t="s">
        <v>8315</v>
      </c>
      <c r="S3540" s="17">
        <f t="shared" si="226"/>
        <v>42571.420601851853</v>
      </c>
      <c r="T3540" s="17">
        <f t="shared" si="227"/>
        <v>42599.420601851853</v>
      </c>
      <c r="U3540">
        <f>MONTH(Table1[[#This Row],[Launched]])</f>
        <v>7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8218</v>
      </c>
      <c r="G3541" t="s">
        <v>8223</v>
      </c>
      <c r="H3541" t="s">
        <v>8245</v>
      </c>
      <c r="I3541" s="8">
        <v>1473358122</v>
      </c>
      <c r="J3541">
        <v>1471543722</v>
      </c>
      <c r="K3541" t="b">
        <v>0</v>
      </c>
      <c r="L3541" s="10">
        <v>13</v>
      </c>
      <c r="M3541" t="b">
        <v>1</v>
      </c>
      <c r="N3541" t="s">
        <v>8269</v>
      </c>
      <c r="O3541" s="11">
        <f t="shared" si="224"/>
        <v>120</v>
      </c>
      <c r="P3541" s="12">
        <f t="shared" si="225"/>
        <v>55</v>
      </c>
      <c r="Q3541" s="14" t="s">
        <v>8314</v>
      </c>
      <c r="R3541" t="s">
        <v>8315</v>
      </c>
      <c r="S3541" s="17">
        <f t="shared" si="226"/>
        <v>42600.756041666667</v>
      </c>
      <c r="T3541" s="17">
        <f t="shared" si="227"/>
        <v>42621.756041666667</v>
      </c>
      <c r="U3541">
        <f>MONTH(Table1[[#This Row],[Launched]])</f>
        <v>8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8218</v>
      </c>
      <c r="G3542" t="s">
        <v>8224</v>
      </c>
      <c r="H3542" t="s">
        <v>8246</v>
      </c>
      <c r="I3542" s="8">
        <v>1466899491</v>
      </c>
      <c r="J3542">
        <v>1464307491</v>
      </c>
      <c r="K3542" t="b">
        <v>0</v>
      </c>
      <c r="L3542" s="10">
        <v>8</v>
      </c>
      <c r="M3542" t="b">
        <v>1</v>
      </c>
      <c r="N3542" t="s">
        <v>8269</v>
      </c>
      <c r="O3542" s="11">
        <f t="shared" si="224"/>
        <v>123</v>
      </c>
      <c r="P3542" s="12">
        <f t="shared" si="225"/>
        <v>46</v>
      </c>
      <c r="Q3542" s="14" t="s">
        <v>8314</v>
      </c>
      <c r="R3542" t="s">
        <v>8315</v>
      </c>
      <c r="S3542" s="17">
        <f t="shared" si="226"/>
        <v>42517.003368055557</v>
      </c>
      <c r="T3542" s="17">
        <f t="shared" si="227"/>
        <v>42547.003368055557</v>
      </c>
      <c r="U3542">
        <f>MONTH(Table1[[#This Row],[Launched]])</f>
        <v>5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 s="8">
        <v>1441042275</v>
      </c>
      <c r="J3543">
        <v>1438882275</v>
      </c>
      <c r="K3543" t="b">
        <v>0</v>
      </c>
      <c r="L3543" s="10">
        <v>32</v>
      </c>
      <c r="M3543" t="b">
        <v>1</v>
      </c>
      <c r="N3543" t="s">
        <v>8269</v>
      </c>
      <c r="O3543" s="11">
        <f t="shared" si="224"/>
        <v>105</v>
      </c>
      <c r="P3543" s="12">
        <f t="shared" si="225"/>
        <v>39</v>
      </c>
      <c r="Q3543" s="14" t="s">
        <v>8314</v>
      </c>
      <c r="R3543" t="s">
        <v>8315</v>
      </c>
      <c r="S3543" s="17">
        <f t="shared" si="226"/>
        <v>42222.730034722219</v>
      </c>
      <c r="T3543" s="17">
        <f t="shared" si="227"/>
        <v>42247.730034722219</v>
      </c>
      <c r="U3543">
        <f>MONTH(Table1[[#This Row],[Launched]])</f>
        <v>8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 s="8">
        <v>1410099822</v>
      </c>
      <c r="J3544">
        <v>1404915822</v>
      </c>
      <c r="K3544" t="b">
        <v>0</v>
      </c>
      <c r="L3544" s="10">
        <v>85</v>
      </c>
      <c r="M3544" t="b">
        <v>1</v>
      </c>
      <c r="N3544" t="s">
        <v>8269</v>
      </c>
      <c r="O3544" s="11">
        <f t="shared" si="224"/>
        <v>102</v>
      </c>
      <c r="P3544" s="12">
        <f t="shared" si="225"/>
        <v>66</v>
      </c>
      <c r="Q3544" s="14" t="s">
        <v>8314</v>
      </c>
      <c r="R3544" t="s">
        <v>8315</v>
      </c>
      <c r="S3544" s="17">
        <f t="shared" si="226"/>
        <v>41829.599791666667</v>
      </c>
      <c r="T3544" s="17">
        <f t="shared" si="227"/>
        <v>41889.599791666667</v>
      </c>
      <c r="U3544">
        <f>MONTH(Table1[[#This Row],[Launched]])</f>
        <v>7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 s="8">
        <v>1435255659</v>
      </c>
      <c r="J3545">
        <v>1432663659</v>
      </c>
      <c r="K3545" t="b">
        <v>0</v>
      </c>
      <c r="L3545" s="10">
        <v>29</v>
      </c>
      <c r="M3545" t="b">
        <v>1</v>
      </c>
      <c r="N3545" t="s">
        <v>8269</v>
      </c>
      <c r="O3545" s="11">
        <f t="shared" si="224"/>
        <v>105</v>
      </c>
      <c r="P3545" s="12">
        <f t="shared" si="225"/>
        <v>54</v>
      </c>
      <c r="Q3545" s="14" t="s">
        <v>8314</v>
      </c>
      <c r="R3545" t="s">
        <v>8315</v>
      </c>
      <c r="S3545" s="17">
        <f t="shared" si="226"/>
        <v>42150.755312499998</v>
      </c>
      <c r="T3545" s="17">
        <f t="shared" si="227"/>
        <v>42180.755312499998</v>
      </c>
      <c r="U3545">
        <f>MONTH(Table1[[#This Row],[Launched]])</f>
        <v>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 s="8">
        <v>1425758257</v>
      </c>
      <c r="J3546">
        <v>1423166257</v>
      </c>
      <c r="K3546" t="b">
        <v>0</v>
      </c>
      <c r="L3546" s="10">
        <v>24</v>
      </c>
      <c r="M3546" t="b">
        <v>1</v>
      </c>
      <c r="N3546" t="s">
        <v>8269</v>
      </c>
      <c r="O3546" s="11">
        <f t="shared" si="224"/>
        <v>100</v>
      </c>
      <c r="P3546" s="12">
        <f t="shared" si="225"/>
        <v>104</v>
      </c>
      <c r="Q3546" s="14" t="s">
        <v>8314</v>
      </c>
      <c r="R3546" t="s">
        <v>8315</v>
      </c>
      <c r="S3546" s="17">
        <f t="shared" si="226"/>
        <v>42040.831678240742</v>
      </c>
      <c r="T3546" s="17">
        <f t="shared" si="227"/>
        <v>42070.831678240742</v>
      </c>
      <c r="U3546">
        <f>MONTH(Table1[[#This Row],[Launched]])</f>
        <v>2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8218</v>
      </c>
      <c r="G3547" t="s">
        <v>8223</v>
      </c>
      <c r="H3547" t="s">
        <v>8245</v>
      </c>
      <c r="I3547" s="8">
        <v>1428780159</v>
      </c>
      <c r="J3547">
        <v>1426188159</v>
      </c>
      <c r="K3547" t="b">
        <v>0</v>
      </c>
      <c r="L3547" s="10">
        <v>8</v>
      </c>
      <c r="M3547" t="b">
        <v>1</v>
      </c>
      <c r="N3547" t="s">
        <v>8269</v>
      </c>
      <c r="O3547" s="11">
        <f t="shared" si="224"/>
        <v>100</v>
      </c>
      <c r="P3547" s="12">
        <f t="shared" si="225"/>
        <v>31</v>
      </c>
      <c r="Q3547" s="14" t="s">
        <v>8314</v>
      </c>
      <c r="R3547" t="s">
        <v>8315</v>
      </c>
      <c r="S3547" s="17">
        <f t="shared" si="226"/>
        <v>42075.807395833333</v>
      </c>
      <c r="T3547" s="17">
        <f t="shared" si="227"/>
        <v>42105.807395833333</v>
      </c>
      <c r="U3547">
        <f>MONTH(Table1[[#This Row],[Launched]])</f>
        <v>3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 s="8">
        <v>1427860740</v>
      </c>
      <c r="J3548">
        <v>1426002684</v>
      </c>
      <c r="K3548" t="b">
        <v>0</v>
      </c>
      <c r="L3548" s="10">
        <v>19</v>
      </c>
      <c r="M3548" t="b">
        <v>1</v>
      </c>
      <c r="N3548" t="s">
        <v>8269</v>
      </c>
      <c r="O3548" s="11">
        <f t="shared" si="224"/>
        <v>102</v>
      </c>
      <c r="P3548" s="12">
        <f t="shared" si="225"/>
        <v>59</v>
      </c>
      <c r="Q3548" s="14" t="s">
        <v>8314</v>
      </c>
      <c r="R3548" t="s">
        <v>8315</v>
      </c>
      <c r="S3548" s="17">
        <f t="shared" si="226"/>
        <v>42073.660694444443</v>
      </c>
      <c r="T3548" s="17">
        <f t="shared" si="227"/>
        <v>42095.165972222225</v>
      </c>
      <c r="U3548">
        <f>MONTH(Table1[[#This Row],[Launched]])</f>
        <v>3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 s="8">
        <v>1463198340</v>
      </c>
      <c r="J3549">
        <v>1461117201</v>
      </c>
      <c r="K3549" t="b">
        <v>0</v>
      </c>
      <c r="L3549" s="10">
        <v>336</v>
      </c>
      <c r="M3549" t="b">
        <v>1</v>
      </c>
      <c r="N3549" t="s">
        <v>8269</v>
      </c>
      <c r="O3549" s="11">
        <f t="shared" si="224"/>
        <v>114</v>
      </c>
      <c r="P3549" s="12">
        <f t="shared" si="225"/>
        <v>119</v>
      </c>
      <c r="Q3549" s="14" t="s">
        <v>8314</v>
      </c>
      <c r="R3549" t="s">
        <v>8315</v>
      </c>
      <c r="S3549" s="17">
        <f t="shared" si="226"/>
        <v>42480.078715277778</v>
      </c>
      <c r="T3549" s="17">
        <f t="shared" si="227"/>
        <v>42504.165972222225</v>
      </c>
      <c r="U3549">
        <f>MONTH(Table1[[#This Row],[Launched]])</f>
        <v>4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 s="8">
        <v>1457139600</v>
      </c>
      <c r="J3550">
        <v>1455230214</v>
      </c>
      <c r="K3550" t="b">
        <v>0</v>
      </c>
      <c r="L3550" s="10">
        <v>13</v>
      </c>
      <c r="M3550" t="b">
        <v>1</v>
      </c>
      <c r="N3550" t="s">
        <v>8269</v>
      </c>
      <c r="O3550" s="11">
        <f t="shared" si="224"/>
        <v>102</v>
      </c>
      <c r="P3550" s="12">
        <f t="shared" si="225"/>
        <v>165</v>
      </c>
      <c r="Q3550" s="14" t="s">
        <v>8314</v>
      </c>
      <c r="R3550" t="s">
        <v>8315</v>
      </c>
      <c r="S3550" s="17">
        <f t="shared" si="226"/>
        <v>42411.942291666666</v>
      </c>
      <c r="T3550" s="17">
        <f t="shared" si="227"/>
        <v>42434.041666666672</v>
      </c>
      <c r="U3550">
        <f>MONTH(Table1[[#This Row],[Launched]])</f>
        <v>2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 s="8">
        <v>1441358873</v>
      </c>
      <c r="J3551">
        <v>1438939673</v>
      </c>
      <c r="K3551" t="b">
        <v>0</v>
      </c>
      <c r="L3551" s="10">
        <v>42</v>
      </c>
      <c r="M3551" t="b">
        <v>1</v>
      </c>
      <c r="N3551" t="s">
        <v>8269</v>
      </c>
      <c r="O3551" s="11">
        <f t="shared" si="224"/>
        <v>102</v>
      </c>
      <c r="P3551" s="12">
        <f t="shared" si="225"/>
        <v>24</v>
      </c>
      <c r="Q3551" s="14" t="s">
        <v>8314</v>
      </c>
      <c r="R3551" t="s">
        <v>8315</v>
      </c>
      <c r="S3551" s="17">
        <f t="shared" si="226"/>
        <v>42223.394363425927</v>
      </c>
      <c r="T3551" s="17">
        <f t="shared" si="227"/>
        <v>42251.394363425927</v>
      </c>
      <c r="U3551">
        <f>MONTH(Table1[[#This Row],[Launched]])</f>
        <v>8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 s="8">
        <v>1462224398</v>
      </c>
      <c r="J3552">
        <v>1459632398</v>
      </c>
      <c r="K3552" t="b">
        <v>0</v>
      </c>
      <c r="L3552" s="10">
        <v>64</v>
      </c>
      <c r="M3552" t="b">
        <v>1</v>
      </c>
      <c r="N3552" t="s">
        <v>8269</v>
      </c>
      <c r="O3552" s="11">
        <f t="shared" si="224"/>
        <v>105</v>
      </c>
      <c r="P3552" s="12">
        <f t="shared" si="225"/>
        <v>41</v>
      </c>
      <c r="Q3552" s="14" t="s">
        <v>8314</v>
      </c>
      <c r="R3552" t="s">
        <v>8315</v>
      </c>
      <c r="S3552" s="17">
        <f t="shared" si="226"/>
        <v>42462.893495370372</v>
      </c>
      <c r="T3552" s="17">
        <f t="shared" si="227"/>
        <v>42492.893495370372</v>
      </c>
      <c r="U3552">
        <f>MONTH(Table1[[#This Row],[Launched]])</f>
        <v>4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 s="8">
        <v>1400796420</v>
      </c>
      <c r="J3553">
        <v>1398342170</v>
      </c>
      <c r="K3553" t="b">
        <v>0</v>
      </c>
      <c r="L3553" s="10">
        <v>25</v>
      </c>
      <c r="M3553" t="b">
        <v>1</v>
      </c>
      <c r="N3553" t="s">
        <v>8269</v>
      </c>
      <c r="O3553" s="11">
        <f t="shared" si="224"/>
        <v>102</v>
      </c>
      <c r="P3553" s="12">
        <f t="shared" si="225"/>
        <v>61</v>
      </c>
      <c r="Q3553" s="14" t="s">
        <v>8314</v>
      </c>
      <c r="R3553" t="s">
        <v>8315</v>
      </c>
      <c r="S3553" s="17">
        <f t="shared" si="226"/>
        <v>41753.515856481477</v>
      </c>
      <c r="T3553" s="17">
        <f t="shared" si="227"/>
        <v>41781.921527777777</v>
      </c>
      <c r="U3553">
        <f>MONTH(Table1[[#This Row],[Launched]])</f>
        <v>4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8218</v>
      </c>
      <c r="G3554" t="s">
        <v>8224</v>
      </c>
      <c r="H3554" t="s">
        <v>8246</v>
      </c>
      <c r="I3554" s="8">
        <v>1403964324</v>
      </c>
      <c r="J3554">
        <v>1401372324</v>
      </c>
      <c r="K3554" t="b">
        <v>0</v>
      </c>
      <c r="L3554" s="10">
        <v>20</v>
      </c>
      <c r="M3554" t="b">
        <v>1</v>
      </c>
      <c r="N3554" t="s">
        <v>8269</v>
      </c>
      <c r="O3554" s="11">
        <f t="shared" si="224"/>
        <v>100</v>
      </c>
      <c r="P3554" s="12">
        <f t="shared" si="225"/>
        <v>39</v>
      </c>
      <c r="Q3554" s="14" t="s">
        <v>8314</v>
      </c>
      <c r="R3554" t="s">
        <v>8315</v>
      </c>
      <c r="S3554" s="17">
        <f t="shared" si="226"/>
        <v>41788.587083333332</v>
      </c>
      <c r="T3554" s="17">
        <f t="shared" si="227"/>
        <v>41818.587083333332</v>
      </c>
      <c r="U3554">
        <f>MONTH(Table1[[#This Row],[Launched]])</f>
        <v>5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 s="8">
        <v>1439337600</v>
      </c>
      <c r="J3555">
        <v>1436575280</v>
      </c>
      <c r="K3555" t="b">
        <v>0</v>
      </c>
      <c r="L3555" s="10">
        <v>104</v>
      </c>
      <c r="M3555" t="b">
        <v>1</v>
      </c>
      <c r="N3555" t="s">
        <v>8269</v>
      </c>
      <c r="O3555" s="11">
        <f t="shared" si="224"/>
        <v>106</v>
      </c>
      <c r="P3555" s="12">
        <f t="shared" si="225"/>
        <v>56</v>
      </c>
      <c r="Q3555" s="14" t="s">
        <v>8314</v>
      </c>
      <c r="R3555" t="s">
        <v>8315</v>
      </c>
      <c r="S3555" s="17">
        <f t="shared" si="226"/>
        <v>42196.028703703705</v>
      </c>
      <c r="T3555" s="17">
        <f t="shared" si="227"/>
        <v>42228</v>
      </c>
      <c r="U3555">
        <f>MONTH(Table1[[#This Row],[Launched]])</f>
        <v>7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 s="8">
        <v>1423674000</v>
      </c>
      <c r="J3556">
        <v>1421025159</v>
      </c>
      <c r="K3556" t="b">
        <v>0</v>
      </c>
      <c r="L3556" s="10">
        <v>53</v>
      </c>
      <c r="M3556" t="b">
        <v>1</v>
      </c>
      <c r="N3556" t="s">
        <v>8269</v>
      </c>
      <c r="O3556" s="11">
        <f t="shared" si="224"/>
        <v>113</v>
      </c>
      <c r="P3556" s="12">
        <f t="shared" si="225"/>
        <v>107</v>
      </c>
      <c r="Q3556" s="14" t="s">
        <v>8314</v>
      </c>
      <c r="R3556" t="s">
        <v>8315</v>
      </c>
      <c r="S3556" s="17">
        <f t="shared" si="226"/>
        <v>42016.050451388888</v>
      </c>
      <c r="T3556" s="17">
        <f t="shared" si="227"/>
        <v>42046.708333333328</v>
      </c>
      <c r="U3556">
        <f>MONTH(Table1[[#This Row],[Launched]])</f>
        <v>1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 s="8">
        <v>1479382594</v>
      </c>
      <c r="J3557">
        <v>1476786994</v>
      </c>
      <c r="K3557" t="b">
        <v>0</v>
      </c>
      <c r="L3557" s="10">
        <v>14</v>
      </c>
      <c r="M3557" t="b">
        <v>1</v>
      </c>
      <c r="N3557" t="s">
        <v>8269</v>
      </c>
      <c r="O3557" s="11">
        <f t="shared" si="224"/>
        <v>100</v>
      </c>
      <c r="P3557" s="12">
        <f t="shared" si="225"/>
        <v>171</v>
      </c>
      <c r="Q3557" s="14" t="s">
        <v>8314</v>
      </c>
      <c r="R3557" t="s">
        <v>8315</v>
      </c>
      <c r="S3557" s="17">
        <f t="shared" si="226"/>
        <v>42661.442060185189</v>
      </c>
      <c r="T3557" s="17">
        <f t="shared" si="227"/>
        <v>42691.483726851846</v>
      </c>
      <c r="U3557">
        <f>MONTH(Table1[[#This Row],[Launched]])</f>
        <v>10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 s="8">
        <v>1408289724</v>
      </c>
      <c r="J3558">
        <v>1403105724</v>
      </c>
      <c r="K3558" t="b">
        <v>0</v>
      </c>
      <c r="L3558" s="10">
        <v>20</v>
      </c>
      <c r="M3558" t="b">
        <v>1</v>
      </c>
      <c r="N3558" t="s">
        <v>8269</v>
      </c>
      <c r="O3558" s="11">
        <f t="shared" si="224"/>
        <v>100</v>
      </c>
      <c r="P3558" s="12">
        <f t="shared" si="225"/>
        <v>111</v>
      </c>
      <c r="Q3558" s="14" t="s">
        <v>8314</v>
      </c>
      <c r="R3558" t="s">
        <v>8315</v>
      </c>
      <c r="S3558" s="17">
        <f t="shared" si="226"/>
        <v>41808.649583333332</v>
      </c>
      <c r="T3558" s="17">
        <f t="shared" si="227"/>
        <v>41868.649583333332</v>
      </c>
      <c r="U3558">
        <f>MONTH(Table1[[#This Row],[Launched]])</f>
        <v>6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 s="8">
        <v>1399271911</v>
      </c>
      <c r="J3559">
        <v>1396334311</v>
      </c>
      <c r="K3559" t="b">
        <v>0</v>
      </c>
      <c r="L3559" s="10">
        <v>558</v>
      </c>
      <c r="M3559" t="b">
        <v>1</v>
      </c>
      <c r="N3559" t="s">
        <v>8269</v>
      </c>
      <c r="O3559" s="11">
        <f t="shared" si="224"/>
        <v>100</v>
      </c>
      <c r="P3559" s="12">
        <f t="shared" si="225"/>
        <v>179</v>
      </c>
      <c r="Q3559" s="14" t="s">
        <v>8314</v>
      </c>
      <c r="R3559" t="s">
        <v>8315</v>
      </c>
      <c r="S3559" s="17">
        <f t="shared" si="226"/>
        <v>41730.276747685188</v>
      </c>
      <c r="T3559" s="17">
        <f t="shared" si="227"/>
        <v>41764.276747685188</v>
      </c>
      <c r="U3559">
        <f>MONTH(Table1[[#This Row],[Launched]])</f>
        <v>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8218</v>
      </c>
      <c r="G3560" t="s">
        <v>8224</v>
      </c>
      <c r="H3560" t="s">
        <v>8246</v>
      </c>
      <c r="I3560" s="8">
        <v>1435352400</v>
      </c>
      <c r="J3560">
        <v>1431718575</v>
      </c>
      <c r="K3560" t="b">
        <v>0</v>
      </c>
      <c r="L3560" s="10">
        <v>22</v>
      </c>
      <c r="M3560" t="b">
        <v>1</v>
      </c>
      <c r="N3560" t="s">
        <v>8269</v>
      </c>
      <c r="O3560" s="11">
        <f t="shared" si="224"/>
        <v>144</v>
      </c>
      <c r="P3560" s="12">
        <f t="shared" si="225"/>
        <v>23</v>
      </c>
      <c r="Q3560" s="14" t="s">
        <v>8314</v>
      </c>
      <c r="R3560" t="s">
        <v>8315</v>
      </c>
      <c r="S3560" s="17">
        <f t="shared" si="226"/>
        <v>42139.816840277781</v>
      </c>
      <c r="T3560" s="17">
        <f t="shared" si="227"/>
        <v>42181.875</v>
      </c>
      <c r="U3560">
        <f>MONTH(Table1[[#This Row],[Launched]])</f>
        <v>5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 s="8">
        <v>1438333080</v>
      </c>
      <c r="J3561">
        <v>1436408308</v>
      </c>
      <c r="K3561" t="b">
        <v>0</v>
      </c>
      <c r="L3561" s="10">
        <v>24</v>
      </c>
      <c r="M3561" t="b">
        <v>1</v>
      </c>
      <c r="N3561" t="s">
        <v>8269</v>
      </c>
      <c r="O3561" s="11">
        <f t="shared" si="224"/>
        <v>104</v>
      </c>
      <c r="P3561" s="12">
        <f t="shared" si="225"/>
        <v>43</v>
      </c>
      <c r="Q3561" s="14" t="s">
        <v>8314</v>
      </c>
      <c r="R3561" t="s">
        <v>8315</v>
      </c>
      <c r="S3561" s="17">
        <f t="shared" si="226"/>
        <v>42194.096157407403</v>
      </c>
      <c r="T3561" s="17">
        <f t="shared" si="227"/>
        <v>42216.373611111107</v>
      </c>
      <c r="U3561">
        <f>MONTH(Table1[[#This Row],[Launched]])</f>
        <v>7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 s="8">
        <v>1432694700</v>
      </c>
      <c r="J3562">
        <v>1429651266</v>
      </c>
      <c r="K3562" t="b">
        <v>0</v>
      </c>
      <c r="L3562" s="10">
        <v>74</v>
      </c>
      <c r="M3562" t="b">
        <v>1</v>
      </c>
      <c r="N3562" t="s">
        <v>8269</v>
      </c>
      <c r="O3562" s="11">
        <f t="shared" si="224"/>
        <v>108</v>
      </c>
      <c r="P3562" s="12">
        <f t="shared" si="225"/>
        <v>47</v>
      </c>
      <c r="Q3562" s="14" t="s">
        <v>8314</v>
      </c>
      <c r="R3562" t="s">
        <v>8315</v>
      </c>
      <c r="S3562" s="17">
        <f t="shared" si="226"/>
        <v>42115.889652777783</v>
      </c>
      <c r="T3562" s="17">
        <f t="shared" si="227"/>
        <v>42151.114583333328</v>
      </c>
      <c r="U3562">
        <f>MONTH(Table1[[#This Row],[Launched]])</f>
        <v>4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 s="8">
        <v>1438799760</v>
      </c>
      <c r="J3563">
        <v>1437236378</v>
      </c>
      <c r="K3563" t="b">
        <v>0</v>
      </c>
      <c r="L3563" s="10">
        <v>54</v>
      </c>
      <c r="M3563" t="b">
        <v>1</v>
      </c>
      <c r="N3563" t="s">
        <v>8269</v>
      </c>
      <c r="O3563" s="11">
        <f t="shared" si="224"/>
        <v>102</v>
      </c>
      <c r="P3563" s="12">
        <f t="shared" si="225"/>
        <v>47</v>
      </c>
      <c r="Q3563" s="14" t="s">
        <v>8314</v>
      </c>
      <c r="R3563" t="s">
        <v>8315</v>
      </c>
      <c r="S3563" s="17">
        <f t="shared" si="226"/>
        <v>42203.680300925931</v>
      </c>
      <c r="T3563" s="17">
        <f t="shared" si="227"/>
        <v>42221.774999999994</v>
      </c>
      <c r="U3563">
        <f>MONTH(Table1[[#This Row],[Launched]])</f>
        <v>7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8218</v>
      </c>
      <c r="G3564" t="s">
        <v>8224</v>
      </c>
      <c r="H3564" t="s">
        <v>8246</v>
      </c>
      <c r="I3564" s="8">
        <v>1457906400</v>
      </c>
      <c r="J3564">
        <v>1457115427</v>
      </c>
      <c r="K3564" t="b">
        <v>0</v>
      </c>
      <c r="L3564" s="10">
        <v>31</v>
      </c>
      <c r="M3564" t="b">
        <v>1</v>
      </c>
      <c r="N3564" t="s">
        <v>8269</v>
      </c>
      <c r="O3564" s="11">
        <f t="shared" si="224"/>
        <v>149</v>
      </c>
      <c r="P3564" s="12">
        <f t="shared" si="225"/>
        <v>15</v>
      </c>
      <c r="Q3564" s="14" t="s">
        <v>8314</v>
      </c>
      <c r="R3564" t="s">
        <v>8315</v>
      </c>
      <c r="S3564" s="17">
        <f t="shared" si="226"/>
        <v>42433.761886574073</v>
      </c>
      <c r="T3564" s="17">
        <f t="shared" si="227"/>
        <v>42442.916666666672</v>
      </c>
      <c r="U3564">
        <f>MONTH(Table1[[#This Row],[Launched]])</f>
        <v>3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 s="8">
        <v>1470078000</v>
      </c>
      <c r="J3565">
        <v>1467648456</v>
      </c>
      <c r="K3565" t="b">
        <v>0</v>
      </c>
      <c r="L3565" s="10">
        <v>25</v>
      </c>
      <c r="M3565" t="b">
        <v>1</v>
      </c>
      <c r="N3565" t="s">
        <v>8269</v>
      </c>
      <c r="O3565" s="11">
        <f t="shared" si="224"/>
        <v>105</v>
      </c>
      <c r="P3565" s="12">
        <f t="shared" si="225"/>
        <v>21</v>
      </c>
      <c r="Q3565" s="14" t="s">
        <v>8314</v>
      </c>
      <c r="R3565" t="s">
        <v>8315</v>
      </c>
      <c r="S3565" s="17">
        <f t="shared" si="226"/>
        <v>42555.671944444446</v>
      </c>
      <c r="T3565" s="17">
        <f t="shared" si="227"/>
        <v>42583.791666666672</v>
      </c>
      <c r="U3565">
        <f>MONTH(Table1[[#This Row],[Launched]])</f>
        <v>7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 s="8">
        <v>1444060800</v>
      </c>
      <c r="J3566">
        <v>1440082649</v>
      </c>
      <c r="K3566" t="b">
        <v>0</v>
      </c>
      <c r="L3566" s="10">
        <v>17</v>
      </c>
      <c r="M3566" t="b">
        <v>1</v>
      </c>
      <c r="N3566" t="s">
        <v>8269</v>
      </c>
      <c r="O3566" s="11">
        <f t="shared" si="224"/>
        <v>101</v>
      </c>
      <c r="P3566" s="12">
        <f t="shared" si="225"/>
        <v>59</v>
      </c>
      <c r="Q3566" s="14" t="s">
        <v>8314</v>
      </c>
      <c r="R3566" t="s">
        <v>8315</v>
      </c>
      <c r="S3566" s="17">
        <f t="shared" si="226"/>
        <v>42236.623252314821</v>
      </c>
      <c r="T3566" s="17">
        <f t="shared" si="227"/>
        <v>42282.666666666672</v>
      </c>
      <c r="U3566">
        <f>MONTH(Table1[[#This Row],[Launched]])</f>
        <v>8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8218</v>
      </c>
      <c r="G3567" t="s">
        <v>8223</v>
      </c>
      <c r="H3567" t="s">
        <v>8245</v>
      </c>
      <c r="I3567" s="8">
        <v>1420048208</v>
      </c>
      <c r="J3567">
        <v>1417456208</v>
      </c>
      <c r="K3567" t="b">
        <v>0</v>
      </c>
      <c r="L3567" s="10">
        <v>12</v>
      </c>
      <c r="M3567" t="b">
        <v>1</v>
      </c>
      <c r="N3567" t="s">
        <v>8269</v>
      </c>
      <c r="O3567" s="11">
        <f t="shared" si="224"/>
        <v>131</v>
      </c>
      <c r="P3567" s="12">
        <f t="shared" si="225"/>
        <v>98</v>
      </c>
      <c r="Q3567" s="14" t="s">
        <v>8314</v>
      </c>
      <c r="R3567" t="s">
        <v>8315</v>
      </c>
      <c r="S3567" s="17">
        <f t="shared" si="226"/>
        <v>41974.743148148147</v>
      </c>
      <c r="T3567" s="17">
        <f t="shared" si="227"/>
        <v>42004.743148148147</v>
      </c>
      <c r="U3567">
        <f>MONTH(Table1[[#This Row],[Launched]])</f>
        <v>12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 s="8">
        <v>1422015083</v>
      </c>
      <c r="J3568">
        <v>1419423083</v>
      </c>
      <c r="K3568" t="b">
        <v>0</v>
      </c>
      <c r="L3568" s="10">
        <v>38</v>
      </c>
      <c r="M3568" t="b">
        <v>1</v>
      </c>
      <c r="N3568" t="s">
        <v>8269</v>
      </c>
      <c r="O3568" s="11">
        <f t="shared" si="224"/>
        <v>105</v>
      </c>
      <c r="P3568" s="12">
        <f t="shared" si="225"/>
        <v>55</v>
      </c>
      <c r="Q3568" s="14" t="s">
        <v>8314</v>
      </c>
      <c r="R3568" t="s">
        <v>8315</v>
      </c>
      <c r="S3568" s="17">
        <f t="shared" si="226"/>
        <v>41997.507905092592</v>
      </c>
      <c r="T3568" s="17">
        <f t="shared" si="227"/>
        <v>42027.507905092592</v>
      </c>
      <c r="U3568">
        <f>MONTH(Table1[[#This Row],[Launched]])</f>
        <v>12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 s="8">
        <v>1433964444</v>
      </c>
      <c r="J3569">
        <v>1431372444</v>
      </c>
      <c r="K3569" t="b">
        <v>0</v>
      </c>
      <c r="L3569" s="10">
        <v>41</v>
      </c>
      <c r="M3569" t="b">
        <v>1</v>
      </c>
      <c r="N3569" t="s">
        <v>8269</v>
      </c>
      <c r="O3569" s="11">
        <f t="shared" si="224"/>
        <v>109</v>
      </c>
      <c r="P3569" s="12">
        <f t="shared" si="225"/>
        <v>27</v>
      </c>
      <c r="Q3569" s="14" t="s">
        <v>8314</v>
      </c>
      <c r="R3569" t="s">
        <v>8315</v>
      </c>
      <c r="S3569" s="17">
        <f t="shared" si="226"/>
        <v>42135.810694444444</v>
      </c>
      <c r="T3569" s="17">
        <f t="shared" si="227"/>
        <v>42165.810694444444</v>
      </c>
      <c r="U3569">
        <f>MONTH(Table1[[#This Row],[Launched]])</f>
        <v>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 s="8">
        <v>1410975994</v>
      </c>
      <c r="J3570">
        <v>1408383994</v>
      </c>
      <c r="K3570" t="b">
        <v>0</v>
      </c>
      <c r="L3570" s="10">
        <v>19</v>
      </c>
      <c r="M3570" t="b">
        <v>1</v>
      </c>
      <c r="N3570" t="s">
        <v>8269</v>
      </c>
      <c r="O3570" s="11">
        <f t="shared" si="224"/>
        <v>111</v>
      </c>
      <c r="P3570" s="12">
        <f t="shared" si="225"/>
        <v>58</v>
      </c>
      <c r="Q3570" s="14" t="s">
        <v>8314</v>
      </c>
      <c r="R3570" t="s">
        <v>8315</v>
      </c>
      <c r="S3570" s="17">
        <f t="shared" si="226"/>
        <v>41869.740671296298</v>
      </c>
      <c r="T3570" s="17">
        <f t="shared" si="227"/>
        <v>41899.740671296298</v>
      </c>
      <c r="U3570">
        <f>MONTH(Table1[[#This Row],[Launched]])</f>
        <v>8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 s="8">
        <v>1420734696</v>
      </c>
      <c r="J3571">
        <v>1418142696</v>
      </c>
      <c r="K3571" t="b">
        <v>0</v>
      </c>
      <c r="L3571" s="10">
        <v>41</v>
      </c>
      <c r="M3571" t="b">
        <v>1</v>
      </c>
      <c r="N3571" t="s">
        <v>8269</v>
      </c>
      <c r="O3571" s="11">
        <f t="shared" si="224"/>
        <v>100</v>
      </c>
      <c r="P3571" s="12">
        <f t="shared" si="225"/>
        <v>123</v>
      </c>
      <c r="Q3571" s="14" t="s">
        <v>8314</v>
      </c>
      <c r="R3571" t="s">
        <v>8315</v>
      </c>
      <c r="S3571" s="17">
        <f t="shared" si="226"/>
        <v>41982.688611111109</v>
      </c>
      <c r="T3571" s="17">
        <f t="shared" si="227"/>
        <v>42012.688611111109</v>
      </c>
      <c r="U3571">
        <f>MONTH(Table1[[#This Row],[Launched]])</f>
        <v>12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 s="8">
        <v>1420009200</v>
      </c>
      <c r="J3572">
        <v>1417593483</v>
      </c>
      <c r="K3572" t="b">
        <v>0</v>
      </c>
      <c r="L3572" s="10">
        <v>26</v>
      </c>
      <c r="M3572" t="b">
        <v>1</v>
      </c>
      <c r="N3572" t="s">
        <v>8269</v>
      </c>
      <c r="O3572" s="11">
        <f t="shared" si="224"/>
        <v>114</v>
      </c>
      <c r="P3572" s="12">
        <f t="shared" si="225"/>
        <v>88</v>
      </c>
      <c r="Q3572" s="14" t="s">
        <v>8314</v>
      </c>
      <c r="R3572" t="s">
        <v>8315</v>
      </c>
      <c r="S3572" s="17">
        <f t="shared" si="226"/>
        <v>41976.331979166673</v>
      </c>
      <c r="T3572" s="17">
        <f t="shared" si="227"/>
        <v>42004.291666666672</v>
      </c>
      <c r="U3572">
        <f>MONTH(Table1[[#This Row],[Launched]])</f>
        <v>12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 s="8">
        <v>1414701413</v>
      </c>
      <c r="J3573">
        <v>1412109413</v>
      </c>
      <c r="K3573" t="b">
        <v>0</v>
      </c>
      <c r="L3573" s="10">
        <v>25</v>
      </c>
      <c r="M3573" t="b">
        <v>1</v>
      </c>
      <c r="N3573" t="s">
        <v>8269</v>
      </c>
      <c r="O3573" s="11">
        <f t="shared" si="224"/>
        <v>122</v>
      </c>
      <c r="P3573" s="12">
        <f t="shared" si="225"/>
        <v>73</v>
      </c>
      <c r="Q3573" s="14" t="s">
        <v>8314</v>
      </c>
      <c r="R3573" t="s">
        <v>8315</v>
      </c>
      <c r="S3573" s="17">
        <f t="shared" si="226"/>
        <v>41912.858946759261</v>
      </c>
      <c r="T3573" s="17">
        <f t="shared" si="227"/>
        <v>41942.858946759261</v>
      </c>
      <c r="U3573">
        <f>MONTH(Table1[[#This Row],[Launched]])</f>
        <v>9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8218</v>
      </c>
      <c r="G3574" t="s">
        <v>8224</v>
      </c>
      <c r="H3574" t="s">
        <v>8246</v>
      </c>
      <c r="I3574" s="8">
        <v>1434894082</v>
      </c>
      <c r="J3574">
        <v>1432302082</v>
      </c>
      <c r="K3574" t="b">
        <v>0</v>
      </c>
      <c r="L3574" s="10">
        <v>9</v>
      </c>
      <c r="M3574" t="b">
        <v>1</v>
      </c>
      <c r="N3574" t="s">
        <v>8269</v>
      </c>
      <c r="O3574" s="11">
        <f t="shared" si="224"/>
        <v>100</v>
      </c>
      <c r="P3574" s="12">
        <f t="shared" si="225"/>
        <v>56</v>
      </c>
      <c r="Q3574" s="14" t="s">
        <v>8314</v>
      </c>
      <c r="R3574" t="s">
        <v>8315</v>
      </c>
      <c r="S3574" s="17">
        <f t="shared" si="226"/>
        <v>42146.570393518516</v>
      </c>
      <c r="T3574" s="17">
        <f t="shared" si="227"/>
        <v>42176.570393518516</v>
      </c>
      <c r="U3574">
        <f>MONTH(Table1[[#This Row],[Launched]])</f>
        <v>5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 s="8">
        <v>1415440846</v>
      </c>
      <c r="J3575">
        <v>1412845246</v>
      </c>
      <c r="K3575" t="b">
        <v>0</v>
      </c>
      <c r="L3575" s="10">
        <v>78</v>
      </c>
      <c r="M3575" t="b">
        <v>1</v>
      </c>
      <c r="N3575" t="s">
        <v>8269</v>
      </c>
      <c r="O3575" s="11">
        <f t="shared" si="224"/>
        <v>103</v>
      </c>
      <c r="P3575" s="12">
        <f t="shared" si="225"/>
        <v>40</v>
      </c>
      <c r="Q3575" s="14" t="s">
        <v>8314</v>
      </c>
      <c r="R3575" t="s">
        <v>8315</v>
      </c>
      <c r="S3575" s="17">
        <f t="shared" si="226"/>
        <v>41921.375532407408</v>
      </c>
      <c r="T3575" s="17">
        <f t="shared" si="227"/>
        <v>41951.417199074072</v>
      </c>
      <c r="U3575">
        <f>MONTH(Table1[[#This Row],[Launched]])</f>
        <v>10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 s="8">
        <v>1415921848</v>
      </c>
      <c r="J3576">
        <v>1413326248</v>
      </c>
      <c r="K3576" t="b">
        <v>0</v>
      </c>
      <c r="L3576" s="10">
        <v>45</v>
      </c>
      <c r="M3576" t="b">
        <v>1</v>
      </c>
      <c r="N3576" t="s">
        <v>8269</v>
      </c>
      <c r="O3576" s="11">
        <f t="shared" si="224"/>
        <v>106</v>
      </c>
      <c r="P3576" s="12">
        <f t="shared" si="225"/>
        <v>137</v>
      </c>
      <c r="Q3576" s="14" t="s">
        <v>8314</v>
      </c>
      <c r="R3576" t="s">
        <v>8315</v>
      </c>
      <c r="S3576" s="17">
        <f t="shared" si="226"/>
        <v>41926.942685185182</v>
      </c>
      <c r="T3576" s="17">
        <f t="shared" si="227"/>
        <v>41956.984351851846</v>
      </c>
      <c r="U3576">
        <f>MONTH(Table1[[#This Row],[Launched]])</f>
        <v>10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 s="8">
        <v>1470887940</v>
      </c>
      <c r="J3577">
        <v>1468176527</v>
      </c>
      <c r="K3577" t="b">
        <v>0</v>
      </c>
      <c r="L3577" s="10">
        <v>102</v>
      </c>
      <c r="M3577" t="b">
        <v>1</v>
      </c>
      <c r="N3577" t="s">
        <v>8269</v>
      </c>
      <c r="O3577" s="11">
        <f t="shared" si="224"/>
        <v>101</v>
      </c>
      <c r="P3577" s="12">
        <f t="shared" si="225"/>
        <v>99</v>
      </c>
      <c r="Q3577" s="14" t="s">
        <v>8314</v>
      </c>
      <c r="R3577" t="s">
        <v>8315</v>
      </c>
      <c r="S3577" s="17">
        <f t="shared" si="226"/>
        <v>42561.783877314811</v>
      </c>
      <c r="T3577" s="17">
        <f t="shared" si="227"/>
        <v>42593.165972222225</v>
      </c>
      <c r="U3577">
        <f>MONTH(Table1[[#This Row],[Launched]])</f>
        <v>7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8218</v>
      </c>
      <c r="G3578" t="s">
        <v>8223</v>
      </c>
      <c r="H3578" t="s">
        <v>8245</v>
      </c>
      <c r="I3578" s="8">
        <v>1480947054</v>
      </c>
      <c r="J3578">
        <v>1475759454</v>
      </c>
      <c r="K3578" t="b">
        <v>0</v>
      </c>
      <c r="L3578" s="10">
        <v>5</v>
      </c>
      <c r="M3578" t="b">
        <v>1</v>
      </c>
      <c r="N3578" t="s">
        <v>8269</v>
      </c>
      <c r="O3578" s="11">
        <f t="shared" si="224"/>
        <v>100</v>
      </c>
      <c r="P3578" s="12">
        <f t="shared" si="225"/>
        <v>20</v>
      </c>
      <c r="Q3578" s="14" t="s">
        <v>8314</v>
      </c>
      <c r="R3578" t="s">
        <v>8315</v>
      </c>
      <c r="S3578" s="17">
        <f t="shared" si="226"/>
        <v>42649.54923611111</v>
      </c>
      <c r="T3578" s="17">
        <f t="shared" si="227"/>
        <v>42709.590902777782</v>
      </c>
      <c r="U3578">
        <f>MONTH(Table1[[#This Row],[Launched]])</f>
        <v>10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8218</v>
      </c>
      <c r="G3579" t="s">
        <v>8223</v>
      </c>
      <c r="H3579" t="s">
        <v>8245</v>
      </c>
      <c r="I3579" s="8">
        <v>1430029680</v>
      </c>
      <c r="J3579">
        <v>1427741583</v>
      </c>
      <c r="K3579" t="b">
        <v>0</v>
      </c>
      <c r="L3579" s="10">
        <v>27</v>
      </c>
      <c r="M3579" t="b">
        <v>1</v>
      </c>
      <c r="N3579" t="s">
        <v>8269</v>
      </c>
      <c r="O3579" s="11">
        <f t="shared" si="224"/>
        <v>130</v>
      </c>
      <c r="P3579" s="12">
        <f t="shared" si="225"/>
        <v>29</v>
      </c>
      <c r="Q3579" s="14" t="s">
        <v>8314</v>
      </c>
      <c r="R3579" t="s">
        <v>8315</v>
      </c>
      <c r="S3579" s="17">
        <f t="shared" si="226"/>
        <v>42093.786840277782</v>
      </c>
      <c r="T3579" s="17">
        <f t="shared" si="227"/>
        <v>42120.26944444445</v>
      </c>
      <c r="U3579">
        <f>MONTH(Table1[[#This Row],[Launched]])</f>
        <v>3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 s="8">
        <v>1462037777</v>
      </c>
      <c r="J3580">
        <v>1459445777</v>
      </c>
      <c r="K3580" t="b">
        <v>0</v>
      </c>
      <c r="L3580" s="10">
        <v>37</v>
      </c>
      <c r="M3580" t="b">
        <v>1</v>
      </c>
      <c r="N3580" t="s">
        <v>8269</v>
      </c>
      <c r="O3580" s="11">
        <f t="shared" si="224"/>
        <v>100</v>
      </c>
      <c r="P3580" s="12">
        <f t="shared" si="225"/>
        <v>41</v>
      </c>
      <c r="Q3580" s="14" t="s">
        <v>8314</v>
      </c>
      <c r="R3580" t="s">
        <v>8315</v>
      </c>
      <c r="S3580" s="17">
        <f t="shared" si="226"/>
        <v>42460.733530092592</v>
      </c>
      <c r="T3580" s="17">
        <f t="shared" si="227"/>
        <v>42490.733530092592</v>
      </c>
      <c r="U3580">
        <f>MONTH(Table1[[#This Row],[Launched]])</f>
        <v>3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8218</v>
      </c>
      <c r="G3581" t="s">
        <v>8224</v>
      </c>
      <c r="H3581" t="s">
        <v>8246</v>
      </c>
      <c r="I3581" s="8">
        <v>1459444656</v>
      </c>
      <c r="J3581">
        <v>1456856256</v>
      </c>
      <c r="K3581" t="b">
        <v>0</v>
      </c>
      <c r="L3581" s="10">
        <v>14</v>
      </c>
      <c r="M3581" t="b">
        <v>1</v>
      </c>
      <c r="N3581" t="s">
        <v>8269</v>
      </c>
      <c r="O3581" s="11">
        <f t="shared" si="224"/>
        <v>100</v>
      </c>
      <c r="P3581" s="12">
        <f t="shared" si="225"/>
        <v>36</v>
      </c>
      <c r="Q3581" s="14" t="s">
        <v>8314</v>
      </c>
      <c r="R3581" t="s">
        <v>8315</v>
      </c>
      <c r="S3581" s="17">
        <f t="shared" si="226"/>
        <v>42430.762222222227</v>
      </c>
      <c r="T3581" s="17">
        <f t="shared" si="227"/>
        <v>42460.720555555556</v>
      </c>
      <c r="U3581">
        <f>MONTH(Table1[[#This Row],[Launched]])</f>
        <v>3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8218</v>
      </c>
      <c r="G3582" t="s">
        <v>8223</v>
      </c>
      <c r="H3582" t="s">
        <v>8245</v>
      </c>
      <c r="I3582" s="8">
        <v>1425185940</v>
      </c>
      <c r="J3582">
        <v>1421900022</v>
      </c>
      <c r="K3582" t="b">
        <v>0</v>
      </c>
      <c r="L3582" s="10">
        <v>27</v>
      </c>
      <c r="M3582" t="b">
        <v>1</v>
      </c>
      <c r="N3582" t="s">
        <v>8269</v>
      </c>
      <c r="O3582" s="11">
        <f t="shared" si="224"/>
        <v>114</v>
      </c>
      <c r="P3582" s="12">
        <f t="shared" si="225"/>
        <v>38</v>
      </c>
      <c r="Q3582" s="14" t="s">
        <v>8314</v>
      </c>
      <c r="R3582" t="s">
        <v>8315</v>
      </c>
      <c r="S3582" s="17">
        <f t="shared" si="226"/>
        <v>42026.176180555558</v>
      </c>
      <c r="T3582" s="17">
        <f t="shared" si="227"/>
        <v>42064.207638888889</v>
      </c>
      <c r="U3582">
        <f>MONTH(Table1[[#This Row],[Launched]])</f>
        <v>1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 s="8">
        <v>1406719110</v>
      </c>
      <c r="J3583">
        <v>1405509510</v>
      </c>
      <c r="K3583" t="b">
        <v>0</v>
      </c>
      <c r="L3583" s="10">
        <v>45</v>
      </c>
      <c r="M3583" t="b">
        <v>1</v>
      </c>
      <c r="N3583" t="s">
        <v>8269</v>
      </c>
      <c r="O3583" s="11">
        <f t="shared" si="224"/>
        <v>100</v>
      </c>
      <c r="P3583" s="12">
        <f t="shared" si="225"/>
        <v>33</v>
      </c>
      <c r="Q3583" s="14" t="s">
        <v>8314</v>
      </c>
      <c r="R3583" t="s">
        <v>8315</v>
      </c>
      <c r="S3583" s="17">
        <f t="shared" si="226"/>
        <v>41836.471180555556</v>
      </c>
      <c r="T3583" s="17">
        <f t="shared" si="227"/>
        <v>41850.471180555556</v>
      </c>
      <c r="U3583">
        <f>MONTH(Table1[[#This Row],[Launched]])</f>
        <v>7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 s="8">
        <v>1459822682</v>
      </c>
      <c r="J3584">
        <v>1458613082</v>
      </c>
      <c r="K3584" t="b">
        <v>0</v>
      </c>
      <c r="L3584" s="10">
        <v>49</v>
      </c>
      <c r="M3584" t="b">
        <v>1</v>
      </c>
      <c r="N3584" t="s">
        <v>8269</v>
      </c>
      <c r="O3584" s="11">
        <f t="shared" si="224"/>
        <v>287</v>
      </c>
      <c r="P3584" s="12">
        <f t="shared" si="225"/>
        <v>59</v>
      </c>
      <c r="Q3584" s="14" t="s">
        <v>8314</v>
      </c>
      <c r="R3584" t="s">
        <v>8315</v>
      </c>
      <c r="S3584" s="17">
        <f t="shared" si="226"/>
        <v>42451.095856481479</v>
      </c>
      <c r="T3584" s="17">
        <f t="shared" si="227"/>
        <v>42465.095856481479</v>
      </c>
      <c r="U3584">
        <f>MONTH(Table1[[#This Row],[Launched]])</f>
        <v>3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 s="8">
        <v>1460970805</v>
      </c>
      <c r="J3585">
        <v>1455790405</v>
      </c>
      <c r="K3585" t="b">
        <v>0</v>
      </c>
      <c r="L3585" s="10">
        <v>24</v>
      </c>
      <c r="M3585" t="b">
        <v>1</v>
      </c>
      <c r="N3585" t="s">
        <v>8269</v>
      </c>
      <c r="O3585" s="11">
        <f t="shared" si="224"/>
        <v>109</v>
      </c>
      <c r="P3585" s="12">
        <f t="shared" si="225"/>
        <v>136</v>
      </c>
      <c r="Q3585" s="14" t="s">
        <v>8314</v>
      </c>
      <c r="R3585" t="s">
        <v>8315</v>
      </c>
      <c r="S3585" s="17">
        <f t="shared" si="226"/>
        <v>42418.425983796296</v>
      </c>
      <c r="T3585" s="17">
        <f t="shared" si="227"/>
        <v>42478.384317129632</v>
      </c>
      <c r="U3585">
        <f>MONTH(Table1[[#This Row],[Launched]])</f>
        <v>2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 s="8">
        <v>1436772944</v>
      </c>
      <c r="J3586">
        <v>1434180944</v>
      </c>
      <c r="K3586" t="b">
        <v>0</v>
      </c>
      <c r="L3586" s="10">
        <v>112</v>
      </c>
      <c r="M3586" t="b">
        <v>1</v>
      </c>
      <c r="N3586" t="s">
        <v>8269</v>
      </c>
      <c r="O3586" s="11">
        <f t="shared" ref="O3586:O3649" si="228">ROUND(E3586/D3586*100,0)</f>
        <v>116</v>
      </c>
      <c r="P3586" s="12">
        <f t="shared" si="225"/>
        <v>31</v>
      </c>
      <c r="Q3586" s="14" t="s">
        <v>8314</v>
      </c>
      <c r="R3586" t="s">
        <v>8315</v>
      </c>
      <c r="S3586" s="17">
        <f t="shared" si="226"/>
        <v>42168.316481481481</v>
      </c>
      <c r="T3586" s="17">
        <f t="shared" si="227"/>
        <v>42198.316481481481</v>
      </c>
      <c r="U3586">
        <f>MONTH(Table1[[#This Row],[Launched]])</f>
        <v>6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 s="8">
        <v>1419181890</v>
      </c>
      <c r="J3587">
        <v>1416589890</v>
      </c>
      <c r="K3587" t="b">
        <v>0</v>
      </c>
      <c r="L3587" s="10">
        <v>23</v>
      </c>
      <c r="M3587" t="b">
        <v>1</v>
      </c>
      <c r="N3587" t="s">
        <v>8269</v>
      </c>
      <c r="O3587" s="11">
        <f t="shared" si="228"/>
        <v>119</v>
      </c>
      <c r="P3587" s="12">
        <f t="shared" ref="P3587:P3650" si="229">IFERROR(ROUND(E3587/L3587,),"No Backers")</f>
        <v>176</v>
      </c>
      <c r="Q3587" s="14" t="s">
        <v>8314</v>
      </c>
      <c r="R3587" t="s">
        <v>8315</v>
      </c>
      <c r="S3587" s="17">
        <f t="shared" ref="S3587:S3650" si="230">(((J3587/60)/60)/24)+DATE(1970,1,1)</f>
        <v>41964.716319444444</v>
      </c>
      <c r="T3587" s="17">
        <f t="shared" ref="T3587:T3650" si="231">(((I3587/60)/60)/24)+DATE(1970,1,1)</f>
        <v>41994.716319444444</v>
      </c>
      <c r="U3587">
        <f>MONTH(Table1[[#This Row],[Launched]])</f>
        <v>11</v>
      </c>
    </row>
    <row r="3588" spans="1:21" ht="15.6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 s="8">
        <v>1474649070</v>
      </c>
      <c r="J3588">
        <v>1469465070</v>
      </c>
      <c r="K3588" t="b">
        <v>0</v>
      </c>
      <c r="L3588" s="10">
        <v>54</v>
      </c>
      <c r="M3588" t="b">
        <v>1</v>
      </c>
      <c r="N3588" t="s">
        <v>8269</v>
      </c>
      <c r="O3588" s="11">
        <f t="shared" si="228"/>
        <v>109</v>
      </c>
      <c r="P3588" s="12">
        <f t="shared" si="229"/>
        <v>152</v>
      </c>
      <c r="Q3588" s="14" t="s">
        <v>8314</v>
      </c>
      <c r="R3588" t="s">
        <v>8315</v>
      </c>
      <c r="S3588" s="17">
        <f t="shared" si="230"/>
        <v>42576.697569444441</v>
      </c>
      <c r="T3588" s="17">
        <f t="shared" si="231"/>
        <v>42636.697569444441</v>
      </c>
      <c r="U3588">
        <f>MONTH(Table1[[#This Row],[Launched]])</f>
        <v>7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8218</v>
      </c>
      <c r="G3589" t="s">
        <v>8224</v>
      </c>
      <c r="H3589" t="s">
        <v>8246</v>
      </c>
      <c r="I3589" s="8">
        <v>1467054000</v>
      </c>
      <c r="J3589">
        <v>1463144254</v>
      </c>
      <c r="K3589" t="b">
        <v>0</v>
      </c>
      <c r="L3589" s="10">
        <v>28</v>
      </c>
      <c r="M3589" t="b">
        <v>1</v>
      </c>
      <c r="N3589" t="s">
        <v>8269</v>
      </c>
      <c r="O3589" s="11">
        <f t="shared" si="228"/>
        <v>127</v>
      </c>
      <c r="P3589" s="12">
        <f t="shared" si="229"/>
        <v>23</v>
      </c>
      <c r="Q3589" s="14" t="s">
        <v>8314</v>
      </c>
      <c r="R3589" t="s">
        <v>8315</v>
      </c>
      <c r="S3589" s="17">
        <f t="shared" si="230"/>
        <v>42503.539976851855</v>
      </c>
      <c r="T3589" s="17">
        <f t="shared" si="231"/>
        <v>42548.791666666672</v>
      </c>
      <c r="U3589">
        <f>MONTH(Table1[[#This Row],[Launched]])</f>
        <v>5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8218</v>
      </c>
      <c r="G3590" t="s">
        <v>8224</v>
      </c>
      <c r="H3590" t="s">
        <v>8246</v>
      </c>
      <c r="I3590" s="8">
        <v>1430348400</v>
      </c>
      <c r="J3590">
        <v>1428436410</v>
      </c>
      <c r="K3590" t="b">
        <v>0</v>
      </c>
      <c r="L3590" s="10">
        <v>11</v>
      </c>
      <c r="M3590" t="b">
        <v>1</v>
      </c>
      <c r="N3590" t="s">
        <v>8269</v>
      </c>
      <c r="O3590" s="11">
        <f t="shared" si="228"/>
        <v>101</v>
      </c>
      <c r="P3590" s="12">
        <f t="shared" si="229"/>
        <v>18</v>
      </c>
      <c r="Q3590" s="14" t="s">
        <v>8314</v>
      </c>
      <c r="R3590" t="s">
        <v>8315</v>
      </c>
      <c r="S3590" s="17">
        <f t="shared" si="230"/>
        <v>42101.828819444447</v>
      </c>
      <c r="T3590" s="17">
        <f t="shared" si="231"/>
        <v>42123.958333333328</v>
      </c>
      <c r="U3590">
        <f>MONTH(Table1[[#This Row],[Launched]])</f>
        <v>4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 s="8">
        <v>1432654347</v>
      </c>
      <c r="J3591">
        <v>1430494347</v>
      </c>
      <c r="K3591" t="b">
        <v>0</v>
      </c>
      <c r="L3591" s="10">
        <v>62</v>
      </c>
      <c r="M3591" t="b">
        <v>1</v>
      </c>
      <c r="N3591" t="s">
        <v>8269</v>
      </c>
      <c r="O3591" s="11">
        <f t="shared" si="228"/>
        <v>128</v>
      </c>
      <c r="P3591" s="12">
        <f t="shared" si="229"/>
        <v>82</v>
      </c>
      <c r="Q3591" s="14" t="s">
        <v>8314</v>
      </c>
      <c r="R3591" t="s">
        <v>8315</v>
      </c>
      <c r="S3591" s="17">
        <f t="shared" si="230"/>
        <v>42125.647534722222</v>
      </c>
      <c r="T3591" s="17">
        <f t="shared" si="231"/>
        <v>42150.647534722222</v>
      </c>
      <c r="U3591">
        <f>MONTH(Table1[[#This Row],[Launched]])</f>
        <v>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 s="8">
        <v>1413792034</v>
      </c>
      <c r="J3592">
        <v>1411200034</v>
      </c>
      <c r="K3592" t="b">
        <v>0</v>
      </c>
      <c r="L3592" s="10">
        <v>73</v>
      </c>
      <c r="M3592" t="b">
        <v>1</v>
      </c>
      <c r="N3592" t="s">
        <v>8269</v>
      </c>
      <c r="O3592" s="11">
        <f t="shared" si="228"/>
        <v>100</v>
      </c>
      <c r="P3592" s="12">
        <f t="shared" si="229"/>
        <v>69</v>
      </c>
      <c r="Q3592" s="14" t="s">
        <v>8314</v>
      </c>
      <c r="R3592" t="s">
        <v>8315</v>
      </c>
      <c r="S3592" s="17">
        <f t="shared" si="230"/>
        <v>41902.333726851852</v>
      </c>
      <c r="T3592" s="17">
        <f t="shared" si="231"/>
        <v>41932.333726851852</v>
      </c>
      <c r="U3592">
        <f>MONTH(Table1[[#This Row],[Launched]])</f>
        <v>9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8218</v>
      </c>
      <c r="G3593" t="s">
        <v>8223</v>
      </c>
      <c r="H3593" t="s">
        <v>8245</v>
      </c>
      <c r="I3593" s="8">
        <v>1422075540</v>
      </c>
      <c r="J3593">
        <v>1419979544</v>
      </c>
      <c r="K3593" t="b">
        <v>0</v>
      </c>
      <c r="L3593" s="10">
        <v>18</v>
      </c>
      <c r="M3593" t="b">
        <v>1</v>
      </c>
      <c r="N3593" t="s">
        <v>8269</v>
      </c>
      <c r="O3593" s="11">
        <f t="shared" si="228"/>
        <v>175</v>
      </c>
      <c r="P3593" s="12">
        <f t="shared" si="229"/>
        <v>68</v>
      </c>
      <c r="Q3593" s="14" t="s">
        <v>8314</v>
      </c>
      <c r="R3593" t="s">
        <v>8315</v>
      </c>
      <c r="S3593" s="17">
        <f t="shared" si="230"/>
        <v>42003.948425925926</v>
      </c>
      <c r="T3593" s="17">
        <f t="shared" si="231"/>
        <v>42028.207638888889</v>
      </c>
      <c r="U3593">
        <f>MONTH(Table1[[#This Row],[Launched]])</f>
        <v>12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 s="8">
        <v>1423630740</v>
      </c>
      <c r="J3594">
        <v>1418673307</v>
      </c>
      <c r="K3594" t="b">
        <v>0</v>
      </c>
      <c r="L3594" s="10">
        <v>35</v>
      </c>
      <c r="M3594" t="b">
        <v>1</v>
      </c>
      <c r="N3594" t="s">
        <v>8269</v>
      </c>
      <c r="O3594" s="11">
        <f t="shared" si="228"/>
        <v>127</v>
      </c>
      <c r="P3594" s="12">
        <f t="shared" si="229"/>
        <v>73</v>
      </c>
      <c r="Q3594" s="14" t="s">
        <v>8314</v>
      </c>
      <c r="R3594" t="s">
        <v>8315</v>
      </c>
      <c r="S3594" s="17">
        <f t="shared" si="230"/>
        <v>41988.829942129625</v>
      </c>
      <c r="T3594" s="17">
        <f t="shared" si="231"/>
        <v>42046.207638888889</v>
      </c>
      <c r="U3594">
        <f>MONTH(Table1[[#This Row],[Launched]])</f>
        <v>12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 s="8">
        <v>1420489560</v>
      </c>
      <c r="J3595">
        <v>1417469639</v>
      </c>
      <c r="K3595" t="b">
        <v>0</v>
      </c>
      <c r="L3595" s="10">
        <v>43</v>
      </c>
      <c r="M3595" t="b">
        <v>1</v>
      </c>
      <c r="N3595" t="s">
        <v>8269</v>
      </c>
      <c r="O3595" s="11">
        <f t="shared" si="228"/>
        <v>111</v>
      </c>
      <c r="P3595" s="12">
        <f t="shared" si="229"/>
        <v>77</v>
      </c>
      <c r="Q3595" s="14" t="s">
        <v>8314</v>
      </c>
      <c r="R3595" t="s">
        <v>8315</v>
      </c>
      <c r="S3595" s="17">
        <f t="shared" si="230"/>
        <v>41974.898599537039</v>
      </c>
      <c r="T3595" s="17">
        <f t="shared" si="231"/>
        <v>42009.851388888885</v>
      </c>
      <c r="U3595">
        <f>MONTH(Table1[[#This Row],[Launched]])</f>
        <v>12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 s="8">
        <v>1472952982</v>
      </c>
      <c r="J3596">
        <v>1470792982</v>
      </c>
      <c r="K3596" t="b">
        <v>0</v>
      </c>
      <c r="L3596" s="10">
        <v>36</v>
      </c>
      <c r="M3596" t="b">
        <v>1</v>
      </c>
      <c r="N3596" t="s">
        <v>8269</v>
      </c>
      <c r="O3596" s="11">
        <f t="shared" si="228"/>
        <v>126</v>
      </c>
      <c r="P3596" s="12">
        <f t="shared" si="229"/>
        <v>56</v>
      </c>
      <c r="Q3596" s="14" t="s">
        <v>8314</v>
      </c>
      <c r="R3596" t="s">
        <v>8315</v>
      </c>
      <c r="S3596" s="17">
        <f t="shared" si="230"/>
        <v>42592.066921296297</v>
      </c>
      <c r="T3596" s="17">
        <f t="shared" si="231"/>
        <v>42617.066921296297</v>
      </c>
      <c r="U3596">
        <f>MONTH(Table1[[#This Row],[Launched]])</f>
        <v>8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 s="8">
        <v>1426229940</v>
      </c>
      <c r="J3597">
        <v>1423959123</v>
      </c>
      <c r="K3597" t="b">
        <v>0</v>
      </c>
      <c r="L3597" s="10">
        <v>62</v>
      </c>
      <c r="M3597" t="b">
        <v>1</v>
      </c>
      <c r="N3597" t="s">
        <v>8269</v>
      </c>
      <c r="O3597" s="11">
        <f t="shared" si="228"/>
        <v>119</v>
      </c>
      <c r="P3597" s="12">
        <f t="shared" si="229"/>
        <v>50</v>
      </c>
      <c r="Q3597" s="14" t="s">
        <v>8314</v>
      </c>
      <c r="R3597" t="s">
        <v>8315</v>
      </c>
      <c r="S3597" s="17">
        <f t="shared" si="230"/>
        <v>42050.008368055554</v>
      </c>
      <c r="T3597" s="17">
        <f t="shared" si="231"/>
        <v>42076.290972222225</v>
      </c>
      <c r="U3597">
        <f>MONTH(Table1[[#This Row],[Launched]])</f>
        <v>2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 s="8">
        <v>1409072982</v>
      </c>
      <c r="J3598">
        <v>1407258582</v>
      </c>
      <c r="K3598" t="b">
        <v>0</v>
      </c>
      <c r="L3598" s="10">
        <v>15</v>
      </c>
      <c r="M3598" t="b">
        <v>1</v>
      </c>
      <c r="N3598" t="s">
        <v>8269</v>
      </c>
      <c r="O3598" s="11">
        <f t="shared" si="228"/>
        <v>108</v>
      </c>
      <c r="P3598" s="12">
        <f t="shared" si="229"/>
        <v>79</v>
      </c>
      <c r="Q3598" s="14" t="s">
        <v>8314</v>
      </c>
      <c r="R3598" t="s">
        <v>8315</v>
      </c>
      <c r="S3598" s="17">
        <f t="shared" si="230"/>
        <v>41856.715069444443</v>
      </c>
      <c r="T3598" s="17">
        <f t="shared" si="231"/>
        <v>41877.715069444443</v>
      </c>
      <c r="U3598">
        <f>MONTH(Table1[[#This Row],[Launched]])</f>
        <v>8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 s="8">
        <v>1456984740</v>
      </c>
      <c r="J3599">
        <v>1455717790</v>
      </c>
      <c r="K3599" t="b">
        <v>0</v>
      </c>
      <c r="L3599" s="10">
        <v>33</v>
      </c>
      <c r="M3599" t="b">
        <v>1</v>
      </c>
      <c r="N3599" t="s">
        <v>8269</v>
      </c>
      <c r="O3599" s="11">
        <f t="shared" si="228"/>
        <v>103</v>
      </c>
      <c r="P3599" s="12">
        <f t="shared" si="229"/>
        <v>78</v>
      </c>
      <c r="Q3599" s="14" t="s">
        <v>8314</v>
      </c>
      <c r="R3599" t="s">
        <v>8315</v>
      </c>
      <c r="S3599" s="17">
        <f t="shared" si="230"/>
        <v>42417.585532407407</v>
      </c>
      <c r="T3599" s="17">
        <f t="shared" si="231"/>
        <v>42432.249305555553</v>
      </c>
      <c r="U3599">
        <f>MONTH(Table1[[#This Row],[Launched]])</f>
        <v>2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 s="8">
        <v>1409720340</v>
      </c>
      <c r="J3600">
        <v>1408129822</v>
      </c>
      <c r="K3600" t="b">
        <v>0</v>
      </c>
      <c r="L3600" s="10">
        <v>27</v>
      </c>
      <c r="M3600" t="b">
        <v>1</v>
      </c>
      <c r="N3600" t="s">
        <v>8269</v>
      </c>
      <c r="O3600" s="11">
        <f t="shared" si="228"/>
        <v>110</v>
      </c>
      <c r="P3600" s="12">
        <f t="shared" si="229"/>
        <v>41</v>
      </c>
      <c r="Q3600" s="14" t="s">
        <v>8314</v>
      </c>
      <c r="R3600" t="s">
        <v>8315</v>
      </c>
      <c r="S3600" s="17">
        <f t="shared" si="230"/>
        <v>41866.79886574074</v>
      </c>
      <c r="T3600" s="17">
        <f t="shared" si="231"/>
        <v>41885.207638888889</v>
      </c>
      <c r="U3600">
        <f>MONTH(Table1[[#This Row],[Launched]])</f>
        <v>8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8218</v>
      </c>
      <c r="G3601" t="s">
        <v>8223</v>
      </c>
      <c r="H3601" t="s">
        <v>8245</v>
      </c>
      <c r="I3601" s="8">
        <v>1440892800</v>
      </c>
      <c r="J3601">
        <v>1438715077</v>
      </c>
      <c r="K3601" t="b">
        <v>0</v>
      </c>
      <c r="L3601" s="10">
        <v>17</v>
      </c>
      <c r="M3601" t="b">
        <v>1</v>
      </c>
      <c r="N3601" t="s">
        <v>8269</v>
      </c>
      <c r="O3601" s="11">
        <f t="shared" si="228"/>
        <v>202</v>
      </c>
      <c r="P3601" s="12">
        <f t="shared" si="229"/>
        <v>59</v>
      </c>
      <c r="Q3601" s="14" t="s">
        <v>8314</v>
      </c>
      <c r="R3601" t="s">
        <v>8315</v>
      </c>
      <c r="S3601" s="17">
        <f t="shared" si="230"/>
        <v>42220.79487268519</v>
      </c>
      <c r="T3601" s="17">
        <f t="shared" si="231"/>
        <v>42246</v>
      </c>
      <c r="U3601">
        <f>MONTH(Table1[[#This Row],[Launched]])</f>
        <v>8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8218</v>
      </c>
      <c r="G3602" t="s">
        <v>8223</v>
      </c>
      <c r="H3602" t="s">
        <v>8245</v>
      </c>
      <c r="I3602" s="8">
        <v>1476390164</v>
      </c>
      <c r="J3602">
        <v>1473970964</v>
      </c>
      <c r="K3602" t="b">
        <v>0</v>
      </c>
      <c r="L3602" s="10">
        <v>4</v>
      </c>
      <c r="M3602" t="b">
        <v>1</v>
      </c>
      <c r="N3602" t="s">
        <v>8269</v>
      </c>
      <c r="O3602" s="11">
        <f t="shared" si="228"/>
        <v>130</v>
      </c>
      <c r="P3602" s="12">
        <f t="shared" si="229"/>
        <v>3</v>
      </c>
      <c r="Q3602" s="14" t="s">
        <v>8314</v>
      </c>
      <c r="R3602" t="s">
        <v>8315</v>
      </c>
      <c r="S3602" s="17">
        <f t="shared" si="230"/>
        <v>42628.849120370374</v>
      </c>
      <c r="T3602" s="17">
        <f t="shared" si="231"/>
        <v>42656.849120370374</v>
      </c>
      <c r="U3602">
        <f>MONTH(Table1[[#This Row],[Launched]])</f>
        <v>9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 s="8">
        <v>1421452682</v>
      </c>
      <c r="J3603">
        <v>1418860682</v>
      </c>
      <c r="K3603" t="b">
        <v>0</v>
      </c>
      <c r="L3603" s="10">
        <v>53</v>
      </c>
      <c r="M3603" t="b">
        <v>1</v>
      </c>
      <c r="N3603" t="s">
        <v>8269</v>
      </c>
      <c r="O3603" s="11">
        <f t="shared" si="228"/>
        <v>104</v>
      </c>
      <c r="P3603" s="12">
        <f t="shared" si="229"/>
        <v>39</v>
      </c>
      <c r="Q3603" s="14" t="s">
        <v>8314</v>
      </c>
      <c r="R3603" t="s">
        <v>8315</v>
      </c>
      <c r="S3603" s="17">
        <f t="shared" si="230"/>
        <v>41990.99863425926</v>
      </c>
      <c r="T3603" s="17">
        <f t="shared" si="231"/>
        <v>42020.99863425926</v>
      </c>
      <c r="U3603">
        <f>MONTH(Table1[[#This Row],[Launched]])</f>
        <v>12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 s="8">
        <v>1463520479</v>
      </c>
      <c r="J3604">
        <v>1458336479</v>
      </c>
      <c r="K3604" t="b">
        <v>0</v>
      </c>
      <c r="L3604" s="10">
        <v>49</v>
      </c>
      <c r="M3604" t="b">
        <v>1</v>
      </c>
      <c r="N3604" t="s">
        <v>8269</v>
      </c>
      <c r="O3604" s="11">
        <f t="shared" si="228"/>
        <v>100</v>
      </c>
      <c r="P3604" s="12">
        <f t="shared" si="229"/>
        <v>82</v>
      </c>
      <c r="Q3604" s="14" t="s">
        <v>8314</v>
      </c>
      <c r="R3604" t="s">
        <v>8315</v>
      </c>
      <c r="S3604" s="17">
        <f t="shared" si="230"/>
        <v>42447.894432870366</v>
      </c>
      <c r="T3604" s="17">
        <f t="shared" si="231"/>
        <v>42507.894432870366</v>
      </c>
      <c r="U3604">
        <f>MONTH(Table1[[#This Row],[Launched]])</f>
        <v>3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 s="8">
        <v>1446759880</v>
      </c>
      <c r="J3605">
        <v>1444164280</v>
      </c>
      <c r="K3605" t="b">
        <v>0</v>
      </c>
      <c r="L3605" s="10">
        <v>57</v>
      </c>
      <c r="M3605" t="b">
        <v>1</v>
      </c>
      <c r="N3605" t="s">
        <v>8269</v>
      </c>
      <c r="O3605" s="11">
        <f t="shared" si="228"/>
        <v>171</v>
      </c>
      <c r="P3605" s="12">
        <f t="shared" si="229"/>
        <v>45</v>
      </c>
      <c r="Q3605" s="14" t="s">
        <v>8314</v>
      </c>
      <c r="R3605" t="s">
        <v>8315</v>
      </c>
      <c r="S3605" s="17">
        <f t="shared" si="230"/>
        <v>42283.864351851851</v>
      </c>
      <c r="T3605" s="17">
        <f t="shared" si="231"/>
        <v>42313.906018518523</v>
      </c>
      <c r="U3605">
        <f>MONTH(Table1[[#This Row],[Launched]])</f>
        <v>10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 s="8">
        <v>1461913140</v>
      </c>
      <c r="J3606">
        <v>1461370956</v>
      </c>
      <c r="K3606" t="b">
        <v>0</v>
      </c>
      <c r="L3606" s="10">
        <v>69</v>
      </c>
      <c r="M3606" t="b">
        <v>1</v>
      </c>
      <c r="N3606" t="s">
        <v>8269</v>
      </c>
      <c r="O3606" s="11">
        <f t="shared" si="228"/>
        <v>113</v>
      </c>
      <c r="P3606" s="12">
        <f t="shared" si="229"/>
        <v>49</v>
      </c>
      <c r="Q3606" s="14" t="s">
        <v>8314</v>
      </c>
      <c r="R3606" t="s">
        <v>8315</v>
      </c>
      <c r="S3606" s="17">
        <f t="shared" si="230"/>
        <v>42483.015694444446</v>
      </c>
      <c r="T3606" s="17">
        <f t="shared" si="231"/>
        <v>42489.290972222225</v>
      </c>
      <c r="U3606">
        <f>MONTH(Table1[[#This Row],[Launched]])</f>
        <v>4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8218</v>
      </c>
      <c r="G3607" t="s">
        <v>8224</v>
      </c>
      <c r="H3607" t="s">
        <v>8246</v>
      </c>
      <c r="I3607" s="8">
        <v>1455390126</v>
      </c>
      <c r="J3607">
        <v>1452798126</v>
      </c>
      <c r="K3607" t="b">
        <v>0</v>
      </c>
      <c r="L3607" s="10">
        <v>15</v>
      </c>
      <c r="M3607" t="b">
        <v>1</v>
      </c>
      <c r="N3607" t="s">
        <v>8269</v>
      </c>
      <c r="O3607" s="11">
        <f t="shared" si="228"/>
        <v>184</v>
      </c>
      <c r="P3607" s="12">
        <f t="shared" si="229"/>
        <v>31</v>
      </c>
      <c r="Q3607" s="14" t="s">
        <v>8314</v>
      </c>
      <c r="R3607" t="s">
        <v>8315</v>
      </c>
      <c r="S3607" s="17">
        <f t="shared" si="230"/>
        <v>42383.793124999997</v>
      </c>
      <c r="T3607" s="17">
        <f t="shared" si="231"/>
        <v>42413.793124999997</v>
      </c>
      <c r="U3607">
        <f>MONTH(Table1[[#This Row],[Launched]])</f>
        <v>1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 s="8">
        <v>1471185057</v>
      </c>
      <c r="J3608">
        <v>1468593057</v>
      </c>
      <c r="K3608" t="b">
        <v>0</v>
      </c>
      <c r="L3608" s="10">
        <v>64</v>
      </c>
      <c r="M3608" t="b">
        <v>1</v>
      </c>
      <c r="N3608" t="s">
        <v>8269</v>
      </c>
      <c r="O3608" s="11">
        <f t="shared" si="228"/>
        <v>130</v>
      </c>
      <c r="P3608" s="12">
        <f t="shared" si="229"/>
        <v>61</v>
      </c>
      <c r="Q3608" s="14" t="s">
        <v>8314</v>
      </c>
      <c r="R3608" t="s">
        <v>8315</v>
      </c>
      <c r="S3608" s="17">
        <f t="shared" si="230"/>
        <v>42566.604826388888</v>
      </c>
      <c r="T3608" s="17">
        <f t="shared" si="231"/>
        <v>42596.604826388888</v>
      </c>
      <c r="U3608">
        <f>MONTH(Table1[[#This Row],[Launched]])</f>
        <v>7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8218</v>
      </c>
      <c r="G3609" t="s">
        <v>8224</v>
      </c>
      <c r="H3609" t="s">
        <v>8246</v>
      </c>
      <c r="I3609" s="8">
        <v>1450137600</v>
      </c>
      <c r="J3609">
        <v>1448924882</v>
      </c>
      <c r="K3609" t="b">
        <v>0</v>
      </c>
      <c r="L3609" s="10">
        <v>20</v>
      </c>
      <c r="M3609" t="b">
        <v>1</v>
      </c>
      <c r="N3609" t="s">
        <v>8269</v>
      </c>
      <c r="O3609" s="11">
        <f t="shared" si="228"/>
        <v>105</v>
      </c>
      <c r="P3609" s="12">
        <f t="shared" si="229"/>
        <v>29</v>
      </c>
      <c r="Q3609" s="14" t="s">
        <v>8314</v>
      </c>
      <c r="R3609" t="s">
        <v>8315</v>
      </c>
      <c r="S3609" s="17">
        <f t="shared" si="230"/>
        <v>42338.963912037041</v>
      </c>
      <c r="T3609" s="17">
        <f t="shared" si="231"/>
        <v>42353</v>
      </c>
      <c r="U3609">
        <f>MONTH(Table1[[#This Row],[Launched]])</f>
        <v>11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8218</v>
      </c>
      <c r="G3610" t="s">
        <v>8224</v>
      </c>
      <c r="H3610" t="s">
        <v>8246</v>
      </c>
      <c r="I3610" s="8">
        <v>1466172000</v>
      </c>
      <c r="J3610">
        <v>1463418090</v>
      </c>
      <c r="K3610" t="b">
        <v>0</v>
      </c>
      <c r="L3610" s="10">
        <v>27</v>
      </c>
      <c r="M3610" t="b">
        <v>1</v>
      </c>
      <c r="N3610" t="s">
        <v>8269</v>
      </c>
      <c r="O3610" s="11">
        <f t="shared" si="228"/>
        <v>100</v>
      </c>
      <c r="P3610" s="12">
        <f t="shared" si="229"/>
        <v>30</v>
      </c>
      <c r="Q3610" s="14" t="s">
        <v>8314</v>
      </c>
      <c r="R3610" t="s">
        <v>8315</v>
      </c>
      <c r="S3610" s="17">
        <f t="shared" si="230"/>
        <v>42506.709375000006</v>
      </c>
      <c r="T3610" s="17">
        <f t="shared" si="231"/>
        <v>42538.583333333328</v>
      </c>
      <c r="U3610">
        <f>MONTH(Table1[[#This Row],[Launched]])</f>
        <v>5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 s="8">
        <v>1459378085</v>
      </c>
      <c r="J3611">
        <v>1456789685</v>
      </c>
      <c r="K3611" t="b">
        <v>0</v>
      </c>
      <c r="L3611" s="10">
        <v>21</v>
      </c>
      <c r="M3611" t="b">
        <v>1</v>
      </c>
      <c r="N3611" t="s">
        <v>8269</v>
      </c>
      <c r="O3611" s="11">
        <f t="shared" si="228"/>
        <v>153</v>
      </c>
      <c r="P3611" s="12">
        <f t="shared" si="229"/>
        <v>143</v>
      </c>
      <c r="Q3611" s="14" t="s">
        <v>8314</v>
      </c>
      <c r="R3611" t="s">
        <v>8315</v>
      </c>
      <c r="S3611" s="17">
        <f t="shared" si="230"/>
        <v>42429.991724537031</v>
      </c>
      <c r="T3611" s="17">
        <f t="shared" si="231"/>
        <v>42459.950057870374</v>
      </c>
      <c r="U3611">
        <f>MONTH(Table1[[#This Row],[Launched]])</f>
        <v>2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 s="8">
        <v>1439806936</v>
      </c>
      <c r="J3612">
        <v>1437214936</v>
      </c>
      <c r="K3612" t="b">
        <v>0</v>
      </c>
      <c r="L3612" s="10">
        <v>31</v>
      </c>
      <c r="M3612" t="b">
        <v>1</v>
      </c>
      <c r="N3612" t="s">
        <v>8269</v>
      </c>
      <c r="O3612" s="11">
        <f t="shared" si="228"/>
        <v>162</v>
      </c>
      <c r="P3612" s="12">
        <f t="shared" si="229"/>
        <v>52</v>
      </c>
      <c r="Q3612" s="14" t="s">
        <v>8314</v>
      </c>
      <c r="R3612" t="s">
        <v>8315</v>
      </c>
      <c r="S3612" s="17">
        <f t="shared" si="230"/>
        <v>42203.432129629626</v>
      </c>
      <c r="T3612" s="17">
        <f t="shared" si="231"/>
        <v>42233.432129629626</v>
      </c>
      <c r="U3612">
        <f>MONTH(Table1[[#This Row],[Launched]])</f>
        <v>7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 s="8">
        <v>1428483201</v>
      </c>
      <c r="J3613">
        <v>1425891201</v>
      </c>
      <c r="K3613" t="b">
        <v>0</v>
      </c>
      <c r="L3613" s="10">
        <v>51</v>
      </c>
      <c r="M3613" t="b">
        <v>1</v>
      </c>
      <c r="N3613" t="s">
        <v>8269</v>
      </c>
      <c r="O3613" s="11">
        <f t="shared" si="228"/>
        <v>136</v>
      </c>
      <c r="P3613" s="12">
        <f t="shared" si="229"/>
        <v>67</v>
      </c>
      <c r="Q3613" s="14" t="s">
        <v>8314</v>
      </c>
      <c r="R3613" t="s">
        <v>8315</v>
      </c>
      <c r="S3613" s="17">
        <f t="shared" si="230"/>
        <v>42072.370381944449</v>
      </c>
      <c r="T3613" s="17">
        <f t="shared" si="231"/>
        <v>42102.370381944449</v>
      </c>
      <c r="U3613">
        <f>MONTH(Table1[[#This Row],[Launched]])</f>
        <v>3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 s="8">
        <v>1402334811</v>
      </c>
      <c r="J3614">
        <v>1401470811</v>
      </c>
      <c r="K3614" t="b">
        <v>0</v>
      </c>
      <c r="L3614" s="10">
        <v>57</v>
      </c>
      <c r="M3614" t="b">
        <v>1</v>
      </c>
      <c r="N3614" t="s">
        <v>8269</v>
      </c>
      <c r="O3614" s="11">
        <f t="shared" si="228"/>
        <v>144</v>
      </c>
      <c r="P3614" s="12">
        <f t="shared" si="229"/>
        <v>127</v>
      </c>
      <c r="Q3614" s="14" t="s">
        <v>8314</v>
      </c>
      <c r="R3614" t="s">
        <v>8315</v>
      </c>
      <c r="S3614" s="17">
        <f t="shared" si="230"/>
        <v>41789.726979166669</v>
      </c>
      <c r="T3614" s="17">
        <f t="shared" si="231"/>
        <v>41799.726979166669</v>
      </c>
      <c r="U3614">
        <f>MONTH(Table1[[#This Row],[Launched]])</f>
        <v>5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 s="8">
        <v>1403964574</v>
      </c>
      <c r="J3615">
        <v>1401372574</v>
      </c>
      <c r="K3615" t="b">
        <v>0</v>
      </c>
      <c r="L3615" s="10">
        <v>20</v>
      </c>
      <c r="M3615" t="b">
        <v>1</v>
      </c>
      <c r="N3615" t="s">
        <v>8269</v>
      </c>
      <c r="O3615" s="11">
        <f t="shared" si="228"/>
        <v>100</v>
      </c>
      <c r="P3615" s="12">
        <f t="shared" si="229"/>
        <v>63</v>
      </c>
      <c r="Q3615" s="14" t="s">
        <v>8314</v>
      </c>
      <c r="R3615" t="s">
        <v>8315</v>
      </c>
      <c r="S3615" s="17">
        <f t="shared" si="230"/>
        <v>41788.58997685185</v>
      </c>
      <c r="T3615" s="17">
        <f t="shared" si="231"/>
        <v>41818.58997685185</v>
      </c>
      <c r="U3615">
        <f>MONTH(Table1[[#This Row],[Launched]])</f>
        <v>5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 s="8">
        <v>1434675616</v>
      </c>
      <c r="J3616">
        <v>1432083616</v>
      </c>
      <c r="K3616" t="b">
        <v>0</v>
      </c>
      <c r="L3616" s="10">
        <v>71</v>
      </c>
      <c r="M3616" t="b">
        <v>1</v>
      </c>
      <c r="N3616" t="s">
        <v>8269</v>
      </c>
      <c r="O3616" s="11">
        <f t="shared" si="228"/>
        <v>101</v>
      </c>
      <c r="P3616" s="12">
        <f t="shared" si="229"/>
        <v>35</v>
      </c>
      <c r="Q3616" s="14" t="s">
        <v>8314</v>
      </c>
      <c r="R3616" t="s">
        <v>8315</v>
      </c>
      <c r="S3616" s="17">
        <f t="shared" si="230"/>
        <v>42144.041851851856</v>
      </c>
      <c r="T3616" s="17">
        <f t="shared" si="231"/>
        <v>42174.041851851856</v>
      </c>
      <c r="U3616">
        <f>MONTH(Table1[[#This Row],[Launched]])</f>
        <v>5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 s="8">
        <v>1449756896</v>
      </c>
      <c r="J3617">
        <v>1447164896</v>
      </c>
      <c r="K3617" t="b">
        <v>0</v>
      </c>
      <c r="L3617" s="10">
        <v>72</v>
      </c>
      <c r="M3617" t="b">
        <v>1</v>
      </c>
      <c r="N3617" t="s">
        <v>8269</v>
      </c>
      <c r="O3617" s="11">
        <f t="shared" si="228"/>
        <v>107</v>
      </c>
      <c r="P3617" s="12">
        <f t="shared" si="229"/>
        <v>37</v>
      </c>
      <c r="Q3617" s="14" t="s">
        <v>8314</v>
      </c>
      <c r="R3617" t="s">
        <v>8315</v>
      </c>
      <c r="S3617" s="17">
        <f t="shared" si="230"/>
        <v>42318.593703703707</v>
      </c>
      <c r="T3617" s="17">
        <f t="shared" si="231"/>
        <v>42348.593703703707</v>
      </c>
      <c r="U3617">
        <f>MONTH(Table1[[#This Row],[Launched]])</f>
        <v>11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 s="8">
        <v>1426801664</v>
      </c>
      <c r="J3618">
        <v>1424213264</v>
      </c>
      <c r="K3618" t="b">
        <v>0</v>
      </c>
      <c r="L3618" s="10">
        <v>45</v>
      </c>
      <c r="M3618" t="b">
        <v>1</v>
      </c>
      <c r="N3618" t="s">
        <v>8269</v>
      </c>
      <c r="O3618" s="11">
        <f t="shared" si="228"/>
        <v>125</v>
      </c>
      <c r="P3618" s="12">
        <f t="shared" si="229"/>
        <v>69</v>
      </c>
      <c r="Q3618" s="14" t="s">
        <v>8314</v>
      </c>
      <c r="R3618" t="s">
        <v>8315</v>
      </c>
      <c r="S3618" s="17">
        <f t="shared" si="230"/>
        <v>42052.949814814812</v>
      </c>
      <c r="T3618" s="17">
        <f t="shared" si="231"/>
        <v>42082.908148148148</v>
      </c>
      <c r="U3618">
        <f>MONTH(Table1[[#This Row],[Launched]])</f>
        <v>2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8218</v>
      </c>
      <c r="G3619" t="s">
        <v>8224</v>
      </c>
      <c r="H3619" t="s">
        <v>8246</v>
      </c>
      <c r="I3619" s="8">
        <v>1488240000</v>
      </c>
      <c r="J3619">
        <v>1486996729</v>
      </c>
      <c r="K3619" t="b">
        <v>0</v>
      </c>
      <c r="L3619" s="10">
        <v>51</v>
      </c>
      <c r="M3619" t="b">
        <v>1</v>
      </c>
      <c r="N3619" t="s">
        <v>8269</v>
      </c>
      <c r="O3619" s="11">
        <f t="shared" si="228"/>
        <v>119</v>
      </c>
      <c r="P3619" s="12">
        <f t="shared" si="229"/>
        <v>17</v>
      </c>
      <c r="Q3619" s="14" t="s">
        <v>8314</v>
      </c>
      <c r="R3619" t="s">
        <v>8315</v>
      </c>
      <c r="S3619" s="17">
        <f t="shared" si="230"/>
        <v>42779.610289351855</v>
      </c>
      <c r="T3619" s="17">
        <f t="shared" si="231"/>
        <v>42794</v>
      </c>
      <c r="U3619">
        <f>MONTH(Table1[[#This Row],[Launched]])</f>
        <v>2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 s="8">
        <v>1433343850</v>
      </c>
      <c r="J3620">
        <v>1430751850</v>
      </c>
      <c r="K3620" t="b">
        <v>0</v>
      </c>
      <c r="L3620" s="10">
        <v>56</v>
      </c>
      <c r="M3620" t="b">
        <v>1</v>
      </c>
      <c r="N3620" t="s">
        <v>8269</v>
      </c>
      <c r="O3620" s="11">
        <f t="shared" si="228"/>
        <v>101</v>
      </c>
      <c r="P3620" s="12">
        <f t="shared" si="229"/>
        <v>36</v>
      </c>
      <c r="Q3620" s="14" t="s">
        <v>8314</v>
      </c>
      <c r="R3620" t="s">
        <v>8315</v>
      </c>
      <c r="S3620" s="17">
        <f t="shared" si="230"/>
        <v>42128.627893518518</v>
      </c>
      <c r="T3620" s="17">
        <f t="shared" si="231"/>
        <v>42158.627893518518</v>
      </c>
      <c r="U3620">
        <f>MONTH(Table1[[#This Row],[Launched]])</f>
        <v>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 s="8">
        <v>1479592800</v>
      </c>
      <c r="J3621">
        <v>1476760226</v>
      </c>
      <c r="K3621" t="b">
        <v>0</v>
      </c>
      <c r="L3621" s="10">
        <v>17</v>
      </c>
      <c r="M3621" t="b">
        <v>1</v>
      </c>
      <c r="N3621" t="s">
        <v>8269</v>
      </c>
      <c r="O3621" s="11">
        <f t="shared" si="228"/>
        <v>113</v>
      </c>
      <c r="P3621" s="12">
        <f t="shared" si="229"/>
        <v>66</v>
      </c>
      <c r="Q3621" s="14" t="s">
        <v>8314</v>
      </c>
      <c r="R3621" t="s">
        <v>8315</v>
      </c>
      <c r="S3621" s="17">
        <f t="shared" si="230"/>
        <v>42661.132245370376</v>
      </c>
      <c r="T3621" s="17">
        <f t="shared" si="231"/>
        <v>42693.916666666672</v>
      </c>
      <c r="U3621">
        <f>MONTH(Table1[[#This Row],[Launched]])</f>
        <v>10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 s="8">
        <v>1425528000</v>
      </c>
      <c r="J3622">
        <v>1422916261</v>
      </c>
      <c r="K3622" t="b">
        <v>0</v>
      </c>
      <c r="L3622" s="10">
        <v>197</v>
      </c>
      <c r="M3622" t="b">
        <v>1</v>
      </c>
      <c r="N3622" t="s">
        <v>8269</v>
      </c>
      <c r="O3622" s="11">
        <f t="shared" si="228"/>
        <v>105</v>
      </c>
      <c r="P3622" s="12">
        <f t="shared" si="229"/>
        <v>56</v>
      </c>
      <c r="Q3622" s="14" t="s">
        <v>8314</v>
      </c>
      <c r="R3622" t="s">
        <v>8315</v>
      </c>
      <c r="S3622" s="17">
        <f t="shared" si="230"/>
        <v>42037.938206018516</v>
      </c>
      <c r="T3622" s="17">
        <f t="shared" si="231"/>
        <v>42068.166666666672</v>
      </c>
      <c r="U3622">
        <f>MONTH(Table1[[#This Row],[Launched]])</f>
        <v>2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 s="8">
        <v>1475269200</v>
      </c>
      <c r="J3623">
        <v>1473200844</v>
      </c>
      <c r="K3623" t="b">
        <v>0</v>
      </c>
      <c r="L3623" s="10">
        <v>70</v>
      </c>
      <c r="M3623" t="b">
        <v>1</v>
      </c>
      <c r="N3623" t="s">
        <v>8269</v>
      </c>
      <c r="O3623" s="11">
        <f t="shared" si="228"/>
        <v>110</v>
      </c>
      <c r="P3623" s="12">
        <f t="shared" si="229"/>
        <v>47</v>
      </c>
      <c r="Q3623" s="14" t="s">
        <v>8314</v>
      </c>
      <c r="R3623" t="s">
        <v>8315</v>
      </c>
      <c r="S3623" s="17">
        <f t="shared" si="230"/>
        <v>42619.935694444444</v>
      </c>
      <c r="T3623" s="17">
        <f t="shared" si="231"/>
        <v>42643.875</v>
      </c>
      <c r="U3623">
        <f>MONTH(Table1[[#This Row],[Launched]])</f>
        <v>9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 s="8">
        <v>1411874580</v>
      </c>
      <c r="J3624">
        <v>1409030371</v>
      </c>
      <c r="K3624" t="b">
        <v>0</v>
      </c>
      <c r="L3624" s="10">
        <v>21</v>
      </c>
      <c r="M3624" t="b">
        <v>1</v>
      </c>
      <c r="N3624" t="s">
        <v>8269</v>
      </c>
      <c r="O3624" s="11">
        <f t="shared" si="228"/>
        <v>100</v>
      </c>
      <c r="P3624" s="12">
        <f t="shared" si="229"/>
        <v>48</v>
      </c>
      <c r="Q3624" s="14" t="s">
        <v>8314</v>
      </c>
      <c r="R3624" t="s">
        <v>8315</v>
      </c>
      <c r="S3624" s="17">
        <f t="shared" si="230"/>
        <v>41877.221886574072</v>
      </c>
      <c r="T3624" s="17">
        <f t="shared" si="231"/>
        <v>41910.140972222223</v>
      </c>
      <c r="U3624">
        <f>MONTH(Table1[[#This Row],[Launched]])</f>
        <v>8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 s="8">
        <v>1406358000</v>
      </c>
      <c r="J3625">
        <v>1404841270</v>
      </c>
      <c r="K3625" t="b">
        <v>0</v>
      </c>
      <c r="L3625" s="10">
        <v>34</v>
      </c>
      <c r="M3625" t="b">
        <v>1</v>
      </c>
      <c r="N3625" t="s">
        <v>8269</v>
      </c>
      <c r="O3625" s="11">
        <f t="shared" si="228"/>
        <v>120</v>
      </c>
      <c r="P3625" s="12">
        <f t="shared" si="229"/>
        <v>88</v>
      </c>
      <c r="Q3625" s="14" t="s">
        <v>8314</v>
      </c>
      <c r="R3625" t="s">
        <v>8315</v>
      </c>
      <c r="S3625" s="17">
        <f t="shared" si="230"/>
        <v>41828.736921296295</v>
      </c>
      <c r="T3625" s="17">
        <f t="shared" si="231"/>
        <v>41846.291666666664</v>
      </c>
      <c r="U3625">
        <f>MONTH(Table1[[#This Row],[Launched]])</f>
        <v>7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 s="8">
        <v>1471977290</v>
      </c>
      <c r="J3626">
        <v>1466793290</v>
      </c>
      <c r="K3626" t="b">
        <v>0</v>
      </c>
      <c r="L3626" s="10">
        <v>39</v>
      </c>
      <c r="M3626" t="b">
        <v>1</v>
      </c>
      <c r="N3626" t="s">
        <v>8269</v>
      </c>
      <c r="O3626" s="11">
        <f t="shared" si="228"/>
        <v>105</v>
      </c>
      <c r="P3626" s="12">
        <f t="shared" si="229"/>
        <v>81</v>
      </c>
      <c r="Q3626" s="14" t="s">
        <v>8314</v>
      </c>
      <c r="R3626" t="s">
        <v>8315</v>
      </c>
      <c r="S3626" s="17">
        <f t="shared" si="230"/>
        <v>42545.774189814809</v>
      </c>
      <c r="T3626" s="17">
        <f t="shared" si="231"/>
        <v>42605.774189814809</v>
      </c>
      <c r="U3626">
        <f>MONTH(Table1[[#This Row],[Launched]])</f>
        <v>6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 s="8">
        <v>1435851577</v>
      </c>
      <c r="J3627">
        <v>1433259577</v>
      </c>
      <c r="K3627" t="b">
        <v>0</v>
      </c>
      <c r="L3627" s="10">
        <v>78</v>
      </c>
      <c r="M3627" t="b">
        <v>1</v>
      </c>
      <c r="N3627" t="s">
        <v>8269</v>
      </c>
      <c r="O3627" s="11">
        <f t="shared" si="228"/>
        <v>103</v>
      </c>
      <c r="P3627" s="12">
        <f t="shared" si="229"/>
        <v>39</v>
      </c>
      <c r="Q3627" s="14" t="s">
        <v>8314</v>
      </c>
      <c r="R3627" t="s">
        <v>8315</v>
      </c>
      <c r="S3627" s="17">
        <f t="shared" si="230"/>
        <v>42157.652511574073</v>
      </c>
      <c r="T3627" s="17">
        <f t="shared" si="231"/>
        <v>42187.652511574073</v>
      </c>
      <c r="U3627">
        <f>MONTH(Table1[[#This Row],[Launched]])</f>
        <v>6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 s="8">
        <v>1408204857</v>
      </c>
      <c r="J3628">
        <v>1406390457</v>
      </c>
      <c r="K3628" t="b">
        <v>0</v>
      </c>
      <c r="L3628" s="10">
        <v>48</v>
      </c>
      <c r="M3628" t="b">
        <v>1</v>
      </c>
      <c r="N3628" t="s">
        <v>8269</v>
      </c>
      <c r="O3628" s="11">
        <f t="shared" si="228"/>
        <v>102</v>
      </c>
      <c r="P3628" s="12">
        <f t="shared" si="229"/>
        <v>85</v>
      </c>
      <c r="Q3628" s="14" t="s">
        <v>8314</v>
      </c>
      <c r="R3628" t="s">
        <v>8315</v>
      </c>
      <c r="S3628" s="17">
        <f t="shared" si="230"/>
        <v>41846.667326388888</v>
      </c>
      <c r="T3628" s="17">
        <f t="shared" si="231"/>
        <v>41867.667326388888</v>
      </c>
      <c r="U3628">
        <f>MONTH(Table1[[#This Row],[Launched]])</f>
        <v>7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 s="8">
        <v>1463803140</v>
      </c>
      <c r="J3629">
        <v>1459446487</v>
      </c>
      <c r="K3629" t="b">
        <v>0</v>
      </c>
      <c r="L3629" s="10">
        <v>29</v>
      </c>
      <c r="M3629" t="b">
        <v>1</v>
      </c>
      <c r="N3629" t="s">
        <v>8269</v>
      </c>
      <c r="O3629" s="11">
        <f t="shared" si="228"/>
        <v>100</v>
      </c>
      <c r="P3629" s="12">
        <f t="shared" si="229"/>
        <v>69</v>
      </c>
      <c r="Q3629" s="14" t="s">
        <v>8314</v>
      </c>
      <c r="R3629" t="s">
        <v>8315</v>
      </c>
      <c r="S3629" s="17">
        <f t="shared" si="230"/>
        <v>42460.741747685184</v>
      </c>
      <c r="T3629" s="17">
        <f t="shared" si="231"/>
        <v>42511.165972222225</v>
      </c>
      <c r="U3629">
        <f>MONTH(Table1[[#This Row],[Launched]])</f>
        <v>3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8220</v>
      </c>
      <c r="G3630" t="s">
        <v>8223</v>
      </c>
      <c r="H3630" t="s">
        <v>8245</v>
      </c>
      <c r="I3630" s="8">
        <v>1450040396</v>
      </c>
      <c r="J3630">
        <v>1444852796</v>
      </c>
      <c r="K3630" t="b">
        <v>0</v>
      </c>
      <c r="L3630" s="10">
        <v>0</v>
      </c>
      <c r="M3630" t="b">
        <v>0</v>
      </c>
      <c r="N3630" t="s">
        <v>8303</v>
      </c>
      <c r="O3630" s="11">
        <f t="shared" si="228"/>
        <v>0</v>
      </c>
      <c r="P3630" s="12" t="str">
        <f t="shared" si="229"/>
        <v>No Backers</v>
      </c>
      <c r="Q3630" s="14" t="s">
        <v>8314</v>
      </c>
      <c r="R3630" t="s">
        <v>8356</v>
      </c>
      <c r="S3630" s="17">
        <f t="shared" si="230"/>
        <v>42291.833287037036</v>
      </c>
      <c r="T3630" s="17">
        <f t="shared" si="231"/>
        <v>42351.874953703707</v>
      </c>
      <c r="U3630">
        <f>MONTH(Table1[[#This Row],[Launched]])</f>
        <v>10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 s="8">
        <v>1462467600</v>
      </c>
      <c r="J3631">
        <v>1457403364</v>
      </c>
      <c r="K3631" t="b">
        <v>0</v>
      </c>
      <c r="L3631" s="10">
        <v>2</v>
      </c>
      <c r="M3631" t="b">
        <v>0</v>
      </c>
      <c r="N3631" t="s">
        <v>8303</v>
      </c>
      <c r="O3631" s="11">
        <f t="shared" si="228"/>
        <v>0</v>
      </c>
      <c r="P3631" s="12">
        <f t="shared" si="229"/>
        <v>1</v>
      </c>
      <c r="Q3631" s="14" t="s">
        <v>8314</v>
      </c>
      <c r="R3631" t="s">
        <v>8356</v>
      </c>
      <c r="S3631" s="17">
        <f t="shared" si="230"/>
        <v>42437.094490740739</v>
      </c>
      <c r="T3631" s="17">
        <f t="shared" si="231"/>
        <v>42495.708333333328</v>
      </c>
      <c r="U3631">
        <f>MONTH(Table1[[#This Row],[Launched]])</f>
        <v>3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8220</v>
      </c>
      <c r="G3632" t="s">
        <v>8224</v>
      </c>
      <c r="H3632" t="s">
        <v>8246</v>
      </c>
      <c r="I3632" s="8">
        <v>1417295990</v>
      </c>
      <c r="J3632">
        <v>1414700390</v>
      </c>
      <c r="K3632" t="b">
        <v>0</v>
      </c>
      <c r="L3632" s="10">
        <v>1</v>
      </c>
      <c r="M3632" t="b">
        <v>0</v>
      </c>
      <c r="N3632" t="s">
        <v>8303</v>
      </c>
      <c r="O3632" s="11">
        <f t="shared" si="228"/>
        <v>0</v>
      </c>
      <c r="P3632" s="12">
        <f t="shared" si="229"/>
        <v>1</v>
      </c>
      <c r="Q3632" s="14" t="s">
        <v>8314</v>
      </c>
      <c r="R3632" t="s">
        <v>8356</v>
      </c>
      <c r="S3632" s="17">
        <f t="shared" si="230"/>
        <v>41942.84710648148</v>
      </c>
      <c r="T3632" s="17">
        <f t="shared" si="231"/>
        <v>41972.888773148152</v>
      </c>
      <c r="U3632">
        <f>MONTH(Table1[[#This Row],[Launched]])</f>
        <v>10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 s="8">
        <v>1411444740</v>
      </c>
      <c r="J3633">
        <v>1409335497</v>
      </c>
      <c r="K3633" t="b">
        <v>0</v>
      </c>
      <c r="L3633" s="10">
        <v>59</v>
      </c>
      <c r="M3633" t="b">
        <v>0</v>
      </c>
      <c r="N3633" t="s">
        <v>8303</v>
      </c>
      <c r="O3633" s="11">
        <f t="shared" si="228"/>
        <v>51</v>
      </c>
      <c r="P3633" s="12">
        <f t="shared" si="229"/>
        <v>148</v>
      </c>
      <c r="Q3633" s="14" t="s">
        <v>8314</v>
      </c>
      <c r="R3633" t="s">
        <v>8356</v>
      </c>
      <c r="S3633" s="17">
        <f t="shared" si="230"/>
        <v>41880.753437499996</v>
      </c>
      <c r="T3633" s="17">
        <f t="shared" si="231"/>
        <v>41905.165972222225</v>
      </c>
      <c r="U3633">
        <f>MONTH(Table1[[#This Row],[Launched]])</f>
        <v>8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8220</v>
      </c>
      <c r="G3634" t="s">
        <v>8224</v>
      </c>
      <c r="H3634" t="s">
        <v>8246</v>
      </c>
      <c r="I3634" s="8">
        <v>1416781749</v>
      </c>
      <c r="J3634">
        <v>1415053749</v>
      </c>
      <c r="K3634" t="b">
        <v>0</v>
      </c>
      <c r="L3634" s="10">
        <v>1</v>
      </c>
      <c r="M3634" t="b">
        <v>0</v>
      </c>
      <c r="N3634" t="s">
        <v>8303</v>
      </c>
      <c r="O3634" s="11">
        <f t="shared" si="228"/>
        <v>20</v>
      </c>
      <c r="P3634" s="12">
        <f t="shared" si="229"/>
        <v>100</v>
      </c>
      <c r="Q3634" s="14" t="s">
        <v>8314</v>
      </c>
      <c r="R3634" t="s">
        <v>8356</v>
      </c>
      <c r="S3634" s="17">
        <f t="shared" si="230"/>
        <v>41946.936909722222</v>
      </c>
      <c r="T3634" s="17">
        <f t="shared" si="231"/>
        <v>41966.936909722222</v>
      </c>
      <c r="U3634">
        <f>MONTH(Table1[[#This Row],[Launched]])</f>
        <v>11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 s="8">
        <v>1479517200</v>
      </c>
      <c r="J3635">
        <v>1475765867</v>
      </c>
      <c r="K3635" t="b">
        <v>0</v>
      </c>
      <c r="L3635" s="10">
        <v>31</v>
      </c>
      <c r="M3635" t="b">
        <v>0</v>
      </c>
      <c r="N3635" t="s">
        <v>8303</v>
      </c>
      <c r="O3635" s="11">
        <f t="shared" si="228"/>
        <v>35</v>
      </c>
      <c r="P3635" s="12">
        <f t="shared" si="229"/>
        <v>57</v>
      </c>
      <c r="Q3635" s="14" t="s">
        <v>8314</v>
      </c>
      <c r="R3635" t="s">
        <v>8356</v>
      </c>
      <c r="S3635" s="17">
        <f t="shared" si="230"/>
        <v>42649.623460648145</v>
      </c>
      <c r="T3635" s="17">
        <f t="shared" si="231"/>
        <v>42693.041666666672</v>
      </c>
      <c r="U3635">
        <f>MONTH(Table1[[#This Row],[Launched]])</f>
        <v>10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 s="8">
        <v>1484366340</v>
      </c>
      <c r="J3636">
        <v>1480219174</v>
      </c>
      <c r="K3636" t="b">
        <v>0</v>
      </c>
      <c r="L3636" s="10">
        <v>18</v>
      </c>
      <c r="M3636" t="b">
        <v>0</v>
      </c>
      <c r="N3636" t="s">
        <v>8303</v>
      </c>
      <c r="O3636" s="11">
        <f t="shared" si="228"/>
        <v>4</v>
      </c>
      <c r="P3636" s="12">
        <f t="shared" si="229"/>
        <v>177</v>
      </c>
      <c r="Q3636" s="14" t="s">
        <v>8314</v>
      </c>
      <c r="R3636" t="s">
        <v>8356</v>
      </c>
      <c r="S3636" s="17">
        <f t="shared" si="230"/>
        <v>42701.166365740741</v>
      </c>
      <c r="T3636" s="17">
        <f t="shared" si="231"/>
        <v>42749.165972222225</v>
      </c>
      <c r="U3636">
        <f>MONTH(Table1[[#This Row],[Launched]])</f>
        <v>11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 s="8">
        <v>1461186676</v>
      </c>
      <c r="J3637">
        <v>1458594676</v>
      </c>
      <c r="K3637" t="b">
        <v>0</v>
      </c>
      <c r="L3637" s="10">
        <v>10</v>
      </c>
      <c r="M3637" t="b">
        <v>0</v>
      </c>
      <c r="N3637" t="s">
        <v>8303</v>
      </c>
      <c r="O3637" s="11">
        <f t="shared" si="228"/>
        <v>36</v>
      </c>
      <c r="P3637" s="12">
        <f t="shared" si="229"/>
        <v>128</v>
      </c>
      <c r="Q3637" s="14" t="s">
        <v>8314</v>
      </c>
      <c r="R3637" t="s">
        <v>8356</v>
      </c>
      <c r="S3637" s="17">
        <f t="shared" si="230"/>
        <v>42450.88282407407</v>
      </c>
      <c r="T3637" s="17">
        <f t="shared" si="231"/>
        <v>42480.88282407407</v>
      </c>
      <c r="U3637">
        <f>MONTH(Table1[[#This Row],[Launched]])</f>
        <v>3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8220</v>
      </c>
      <c r="G3638" t="s">
        <v>8223</v>
      </c>
      <c r="H3638" t="s">
        <v>8245</v>
      </c>
      <c r="I3638" s="8">
        <v>1442248829</v>
      </c>
      <c r="J3638">
        <v>1439224829</v>
      </c>
      <c r="K3638" t="b">
        <v>0</v>
      </c>
      <c r="L3638" s="10">
        <v>0</v>
      </c>
      <c r="M3638" t="b">
        <v>0</v>
      </c>
      <c r="N3638" t="s">
        <v>8303</v>
      </c>
      <c r="O3638" s="11">
        <f t="shared" si="228"/>
        <v>0</v>
      </c>
      <c r="P3638" s="12" t="str">
        <f t="shared" si="229"/>
        <v>No Backers</v>
      </c>
      <c r="Q3638" s="14" t="s">
        <v>8314</v>
      </c>
      <c r="R3638" t="s">
        <v>8356</v>
      </c>
      <c r="S3638" s="17">
        <f t="shared" si="230"/>
        <v>42226.694780092599</v>
      </c>
      <c r="T3638" s="17">
        <f t="shared" si="231"/>
        <v>42261.694780092599</v>
      </c>
      <c r="U3638">
        <f>MONTH(Table1[[#This Row],[Launched]])</f>
        <v>8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8220</v>
      </c>
      <c r="G3639" t="s">
        <v>8223</v>
      </c>
      <c r="H3639" t="s">
        <v>8245</v>
      </c>
      <c r="I3639" s="8">
        <v>1420130935</v>
      </c>
      <c r="J3639">
        <v>1417538935</v>
      </c>
      <c r="K3639" t="b">
        <v>0</v>
      </c>
      <c r="L3639" s="10">
        <v>14</v>
      </c>
      <c r="M3639" t="b">
        <v>0</v>
      </c>
      <c r="N3639" t="s">
        <v>8303</v>
      </c>
      <c r="O3639" s="11">
        <f t="shared" si="228"/>
        <v>31</v>
      </c>
      <c r="P3639" s="12">
        <f t="shared" si="229"/>
        <v>66</v>
      </c>
      <c r="Q3639" s="14" t="s">
        <v>8314</v>
      </c>
      <c r="R3639" t="s">
        <v>8356</v>
      </c>
      <c r="S3639" s="17">
        <f t="shared" si="230"/>
        <v>41975.700636574074</v>
      </c>
      <c r="T3639" s="17">
        <f t="shared" si="231"/>
        <v>42005.700636574074</v>
      </c>
      <c r="U3639">
        <f>MONTH(Table1[[#This Row],[Launched]])</f>
        <v>12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8220</v>
      </c>
      <c r="G3640" t="s">
        <v>8228</v>
      </c>
      <c r="H3640" t="s">
        <v>8250</v>
      </c>
      <c r="I3640" s="8">
        <v>1429456132</v>
      </c>
      <c r="J3640">
        <v>1424275732</v>
      </c>
      <c r="K3640" t="b">
        <v>0</v>
      </c>
      <c r="L3640" s="10">
        <v>2</v>
      </c>
      <c r="M3640" t="b">
        <v>0</v>
      </c>
      <c r="N3640" t="s">
        <v>8303</v>
      </c>
      <c r="O3640" s="11">
        <f t="shared" si="228"/>
        <v>7</v>
      </c>
      <c r="P3640" s="12">
        <f t="shared" si="229"/>
        <v>108</v>
      </c>
      <c r="Q3640" s="14" t="s">
        <v>8314</v>
      </c>
      <c r="R3640" t="s">
        <v>8356</v>
      </c>
      <c r="S3640" s="17">
        <f t="shared" si="230"/>
        <v>42053.672824074078</v>
      </c>
      <c r="T3640" s="17">
        <f t="shared" si="231"/>
        <v>42113.631157407406</v>
      </c>
      <c r="U3640">
        <f>MONTH(Table1[[#This Row],[Launched]])</f>
        <v>2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8220</v>
      </c>
      <c r="G3641" t="s">
        <v>8223</v>
      </c>
      <c r="H3641" t="s">
        <v>8245</v>
      </c>
      <c r="I3641" s="8">
        <v>1475853060</v>
      </c>
      <c r="J3641">
        <v>1470672906</v>
      </c>
      <c r="K3641" t="b">
        <v>0</v>
      </c>
      <c r="L3641" s="10">
        <v>1</v>
      </c>
      <c r="M3641" t="b">
        <v>0</v>
      </c>
      <c r="N3641" t="s">
        <v>8303</v>
      </c>
      <c r="O3641" s="11">
        <f t="shared" si="228"/>
        <v>0</v>
      </c>
      <c r="P3641" s="12">
        <f t="shared" si="229"/>
        <v>1</v>
      </c>
      <c r="Q3641" s="14" t="s">
        <v>8314</v>
      </c>
      <c r="R3641" t="s">
        <v>8356</v>
      </c>
      <c r="S3641" s="17">
        <f t="shared" si="230"/>
        <v>42590.677152777775</v>
      </c>
      <c r="T3641" s="17">
        <f t="shared" si="231"/>
        <v>42650.632638888885</v>
      </c>
      <c r="U3641">
        <f>MONTH(Table1[[#This Row],[Launched]])</f>
        <v>8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8220</v>
      </c>
      <c r="G3642" t="s">
        <v>8223</v>
      </c>
      <c r="H3642" t="s">
        <v>8245</v>
      </c>
      <c r="I3642" s="8">
        <v>1431283530</v>
      </c>
      <c r="J3642">
        <v>1428691530</v>
      </c>
      <c r="K3642" t="b">
        <v>0</v>
      </c>
      <c r="L3642" s="10">
        <v>3</v>
      </c>
      <c r="M3642" t="b">
        <v>0</v>
      </c>
      <c r="N3642" t="s">
        <v>8303</v>
      </c>
      <c r="O3642" s="11">
        <f t="shared" si="228"/>
        <v>6</v>
      </c>
      <c r="P3642" s="12">
        <f t="shared" si="229"/>
        <v>18</v>
      </c>
      <c r="Q3642" s="14" t="s">
        <v>8314</v>
      </c>
      <c r="R3642" t="s">
        <v>8356</v>
      </c>
      <c r="S3642" s="17">
        <f t="shared" si="230"/>
        <v>42104.781597222223</v>
      </c>
      <c r="T3642" s="17">
        <f t="shared" si="231"/>
        <v>42134.781597222223</v>
      </c>
      <c r="U3642">
        <f>MONTH(Table1[[#This Row],[Launched]])</f>
        <v>4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8220</v>
      </c>
      <c r="G3643" t="s">
        <v>8223</v>
      </c>
      <c r="H3643" t="s">
        <v>8245</v>
      </c>
      <c r="I3643" s="8">
        <v>1412485200</v>
      </c>
      <c r="J3643">
        <v>1410966179</v>
      </c>
      <c r="K3643" t="b">
        <v>0</v>
      </c>
      <c r="L3643" s="10">
        <v>0</v>
      </c>
      <c r="M3643" t="b">
        <v>0</v>
      </c>
      <c r="N3643" t="s">
        <v>8303</v>
      </c>
      <c r="O3643" s="11">
        <f t="shared" si="228"/>
        <v>0</v>
      </c>
      <c r="P3643" s="12" t="str">
        <f t="shared" si="229"/>
        <v>No Backers</v>
      </c>
      <c r="Q3643" s="14" t="s">
        <v>8314</v>
      </c>
      <c r="R3643" t="s">
        <v>8356</v>
      </c>
      <c r="S3643" s="17">
        <f t="shared" si="230"/>
        <v>41899.627071759263</v>
      </c>
      <c r="T3643" s="17">
        <f t="shared" si="231"/>
        <v>41917.208333333336</v>
      </c>
      <c r="U3643">
        <f>MONTH(Table1[[#This Row],[Launched]])</f>
        <v>9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8220</v>
      </c>
      <c r="G3644" t="s">
        <v>8235</v>
      </c>
      <c r="H3644" t="s">
        <v>8248</v>
      </c>
      <c r="I3644" s="8">
        <v>1448902800</v>
      </c>
      <c r="J3644">
        <v>1445369727</v>
      </c>
      <c r="K3644" t="b">
        <v>0</v>
      </c>
      <c r="L3644" s="10">
        <v>2</v>
      </c>
      <c r="M3644" t="b">
        <v>0</v>
      </c>
      <c r="N3644" t="s">
        <v>8303</v>
      </c>
      <c r="O3644" s="11">
        <f t="shared" si="228"/>
        <v>2</v>
      </c>
      <c r="P3644" s="12">
        <f t="shared" si="229"/>
        <v>8</v>
      </c>
      <c r="Q3644" s="14" t="s">
        <v>8314</v>
      </c>
      <c r="R3644" t="s">
        <v>8356</v>
      </c>
      <c r="S3644" s="17">
        <f t="shared" si="230"/>
        <v>42297.816284722227</v>
      </c>
      <c r="T3644" s="17">
        <f t="shared" si="231"/>
        <v>42338.708333333328</v>
      </c>
      <c r="U3644">
        <f>MONTH(Table1[[#This Row],[Launched]])</f>
        <v>10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8220</v>
      </c>
      <c r="G3645" t="s">
        <v>8223</v>
      </c>
      <c r="H3645" t="s">
        <v>8245</v>
      </c>
      <c r="I3645" s="8">
        <v>1447734439</v>
      </c>
      <c r="J3645">
        <v>1444274839</v>
      </c>
      <c r="K3645" t="b">
        <v>0</v>
      </c>
      <c r="L3645" s="10">
        <v>0</v>
      </c>
      <c r="M3645" t="b">
        <v>0</v>
      </c>
      <c r="N3645" t="s">
        <v>8303</v>
      </c>
      <c r="O3645" s="11">
        <f t="shared" si="228"/>
        <v>0</v>
      </c>
      <c r="P3645" s="12" t="str">
        <f t="shared" si="229"/>
        <v>No Backers</v>
      </c>
      <c r="Q3645" s="14" t="s">
        <v>8314</v>
      </c>
      <c r="R3645" t="s">
        <v>8356</v>
      </c>
      <c r="S3645" s="17">
        <f t="shared" si="230"/>
        <v>42285.143969907411</v>
      </c>
      <c r="T3645" s="17">
        <f t="shared" si="231"/>
        <v>42325.185636574075</v>
      </c>
      <c r="U3645">
        <f>MONTH(Table1[[#This Row],[Launched]])</f>
        <v>10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8220</v>
      </c>
      <c r="G3646" t="s">
        <v>8223</v>
      </c>
      <c r="H3646" t="s">
        <v>8245</v>
      </c>
      <c r="I3646" s="8">
        <v>1457413140</v>
      </c>
      <c r="J3646">
        <v>1454996887</v>
      </c>
      <c r="K3646" t="b">
        <v>0</v>
      </c>
      <c r="L3646" s="10">
        <v>12</v>
      </c>
      <c r="M3646" t="b">
        <v>0</v>
      </c>
      <c r="N3646" t="s">
        <v>8303</v>
      </c>
      <c r="O3646" s="11">
        <f t="shared" si="228"/>
        <v>16</v>
      </c>
      <c r="P3646" s="12">
        <f t="shared" si="229"/>
        <v>68</v>
      </c>
      <c r="Q3646" s="14" t="s">
        <v>8314</v>
      </c>
      <c r="R3646" t="s">
        <v>8356</v>
      </c>
      <c r="S3646" s="17">
        <f t="shared" si="230"/>
        <v>42409.241747685184</v>
      </c>
      <c r="T3646" s="17">
        <f t="shared" si="231"/>
        <v>42437.207638888889</v>
      </c>
      <c r="U3646">
        <f>MONTH(Table1[[#This Row],[Launched]])</f>
        <v>2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8220</v>
      </c>
      <c r="G3647" t="s">
        <v>8228</v>
      </c>
      <c r="H3647" t="s">
        <v>8250</v>
      </c>
      <c r="I3647" s="8">
        <v>1479773838</v>
      </c>
      <c r="J3647">
        <v>1477178238</v>
      </c>
      <c r="K3647" t="b">
        <v>0</v>
      </c>
      <c r="L3647" s="10">
        <v>1</v>
      </c>
      <c r="M3647" t="b">
        <v>0</v>
      </c>
      <c r="N3647" t="s">
        <v>8303</v>
      </c>
      <c r="O3647" s="11">
        <f t="shared" si="228"/>
        <v>0</v>
      </c>
      <c r="P3647" s="12">
        <f t="shared" si="229"/>
        <v>1</v>
      </c>
      <c r="Q3647" s="14" t="s">
        <v>8314</v>
      </c>
      <c r="R3647" t="s">
        <v>8356</v>
      </c>
      <c r="S3647" s="17">
        <f t="shared" si="230"/>
        <v>42665.970347222217</v>
      </c>
      <c r="T3647" s="17">
        <f t="shared" si="231"/>
        <v>42696.012013888889</v>
      </c>
      <c r="U3647">
        <f>MONTH(Table1[[#This Row],[Launched]])</f>
        <v>10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 s="8">
        <v>1434497400</v>
      </c>
      <c r="J3648">
        <v>1431770802</v>
      </c>
      <c r="K3648" t="b">
        <v>0</v>
      </c>
      <c r="L3648" s="10">
        <v>8</v>
      </c>
      <c r="M3648" t="b">
        <v>0</v>
      </c>
      <c r="N3648" t="s">
        <v>8303</v>
      </c>
      <c r="O3648" s="11">
        <f t="shared" si="228"/>
        <v>5</v>
      </c>
      <c r="P3648" s="12">
        <f t="shared" si="229"/>
        <v>60</v>
      </c>
      <c r="Q3648" s="14" t="s">
        <v>8314</v>
      </c>
      <c r="R3648" t="s">
        <v>8356</v>
      </c>
      <c r="S3648" s="17">
        <f t="shared" si="230"/>
        <v>42140.421319444446</v>
      </c>
      <c r="T3648" s="17">
        <f t="shared" si="231"/>
        <v>42171.979166666672</v>
      </c>
      <c r="U3648">
        <f>MONTH(Table1[[#This Row],[Launched]])</f>
        <v>5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8220</v>
      </c>
      <c r="G3649" t="s">
        <v>8224</v>
      </c>
      <c r="H3649" t="s">
        <v>8246</v>
      </c>
      <c r="I3649" s="8">
        <v>1475258327</v>
      </c>
      <c r="J3649">
        <v>1471370327</v>
      </c>
      <c r="K3649" t="b">
        <v>0</v>
      </c>
      <c r="L3649" s="10">
        <v>2</v>
      </c>
      <c r="M3649" t="b">
        <v>0</v>
      </c>
      <c r="N3649" t="s">
        <v>8303</v>
      </c>
      <c r="O3649" s="11">
        <f t="shared" si="228"/>
        <v>6</v>
      </c>
      <c r="P3649" s="12">
        <f t="shared" si="229"/>
        <v>15</v>
      </c>
      <c r="Q3649" s="14" t="s">
        <v>8314</v>
      </c>
      <c r="R3649" t="s">
        <v>8356</v>
      </c>
      <c r="S3649" s="17">
        <f t="shared" si="230"/>
        <v>42598.749155092592</v>
      </c>
      <c r="T3649" s="17">
        <f t="shared" si="231"/>
        <v>42643.749155092592</v>
      </c>
      <c r="U3649">
        <f>MONTH(Table1[[#This Row],[Launched]])</f>
        <v>8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 s="8">
        <v>1412492445</v>
      </c>
      <c r="J3650">
        <v>1409900445</v>
      </c>
      <c r="K3650" t="b">
        <v>0</v>
      </c>
      <c r="L3650" s="10">
        <v>73</v>
      </c>
      <c r="M3650" t="b">
        <v>1</v>
      </c>
      <c r="N3650" t="s">
        <v>8269</v>
      </c>
      <c r="O3650" s="11">
        <f t="shared" ref="O3650:O3713" si="232">ROUND(E3650/D3650*100,0)</f>
        <v>100</v>
      </c>
      <c r="P3650" s="12">
        <f t="shared" si="229"/>
        <v>550</v>
      </c>
      <c r="Q3650" s="14" t="s">
        <v>8314</v>
      </c>
      <c r="R3650" t="s">
        <v>8315</v>
      </c>
      <c r="S3650" s="17">
        <f t="shared" si="230"/>
        <v>41887.292187500003</v>
      </c>
      <c r="T3650" s="17">
        <f t="shared" si="231"/>
        <v>41917.292187500003</v>
      </c>
      <c r="U3650">
        <f>MONTH(Table1[[#This Row],[Launched]])</f>
        <v>9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8218</v>
      </c>
      <c r="G3651" t="s">
        <v>8228</v>
      </c>
      <c r="H3651" t="s">
        <v>8250</v>
      </c>
      <c r="I3651" s="8">
        <v>1402938394</v>
      </c>
      <c r="J3651">
        <v>1400691994</v>
      </c>
      <c r="K3651" t="b">
        <v>0</v>
      </c>
      <c r="L3651" s="10">
        <v>8</v>
      </c>
      <c r="M3651" t="b">
        <v>1</v>
      </c>
      <c r="N3651" t="s">
        <v>8269</v>
      </c>
      <c r="O3651" s="11">
        <f t="shared" si="232"/>
        <v>104</v>
      </c>
      <c r="P3651" s="12">
        <f t="shared" ref="P3651:P3714" si="233">IFERROR(ROUND(E3651/L3651,),"No Backers")</f>
        <v>98</v>
      </c>
      <c r="Q3651" s="14" t="s">
        <v>8314</v>
      </c>
      <c r="R3651" t="s">
        <v>8315</v>
      </c>
      <c r="S3651" s="17">
        <f t="shared" ref="S3651:S3714" si="234">(((J3651/60)/60)/24)+DATE(1970,1,1)</f>
        <v>41780.712893518517</v>
      </c>
      <c r="T3651" s="17">
        <f t="shared" ref="T3651:T3714" si="235">(((I3651/60)/60)/24)+DATE(1970,1,1)</f>
        <v>41806.712893518517</v>
      </c>
      <c r="U3651">
        <f>MONTH(Table1[[#This Row],[Launched]])</f>
        <v>5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8218</v>
      </c>
      <c r="G3652" t="s">
        <v>8224</v>
      </c>
      <c r="H3652" t="s">
        <v>8246</v>
      </c>
      <c r="I3652" s="8">
        <v>1454412584</v>
      </c>
      <c r="J3652">
        <v>1452598184</v>
      </c>
      <c r="K3652" t="b">
        <v>0</v>
      </c>
      <c r="L3652" s="10">
        <v>17</v>
      </c>
      <c r="M3652" t="b">
        <v>1</v>
      </c>
      <c r="N3652" t="s">
        <v>8269</v>
      </c>
      <c r="O3652" s="11">
        <f t="shared" si="232"/>
        <v>100</v>
      </c>
      <c r="P3652" s="12">
        <f t="shared" si="233"/>
        <v>29</v>
      </c>
      <c r="Q3652" s="14" t="s">
        <v>8314</v>
      </c>
      <c r="R3652" t="s">
        <v>8315</v>
      </c>
      <c r="S3652" s="17">
        <f t="shared" si="234"/>
        <v>42381.478981481487</v>
      </c>
      <c r="T3652" s="17">
        <f t="shared" si="235"/>
        <v>42402.478981481487</v>
      </c>
      <c r="U3652">
        <f>MONTH(Table1[[#This Row],[Launched]])</f>
        <v>1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8218</v>
      </c>
      <c r="G3653" t="s">
        <v>8223</v>
      </c>
      <c r="H3653" t="s">
        <v>8245</v>
      </c>
      <c r="I3653" s="8">
        <v>1407686340</v>
      </c>
      <c r="J3653">
        <v>1404833442</v>
      </c>
      <c r="K3653" t="b">
        <v>0</v>
      </c>
      <c r="L3653" s="10">
        <v>9</v>
      </c>
      <c r="M3653" t="b">
        <v>1</v>
      </c>
      <c r="N3653" t="s">
        <v>8269</v>
      </c>
      <c r="O3653" s="11">
        <f t="shared" si="232"/>
        <v>104</v>
      </c>
      <c r="P3653" s="12">
        <f t="shared" si="233"/>
        <v>58</v>
      </c>
      <c r="Q3653" s="14" t="s">
        <v>8314</v>
      </c>
      <c r="R3653" t="s">
        <v>8315</v>
      </c>
      <c r="S3653" s="17">
        <f t="shared" si="234"/>
        <v>41828.646319444444</v>
      </c>
      <c r="T3653" s="17">
        <f t="shared" si="235"/>
        <v>41861.665972222225</v>
      </c>
      <c r="U3653">
        <f>MONTH(Table1[[#This Row],[Launched]])</f>
        <v>7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8218</v>
      </c>
      <c r="G3654" t="s">
        <v>8228</v>
      </c>
      <c r="H3654" t="s">
        <v>8250</v>
      </c>
      <c r="I3654" s="8">
        <v>1472097540</v>
      </c>
      <c r="J3654">
        <v>1471188502</v>
      </c>
      <c r="K3654" t="b">
        <v>0</v>
      </c>
      <c r="L3654" s="10">
        <v>17</v>
      </c>
      <c r="M3654" t="b">
        <v>1</v>
      </c>
      <c r="N3654" t="s">
        <v>8269</v>
      </c>
      <c r="O3654" s="11">
        <f t="shared" si="232"/>
        <v>251</v>
      </c>
      <c r="P3654" s="12">
        <f t="shared" si="233"/>
        <v>44</v>
      </c>
      <c r="Q3654" s="14" t="s">
        <v>8314</v>
      </c>
      <c r="R3654" t="s">
        <v>8315</v>
      </c>
      <c r="S3654" s="17">
        <f t="shared" si="234"/>
        <v>42596.644699074073</v>
      </c>
      <c r="T3654" s="17">
        <f t="shared" si="235"/>
        <v>42607.165972222225</v>
      </c>
      <c r="U3654">
        <f>MONTH(Table1[[#This Row],[Launched]])</f>
        <v>8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 s="8">
        <v>1438764207</v>
      </c>
      <c r="J3655">
        <v>1436172207</v>
      </c>
      <c r="K3655" t="b">
        <v>0</v>
      </c>
      <c r="L3655" s="10">
        <v>33</v>
      </c>
      <c r="M3655" t="b">
        <v>1</v>
      </c>
      <c r="N3655" t="s">
        <v>8269</v>
      </c>
      <c r="O3655" s="11">
        <f t="shared" si="232"/>
        <v>101</v>
      </c>
      <c r="P3655" s="12">
        <f t="shared" si="233"/>
        <v>61</v>
      </c>
      <c r="Q3655" s="14" t="s">
        <v>8314</v>
      </c>
      <c r="R3655" t="s">
        <v>8315</v>
      </c>
      <c r="S3655" s="17">
        <f t="shared" si="234"/>
        <v>42191.363506944443</v>
      </c>
      <c r="T3655" s="17">
        <f t="shared" si="235"/>
        <v>42221.363506944443</v>
      </c>
      <c r="U3655">
        <f>MONTH(Table1[[#This Row],[Launched]])</f>
        <v>7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 s="8">
        <v>1459702800</v>
      </c>
      <c r="J3656">
        <v>1457690386</v>
      </c>
      <c r="K3656" t="b">
        <v>0</v>
      </c>
      <c r="L3656" s="10">
        <v>38</v>
      </c>
      <c r="M3656" t="b">
        <v>1</v>
      </c>
      <c r="N3656" t="s">
        <v>8269</v>
      </c>
      <c r="O3656" s="11">
        <f t="shared" si="232"/>
        <v>174</v>
      </c>
      <c r="P3656" s="12">
        <f t="shared" si="233"/>
        <v>69</v>
      </c>
      <c r="Q3656" s="14" t="s">
        <v>8314</v>
      </c>
      <c r="R3656" t="s">
        <v>8315</v>
      </c>
      <c r="S3656" s="17">
        <f t="shared" si="234"/>
        <v>42440.416504629626</v>
      </c>
      <c r="T3656" s="17">
        <f t="shared" si="235"/>
        <v>42463.708333333328</v>
      </c>
      <c r="U3656">
        <f>MONTH(Table1[[#This Row],[Launched]])</f>
        <v>3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 s="8">
        <v>1437202740</v>
      </c>
      <c r="J3657">
        <v>1434654998</v>
      </c>
      <c r="K3657" t="b">
        <v>0</v>
      </c>
      <c r="L3657" s="10">
        <v>79</v>
      </c>
      <c r="M3657" t="b">
        <v>1</v>
      </c>
      <c r="N3657" t="s">
        <v>8269</v>
      </c>
      <c r="O3657" s="11">
        <f t="shared" si="232"/>
        <v>116</v>
      </c>
      <c r="P3657" s="12">
        <f t="shared" si="233"/>
        <v>74</v>
      </c>
      <c r="Q3657" s="14" t="s">
        <v>8314</v>
      </c>
      <c r="R3657" t="s">
        <v>8315</v>
      </c>
      <c r="S3657" s="17">
        <f t="shared" si="234"/>
        <v>42173.803217592591</v>
      </c>
      <c r="T3657" s="17">
        <f t="shared" si="235"/>
        <v>42203.290972222225</v>
      </c>
      <c r="U3657">
        <f>MONTH(Table1[[#This Row],[Launched]])</f>
        <v>6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 s="8">
        <v>1485989940</v>
      </c>
      <c r="J3658">
        <v>1483393836</v>
      </c>
      <c r="K3658" t="b">
        <v>0</v>
      </c>
      <c r="L3658" s="10">
        <v>46</v>
      </c>
      <c r="M3658" t="b">
        <v>1</v>
      </c>
      <c r="N3658" t="s">
        <v>8269</v>
      </c>
      <c r="O3658" s="11">
        <f t="shared" si="232"/>
        <v>106</v>
      </c>
      <c r="P3658" s="12">
        <f t="shared" si="233"/>
        <v>115</v>
      </c>
      <c r="Q3658" s="14" t="s">
        <v>8314</v>
      </c>
      <c r="R3658" t="s">
        <v>8315</v>
      </c>
      <c r="S3658" s="17">
        <f t="shared" si="234"/>
        <v>42737.910138888896</v>
      </c>
      <c r="T3658" s="17">
        <f t="shared" si="235"/>
        <v>42767.957638888889</v>
      </c>
      <c r="U3658">
        <f>MONTH(Table1[[#This Row],[Launched]])</f>
        <v>1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 s="8">
        <v>1464817320</v>
      </c>
      <c r="J3659">
        <v>1462806419</v>
      </c>
      <c r="K3659" t="b">
        <v>0</v>
      </c>
      <c r="L3659" s="10">
        <v>20</v>
      </c>
      <c r="M3659" t="b">
        <v>1</v>
      </c>
      <c r="N3659" t="s">
        <v>8269</v>
      </c>
      <c r="O3659" s="11">
        <f t="shared" si="232"/>
        <v>111</v>
      </c>
      <c r="P3659" s="12">
        <f t="shared" si="233"/>
        <v>111</v>
      </c>
      <c r="Q3659" s="14" t="s">
        <v>8314</v>
      </c>
      <c r="R3659" t="s">
        <v>8315</v>
      </c>
      <c r="S3659" s="17">
        <f t="shared" si="234"/>
        <v>42499.629849537043</v>
      </c>
      <c r="T3659" s="17">
        <f t="shared" si="235"/>
        <v>42522.904166666667</v>
      </c>
      <c r="U3659">
        <f>MONTH(Table1[[#This Row],[Launched]])</f>
        <v>5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 s="8">
        <v>1404273540</v>
      </c>
      <c r="J3660">
        <v>1400272580</v>
      </c>
      <c r="K3660" t="b">
        <v>0</v>
      </c>
      <c r="L3660" s="10">
        <v>20</v>
      </c>
      <c r="M3660" t="b">
        <v>1</v>
      </c>
      <c r="N3660" t="s">
        <v>8269</v>
      </c>
      <c r="O3660" s="11">
        <f t="shared" si="232"/>
        <v>101</v>
      </c>
      <c r="P3660" s="12">
        <f t="shared" si="233"/>
        <v>76</v>
      </c>
      <c r="Q3660" s="14" t="s">
        <v>8314</v>
      </c>
      <c r="R3660" t="s">
        <v>8315</v>
      </c>
      <c r="S3660" s="17">
        <f t="shared" si="234"/>
        <v>41775.858564814815</v>
      </c>
      <c r="T3660" s="17">
        <f t="shared" si="235"/>
        <v>41822.165972222225</v>
      </c>
      <c r="U3660">
        <f>MONTH(Table1[[#This Row],[Launched]])</f>
        <v>5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 s="8">
        <v>1426775940</v>
      </c>
      <c r="J3661">
        <v>1424414350</v>
      </c>
      <c r="K3661" t="b">
        <v>0</v>
      </c>
      <c r="L3661" s="10">
        <v>13</v>
      </c>
      <c r="M3661" t="b">
        <v>1</v>
      </c>
      <c r="N3661" t="s">
        <v>8269</v>
      </c>
      <c r="O3661" s="11">
        <f t="shared" si="232"/>
        <v>102</v>
      </c>
      <c r="P3661" s="12">
        <f t="shared" si="233"/>
        <v>235</v>
      </c>
      <c r="Q3661" s="14" t="s">
        <v>8314</v>
      </c>
      <c r="R3661" t="s">
        <v>8315</v>
      </c>
      <c r="S3661" s="17">
        <f t="shared" si="234"/>
        <v>42055.277199074073</v>
      </c>
      <c r="T3661" s="17">
        <f t="shared" si="235"/>
        <v>42082.610416666663</v>
      </c>
      <c r="U3661">
        <f>MONTH(Table1[[#This Row],[Launched]])</f>
        <v>2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8218</v>
      </c>
      <c r="G3662" t="s">
        <v>8224</v>
      </c>
      <c r="H3662" t="s">
        <v>8246</v>
      </c>
      <c r="I3662" s="8">
        <v>1419368925</v>
      </c>
      <c r="J3662">
        <v>1417208925</v>
      </c>
      <c r="K3662" t="b">
        <v>0</v>
      </c>
      <c r="L3662" s="10">
        <v>22</v>
      </c>
      <c r="M3662" t="b">
        <v>1</v>
      </c>
      <c r="N3662" t="s">
        <v>8269</v>
      </c>
      <c r="O3662" s="11">
        <f t="shared" si="232"/>
        <v>100</v>
      </c>
      <c r="P3662" s="12">
        <f t="shared" si="233"/>
        <v>11</v>
      </c>
      <c r="Q3662" s="14" t="s">
        <v>8314</v>
      </c>
      <c r="R3662" t="s">
        <v>8315</v>
      </c>
      <c r="S3662" s="17">
        <f t="shared" si="234"/>
        <v>41971.881076388891</v>
      </c>
      <c r="T3662" s="17">
        <f t="shared" si="235"/>
        <v>41996.881076388891</v>
      </c>
      <c r="U3662">
        <f>MONTH(Table1[[#This Row],[Launched]])</f>
        <v>11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 s="8">
        <v>1460260800</v>
      </c>
      <c r="J3663">
        <v>1458336672</v>
      </c>
      <c r="K3663" t="b">
        <v>0</v>
      </c>
      <c r="L3663" s="10">
        <v>36</v>
      </c>
      <c r="M3663" t="b">
        <v>1</v>
      </c>
      <c r="N3663" t="s">
        <v>8269</v>
      </c>
      <c r="O3663" s="11">
        <f t="shared" si="232"/>
        <v>111</v>
      </c>
      <c r="P3663" s="12">
        <f t="shared" si="233"/>
        <v>93</v>
      </c>
      <c r="Q3663" s="14" t="s">
        <v>8314</v>
      </c>
      <c r="R3663" t="s">
        <v>8315</v>
      </c>
      <c r="S3663" s="17">
        <f t="shared" si="234"/>
        <v>42447.896666666667</v>
      </c>
      <c r="T3663" s="17">
        <f t="shared" si="235"/>
        <v>42470.166666666672</v>
      </c>
      <c r="U3663">
        <f>MONTH(Table1[[#This Row],[Launched]])</f>
        <v>3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 s="8">
        <v>1427775414</v>
      </c>
      <c r="J3664">
        <v>1425187014</v>
      </c>
      <c r="K3664" t="b">
        <v>0</v>
      </c>
      <c r="L3664" s="10">
        <v>40</v>
      </c>
      <c r="M3664" t="b">
        <v>1</v>
      </c>
      <c r="N3664" t="s">
        <v>8269</v>
      </c>
      <c r="O3664" s="11">
        <f t="shared" si="232"/>
        <v>101</v>
      </c>
      <c r="P3664" s="12">
        <f t="shared" si="233"/>
        <v>203</v>
      </c>
      <c r="Q3664" s="14" t="s">
        <v>8314</v>
      </c>
      <c r="R3664" t="s">
        <v>8315</v>
      </c>
      <c r="S3664" s="17">
        <f t="shared" si="234"/>
        <v>42064.220069444447</v>
      </c>
      <c r="T3664" s="17">
        <f t="shared" si="235"/>
        <v>42094.178402777776</v>
      </c>
      <c r="U3664">
        <f>MONTH(Table1[[#This Row],[Launched]])</f>
        <v>3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8218</v>
      </c>
      <c r="G3665" t="s">
        <v>8224</v>
      </c>
      <c r="H3665" t="s">
        <v>8246</v>
      </c>
      <c r="I3665" s="8">
        <v>1482321030</v>
      </c>
      <c r="J3665">
        <v>1477133430</v>
      </c>
      <c r="K3665" t="b">
        <v>0</v>
      </c>
      <c r="L3665" s="10">
        <v>9</v>
      </c>
      <c r="M3665" t="b">
        <v>1</v>
      </c>
      <c r="N3665" t="s">
        <v>8269</v>
      </c>
      <c r="O3665" s="11">
        <f t="shared" si="232"/>
        <v>104</v>
      </c>
      <c r="P3665" s="12">
        <f t="shared" si="233"/>
        <v>26</v>
      </c>
      <c r="Q3665" s="14" t="s">
        <v>8314</v>
      </c>
      <c r="R3665" t="s">
        <v>8315</v>
      </c>
      <c r="S3665" s="17">
        <f t="shared" si="234"/>
        <v>42665.451736111107</v>
      </c>
      <c r="T3665" s="17">
        <f t="shared" si="235"/>
        <v>42725.493402777778</v>
      </c>
      <c r="U3665">
        <f>MONTH(Table1[[#This Row],[Launched]])</f>
        <v>10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8218</v>
      </c>
      <c r="G3666" t="s">
        <v>8223</v>
      </c>
      <c r="H3666" t="s">
        <v>8245</v>
      </c>
      <c r="I3666" s="8">
        <v>1466056689</v>
      </c>
      <c r="J3666">
        <v>1464847089</v>
      </c>
      <c r="K3666" t="b">
        <v>0</v>
      </c>
      <c r="L3666" s="10">
        <v>19</v>
      </c>
      <c r="M3666" t="b">
        <v>1</v>
      </c>
      <c r="N3666" t="s">
        <v>8269</v>
      </c>
      <c r="O3666" s="11">
        <f t="shared" si="232"/>
        <v>109</v>
      </c>
      <c r="P3666" s="12">
        <f t="shared" si="233"/>
        <v>46</v>
      </c>
      <c r="Q3666" s="14" t="s">
        <v>8314</v>
      </c>
      <c r="R3666" t="s">
        <v>8315</v>
      </c>
      <c r="S3666" s="17">
        <f t="shared" si="234"/>
        <v>42523.248715277776</v>
      </c>
      <c r="T3666" s="17">
        <f t="shared" si="235"/>
        <v>42537.248715277776</v>
      </c>
      <c r="U3666">
        <f>MONTH(Table1[[#This Row],[Launched]])</f>
        <v>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8218</v>
      </c>
      <c r="G3667" t="s">
        <v>8229</v>
      </c>
      <c r="H3667" t="s">
        <v>8248</v>
      </c>
      <c r="I3667" s="8">
        <v>1446062040</v>
      </c>
      <c r="J3667">
        <v>1445109822</v>
      </c>
      <c r="K3667" t="b">
        <v>0</v>
      </c>
      <c r="L3667" s="10">
        <v>14</v>
      </c>
      <c r="M3667" t="b">
        <v>1</v>
      </c>
      <c r="N3667" t="s">
        <v>8269</v>
      </c>
      <c r="O3667" s="11">
        <f t="shared" si="232"/>
        <v>115</v>
      </c>
      <c r="P3667" s="12">
        <f t="shared" si="233"/>
        <v>51</v>
      </c>
      <c r="Q3667" s="14" t="s">
        <v>8314</v>
      </c>
      <c r="R3667" t="s">
        <v>8315</v>
      </c>
      <c r="S3667" s="17">
        <f t="shared" si="234"/>
        <v>42294.808124999996</v>
      </c>
      <c r="T3667" s="17">
        <f t="shared" si="235"/>
        <v>42305.829166666663</v>
      </c>
      <c r="U3667">
        <f>MONTH(Table1[[#This Row],[Launched]])</f>
        <v>10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 s="8">
        <v>1406185200</v>
      </c>
      <c r="J3668">
        <v>1404337382</v>
      </c>
      <c r="K3668" t="b">
        <v>0</v>
      </c>
      <c r="L3668" s="10">
        <v>38</v>
      </c>
      <c r="M3668" t="b">
        <v>1</v>
      </c>
      <c r="N3668" t="s">
        <v>8269</v>
      </c>
      <c r="O3668" s="11">
        <f t="shared" si="232"/>
        <v>100</v>
      </c>
      <c r="P3668" s="12">
        <f t="shared" si="233"/>
        <v>32</v>
      </c>
      <c r="Q3668" s="14" t="s">
        <v>8314</v>
      </c>
      <c r="R3668" t="s">
        <v>8315</v>
      </c>
      <c r="S3668" s="17">
        <f t="shared" si="234"/>
        <v>41822.90488425926</v>
      </c>
      <c r="T3668" s="17">
        <f t="shared" si="235"/>
        <v>41844.291666666664</v>
      </c>
      <c r="U3668">
        <f>MONTH(Table1[[#This Row],[Launched]])</f>
        <v>7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 s="8">
        <v>1437261419</v>
      </c>
      <c r="J3669">
        <v>1434669419</v>
      </c>
      <c r="K3669" t="b">
        <v>0</v>
      </c>
      <c r="L3669" s="10">
        <v>58</v>
      </c>
      <c r="M3669" t="b">
        <v>1</v>
      </c>
      <c r="N3669" t="s">
        <v>8269</v>
      </c>
      <c r="O3669" s="11">
        <f t="shared" si="232"/>
        <v>103</v>
      </c>
      <c r="P3669" s="12">
        <f t="shared" si="233"/>
        <v>53</v>
      </c>
      <c r="Q3669" s="14" t="s">
        <v>8314</v>
      </c>
      <c r="R3669" t="s">
        <v>8315</v>
      </c>
      <c r="S3669" s="17">
        <f t="shared" si="234"/>
        <v>42173.970127314817</v>
      </c>
      <c r="T3669" s="17">
        <f t="shared" si="235"/>
        <v>42203.970127314817</v>
      </c>
      <c r="U3669">
        <f>MONTH(Table1[[#This Row],[Launched]])</f>
        <v>6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 s="8">
        <v>1437676380</v>
      </c>
      <c r="J3670">
        <v>1435670452</v>
      </c>
      <c r="K3670" t="b">
        <v>0</v>
      </c>
      <c r="L3670" s="10">
        <v>28</v>
      </c>
      <c r="M3670" t="b">
        <v>1</v>
      </c>
      <c r="N3670" t="s">
        <v>8269</v>
      </c>
      <c r="O3670" s="11">
        <f t="shared" si="232"/>
        <v>104</v>
      </c>
      <c r="P3670" s="12">
        <f t="shared" si="233"/>
        <v>37</v>
      </c>
      <c r="Q3670" s="14" t="s">
        <v>8314</v>
      </c>
      <c r="R3670" t="s">
        <v>8315</v>
      </c>
      <c r="S3670" s="17">
        <f t="shared" si="234"/>
        <v>42185.556157407409</v>
      </c>
      <c r="T3670" s="17">
        <f t="shared" si="235"/>
        <v>42208.772916666669</v>
      </c>
      <c r="U3670">
        <f>MONTH(Table1[[#This Row],[Launched]])</f>
        <v>6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 s="8">
        <v>1434039137</v>
      </c>
      <c r="J3671">
        <v>1431447137</v>
      </c>
      <c r="K3671" t="b">
        <v>0</v>
      </c>
      <c r="L3671" s="10">
        <v>17</v>
      </c>
      <c r="M3671" t="b">
        <v>1</v>
      </c>
      <c r="N3671" t="s">
        <v>8269</v>
      </c>
      <c r="O3671" s="11">
        <f t="shared" si="232"/>
        <v>138</v>
      </c>
      <c r="P3671" s="12">
        <f t="shared" si="233"/>
        <v>81</v>
      </c>
      <c r="Q3671" s="14" t="s">
        <v>8314</v>
      </c>
      <c r="R3671" t="s">
        <v>8315</v>
      </c>
      <c r="S3671" s="17">
        <f t="shared" si="234"/>
        <v>42136.675196759257</v>
      </c>
      <c r="T3671" s="17">
        <f t="shared" si="235"/>
        <v>42166.675196759257</v>
      </c>
      <c r="U3671">
        <f>MONTH(Table1[[#This Row],[Launched]])</f>
        <v>5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8218</v>
      </c>
      <c r="G3672" t="s">
        <v>8224</v>
      </c>
      <c r="H3672" t="s">
        <v>8246</v>
      </c>
      <c r="I3672" s="8">
        <v>1433113200</v>
      </c>
      <c r="J3672">
        <v>1431951611</v>
      </c>
      <c r="K3672" t="b">
        <v>0</v>
      </c>
      <c r="L3672" s="10">
        <v>12</v>
      </c>
      <c r="M3672" t="b">
        <v>1</v>
      </c>
      <c r="N3672" t="s">
        <v>8269</v>
      </c>
      <c r="O3672" s="11">
        <f t="shared" si="232"/>
        <v>110</v>
      </c>
      <c r="P3672" s="12">
        <f t="shared" si="233"/>
        <v>20</v>
      </c>
      <c r="Q3672" s="14" t="s">
        <v>8314</v>
      </c>
      <c r="R3672" t="s">
        <v>8315</v>
      </c>
      <c r="S3672" s="17">
        <f t="shared" si="234"/>
        <v>42142.514016203699</v>
      </c>
      <c r="T3672" s="17">
        <f t="shared" si="235"/>
        <v>42155.958333333328</v>
      </c>
      <c r="U3672">
        <f>MONTH(Table1[[#This Row],[Launched]])</f>
        <v>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 s="8">
        <v>1405915140</v>
      </c>
      <c r="J3673">
        <v>1404140667</v>
      </c>
      <c r="K3673" t="b">
        <v>0</v>
      </c>
      <c r="L3673" s="10">
        <v>40</v>
      </c>
      <c r="M3673" t="b">
        <v>1</v>
      </c>
      <c r="N3673" t="s">
        <v>8269</v>
      </c>
      <c r="O3673" s="11">
        <f t="shared" si="232"/>
        <v>101</v>
      </c>
      <c r="P3673" s="12">
        <f t="shared" si="233"/>
        <v>88</v>
      </c>
      <c r="Q3673" s="14" t="s">
        <v>8314</v>
      </c>
      <c r="R3673" t="s">
        <v>8315</v>
      </c>
      <c r="S3673" s="17">
        <f t="shared" si="234"/>
        <v>41820.62809027778</v>
      </c>
      <c r="T3673" s="17">
        <f t="shared" si="235"/>
        <v>41841.165972222225</v>
      </c>
      <c r="U3673">
        <f>MONTH(Table1[[#This Row],[Launched]])</f>
        <v>6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 s="8">
        <v>1411771384</v>
      </c>
      <c r="J3674">
        <v>1409179384</v>
      </c>
      <c r="K3674" t="b">
        <v>0</v>
      </c>
      <c r="L3674" s="10">
        <v>57</v>
      </c>
      <c r="M3674" t="b">
        <v>1</v>
      </c>
      <c r="N3674" t="s">
        <v>8269</v>
      </c>
      <c r="O3674" s="11">
        <f t="shared" si="232"/>
        <v>102</v>
      </c>
      <c r="P3674" s="12">
        <f t="shared" si="233"/>
        <v>53</v>
      </c>
      <c r="Q3674" s="14" t="s">
        <v>8314</v>
      </c>
      <c r="R3674" t="s">
        <v>8315</v>
      </c>
      <c r="S3674" s="17">
        <f t="shared" si="234"/>
        <v>41878.946574074071</v>
      </c>
      <c r="T3674" s="17">
        <f t="shared" si="235"/>
        <v>41908.946574074071</v>
      </c>
      <c r="U3674">
        <f>MONTH(Table1[[#This Row],[Launched]])</f>
        <v>8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 s="8">
        <v>1415191920</v>
      </c>
      <c r="J3675">
        <v>1412233497</v>
      </c>
      <c r="K3675" t="b">
        <v>0</v>
      </c>
      <c r="L3675" s="10">
        <v>114</v>
      </c>
      <c r="M3675" t="b">
        <v>1</v>
      </c>
      <c r="N3675" t="s">
        <v>8269</v>
      </c>
      <c r="O3675" s="11">
        <f t="shared" si="232"/>
        <v>114</v>
      </c>
      <c r="P3675" s="12">
        <f t="shared" si="233"/>
        <v>40</v>
      </c>
      <c r="Q3675" s="14" t="s">
        <v>8314</v>
      </c>
      <c r="R3675" t="s">
        <v>8315</v>
      </c>
      <c r="S3675" s="17">
        <f t="shared" si="234"/>
        <v>41914.295104166667</v>
      </c>
      <c r="T3675" s="17">
        <f t="shared" si="235"/>
        <v>41948.536111111112</v>
      </c>
      <c r="U3675">
        <f>MONTH(Table1[[#This Row],[Launched]])</f>
        <v>10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 s="8">
        <v>1472936229</v>
      </c>
      <c r="J3676">
        <v>1467752229</v>
      </c>
      <c r="K3676" t="b">
        <v>0</v>
      </c>
      <c r="L3676" s="10">
        <v>31</v>
      </c>
      <c r="M3676" t="b">
        <v>1</v>
      </c>
      <c r="N3676" t="s">
        <v>8269</v>
      </c>
      <c r="O3676" s="11">
        <f t="shared" si="232"/>
        <v>100</v>
      </c>
      <c r="P3676" s="12">
        <f t="shared" si="233"/>
        <v>145</v>
      </c>
      <c r="Q3676" s="14" t="s">
        <v>8314</v>
      </c>
      <c r="R3676" t="s">
        <v>8315</v>
      </c>
      <c r="S3676" s="17">
        <f t="shared" si="234"/>
        <v>42556.873020833329</v>
      </c>
      <c r="T3676" s="17">
        <f t="shared" si="235"/>
        <v>42616.873020833329</v>
      </c>
      <c r="U3676">
        <f>MONTH(Table1[[#This Row],[Launched]])</f>
        <v>7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8218</v>
      </c>
      <c r="G3677" t="s">
        <v>8224</v>
      </c>
      <c r="H3677" t="s">
        <v>8246</v>
      </c>
      <c r="I3677" s="8">
        <v>1463353200</v>
      </c>
      <c r="J3677">
        <v>1462285182</v>
      </c>
      <c r="K3677" t="b">
        <v>0</v>
      </c>
      <c r="L3677" s="10">
        <v>3</v>
      </c>
      <c r="M3677" t="b">
        <v>1</v>
      </c>
      <c r="N3677" t="s">
        <v>8269</v>
      </c>
      <c r="O3677" s="11">
        <f t="shared" si="232"/>
        <v>140</v>
      </c>
      <c r="P3677" s="12">
        <f t="shared" si="233"/>
        <v>23</v>
      </c>
      <c r="Q3677" s="14" t="s">
        <v>8314</v>
      </c>
      <c r="R3677" t="s">
        <v>8315</v>
      </c>
      <c r="S3677" s="17">
        <f t="shared" si="234"/>
        <v>42493.597013888888</v>
      </c>
      <c r="T3677" s="17">
        <f t="shared" si="235"/>
        <v>42505.958333333328</v>
      </c>
      <c r="U3677">
        <f>MONTH(Table1[[#This Row],[Launched]])</f>
        <v>5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8218</v>
      </c>
      <c r="G3678" t="s">
        <v>8223</v>
      </c>
      <c r="H3678" t="s">
        <v>8245</v>
      </c>
      <c r="I3678" s="8">
        <v>1410550484</v>
      </c>
      <c r="J3678">
        <v>1408995284</v>
      </c>
      <c r="K3678" t="b">
        <v>0</v>
      </c>
      <c r="L3678" s="10">
        <v>16</v>
      </c>
      <c r="M3678" t="b">
        <v>1</v>
      </c>
      <c r="N3678" t="s">
        <v>8269</v>
      </c>
      <c r="O3678" s="11">
        <f t="shared" si="232"/>
        <v>129</v>
      </c>
      <c r="P3678" s="12">
        <f t="shared" si="233"/>
        <v>64</v>
      </c>
      <c r="Q3678" s="14" t="s">
        <v>8314</v>
      </c>
      <c r="R3678" t="s">
        <v>8315</v>
      </c>
      <c r="S3678" s="17">
        <f t="shared" si="234"/>
        <v>41876.815787037034</v>
      </c>
      <c r="T3678" s="17">
        <f t="shared" si="235"/>
        <v>41894.815787037034</v>
      </c>
      <c r="U3678">
        <f>MONTH(Table1[[#This Row],[Launched]])</f>
        <v>8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 s="8">
        <v>1404359940</v>
      </c>
      <c r="J3679">
        <v>1402580818</v>
      </c>
      <c r="K3679" t="b">
        <v>0</v>
      </c>
      <c r="L3679" s="10">
        <v>199</v>
      </c>
      <c r="M3679" t="b">
        <v>1</v>
      </c>
      <c r="N3679" t="s">
        <v>8269</v>
      </c>
      <c r="O3679" s="11">
        <f t="shared" si="232"/>
        <v>103</v>
      </c>
      <c r="P3679" s="12">
        <f t="shared" si="233"/>
        <v>62</v>
      </c>
      <c r="Q3679" s="14" t="s">
        <v>8314</v>
      </c>
      <c r="R3679" t="s">
        <v>8315</v>
      </c>
      <c r="S3679" s="17">
        <f t="shared" si="234"/>
        <v>41802.574282407404</v>
      </c>
      <c r="T3679" s="17">
        <f t="shared" si="235"/>
        <v>41823.165972222225</v>
      </c>
      <c r="U3679">
        <f>MONTH(Table1[[#This Row],[Launched]])</f>
        <v>6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 s="8">
        <v>1433076298</v>
      </c>
      <c r="J3680">
        <v>1430052298</v>
      </c>
      <c r="K3680" t="b">
        <v>0</v>
      </c>
      <c r="L3680" s="10">
        <v>31</v>
      </c>
      <c r="M3680" t="b">
        <v>1</v>
      </c>
      <c r="N3680" t="s">
        <v>8269</v>
      </c>
      <c r="O3680" s="11">
        <f t="shared" si="232"/>
        <v>103</v>
      </c>
      <c r="P3680" s="12">
        <f t="shared" si="233"/>
        <v>66</v>
      </c>
      <c r="Q3680" s="14" t="s">
        <v>8314</v>
      </c>
      <c r="R3680" t="s">
        <v>8315</v>
      </c>
      <c r="S3680" s="17">
        <f t="shared" si="234"/>
        <v>42120.531226851846</v>
      </c>
      <c r="T3680" s="17">
        <f t="shared" si="235"/>
        <v>42155.531226851846</v>
      </c>
      <c r="U3680">
        <f>MONTH(Table1[[#This Row],[Launched]])</f>
        <v>4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 s="8">
        <v>1404190740</v>
      </c>
      <c r="J3681">
        <v>1401214581</v>
      </c>
      <c r="K3681" t="b">
        <v>0</v>
      </c>
      <c r="L3681" s="10">
        <v>30</v>
      </c>
      <c r="M3681" t="b">
        <v>1</v>
      </c>
      <c r="N3681" t="s">
        <v>8269</v>
      </c>
      <c r="O3681" s="11">
        <f t="shared" si="232"/>
        <v>110</v>
      </c>
      <c r="P3681" s="12">
        <f t="shared" si="233"/>
        <v>73</v>
      </c>
      <c r="Q3681" s="14" t="s">
        <v>8314</v>
      </c>
      <c r="R3681" t="s">
        <v>8315</v>
      </c>
      <c r="S3681" s="17">
        <f t="shared" si="234"/>
        <v>41786.761354166665</v>
      </c>
      <c r="T3681" s="17">
        <f t="shared" si="235"/>
        <v>41821.207638888889</v>
      </c>
      <c r="U3681">
        <f>MONTH(Table1[[#This Row],[Launched]])</f>
        <v>5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 s="8">
        <v>1475664834</v>
      </c>
      <c r="J3682">
        <v>1473850434</v>
      </c>
      <c r="K3682" t="b">
        <v>0</v>
      </c>
      <c r="L3682" s="10">
        <v>34</v>
      </c>
      <c r="M3682" t="b">
        <v>1</v>
      </c>
      <c r="N3682" t="s">
        <v>8269</v>
      </c>
      <c r="O3682" s="11">
        <f t="shared" si="232"/>
        <v>113</v>
      </c>
      <c r="P3682" s="12">
        <f t="shared" si="233"/>
        <v>100</v>
      </c>
      <c r="Q3682" s="14" t="s">
        <v>8314</v>
      </c>
      <c r="R3682" t="s">
        <v>8315</v>
      </c>
      <c r="S3682" s="17">
        <f t="shared" si="234"/>
        <v>42627.454097222217</v>
      </c>
      <c r="T3682" s="17">
        <f t="shared" si="235"/>
        <v>42648.454097222217</v>
      </c>
      <c r="U3682">
        <f>MONTH(Table1[[#This Row],[Launched]])</f>
        <v>9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 s="8">
        <v>1452872290</v>
      </c>
      <c r="J3683">
        <v>1452008290</v>
      </c>
      <c r="K3683" t="b">
        <v>0</v>
      </c>
      <c r="L3683" s="10">
        <v>18</v>
      </c>
      <c r="M3683" t="b">
        <v>1</v>
      </c>
      <c r="N3683" t="s">
        <v>8269</v>
      </c>
      <c r="O3683" s="11">
        <f t="shared" si="232"/>
        <v>112</v>
      </c>
      <c r="P3683" s="12">
        <f t="shared" si="233"/>
        <v>62</v>
      </c>
      <c r="Q3683" s="14" t="s">
        <v>8314</v>
      </c>
      <c r="R3683" t="s">
        <v>8315</v>
      </c>
      <c r="S3683" s="17">
        <f t="shared" si="234"/>
        <v>42374.651504629626</v>
      </c>
      <c r="T3683" s="17">
        <f t="shared" si="235"/>
        <v>42384.651504629626</v>
      </c>
      <c r="U3683">
        <f>MONTH(Table1[[#This Row],[Launched]])</f>
        <v>1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 s="8">
        <v>1402901940</v>
      </c>
      <c r="J3684">
        <v>1399998418</v>
      </c>
      <c r="K3684" t="b">
        <v>0</v>
      </c>
      <c r="L3684" s="10">
        <v>67</v>
      </c>
      <c r="M3684" t="b">
        <v>1</v>
      </c>
      <c r="N3684" t="s">
        <v>8269</v>
      </c>
      <c r="O3684" s="11">
        <f t="shared" si="232"/>
        <v>139</v>
      </c>
      <c r="P3684" s="12">
        <f t="shared" si="233"/>
        <v>62</v>
      </c>
      <c r="Q3684" s="14" t="s">
        <v>8314</v>
      </c>
      <c r="R3684" t="s">
        <v>8315</v>
      </c>
      <c r="S3684" s="17">
        <f t="shared" si="234"/>
        <v>41772.685393518521</v>
      </c>
      <c r="T3684" s="17">
        <f t="shared" si="235"/>
        <v>41806.290972222225</v>
      </c>
      <c r="U3684">
        <f>MONTH(Table1[[#This Row],[Launched]])</f>
        <v>5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 s="8">
        <v>1476931696</v>
      </c>
      <c r="J3685">
        <v>1474339696</v>
      </c>
      <c r="K3685" t="b">
        <v>0</v>
      </c>
      <c r="L3685" s="10">
        <v>66</v>
      </c>
      <c r="M3685" t="b">
        <v>1</v>
      </c>
      <c r="N3685" t="s">
        <v>8269</v>
      </c>
      <c r="O3685" s="11">
        <f t="shared" si="232"/>
        <v>111</v>
      </c>
      <c r="P3685" s="12">
        <f t="shared" si="233"/>
        <v>59</v>
      </c>
      <c r="Q3685" s="14" t="s">
        <v>8314</v>
      </c>
      <c r="R3685" t="s">
        <v>8315</v>
      </c>
      <c r="S3685" s="17">
        <f t="shared" si="234"/>
        <v>42633.116851851853</v>
      </c>
      <c r="T3685" s="17">
        <f t="shared" si="235"/>
        <v>42663.116851851853</v>
      </c>
      <c r="U3685">
        <f>MONTH(Table1[[#This Row],[Launched]])</f>
        <v>9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8218</v>
      </c>
      <c r="G3686" t="s">
        <v>8223</v>
      </c>
      <c r="H3686" t="s">
        <v>8245</v>
      </c>
      <c r="I3686" s="8">
        <v>1441167586</v>
      </c>
      <c r="J3686">
        <v>1438575586</v>
      </c>
      <c r="K3686" t="b">
        <v>0</v>
      </c>
      <c r="L3686" s="10">
        <v>23</v>
      </c>
      <c r="M3686" t="b">
        <v>1</v>
      </c>
      <c r="N3686" t="s">
        <v>8269</v>
      </c>
      <c r="O3686" s="11">
        <f t="shared" si="232"/>
        <v>139</v>
      </c>
      <c r="P3686" s="12">
        <f t="shared" si="233"/>
        <v>45</v>
      </c>
      <c r="Q3686" s="14" t="s">
        <v>8314</v>
      </c>
      <c r="R3686" t="s">
        <v>8315</v>
      </c>
      <c r="S3686" s="17">
        <f t="shared" si="234"/>
        <v>42219.180393518516</v>
      </c>
      <c r="T3686" s="17">
        <f t="shared" si="235"/>
        <v>42249.180393518516</v>
      </c>
      <c r="U3686">
        <f>MONTH(Table1[[#This Row],[Launched]])</f>
        <v>8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 s="8">
        <v>1400533200</v>
      </c>
      <c r="J3687">
        <v>1398348859</v>
      </c>
      <c r="K3687" t="b">
        <v>0</v>
      </c>
      <c r="L3687" s="10">
        <v>126</v>
      </c>
      <c r="M3687" t="b">
        <v>1</v>
      </c>
      <c r="N3687" t="s">
        <v>8269</v>
      </c>
      <c r="O3687" s="11">
        <f t="shared" si="232"/>
        <v>106</v>
      </c>
      <c r="P3687" s="12">
        <f t="shared" si="233"/>
        <v>42</v>
      </c>
      <c r="Q3687" s="14" t="s">
        <v>8314</v>
      </c>
      <c r="R3687" t="s">
        <v>8315</v>
      </c>
      <c r="S3687" s="17">
        <f t="shared" si="234"/>
        <v>41753.593275462961</v>
      </c>
      <c r="T3687" s="17">
        <f t="shared" si="235"/>
        <v>41778.875</v>
      </c>
      <c r="U3687">
        <f>MONTH(Table1[[#This Row],[Launched]])</f>
        <v>4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8218</v>
      </c>
      <c r="G3688" t="s">
        <v>8223</v>
      </c>
      <c r="H3688" t="s">
        <v>8245</v>
      </c>
      <c r="I3688" s="8">
        <v>1440820740</v>
      </c>
      <c r="J3688">
        <v>1439567660</v>
      </c>
      <c r="K3688" t="b">
        <v>0</v>
      </c>
      <c r="L3688" s="10">
        <v>6</v>
      </c>
      <c r="M3688" t="b">
        <v>1</v>
      </c>
      <c r="N3688" t="s">
        <v>8269</v>
      </c>
      <c r="O3688" s="11">
        <f t="shared" si="232"/>
        <v>101</v>
      </c>
      <c r="P3688" s="12">
        <f t="shared" si="233"/>
        <v>59</v>
      </c>
      <c r="Q3688" s="14" t="s">
        <v>8314</v>
      </c>
      <c r="R3688" t="s">
        <v>8315</v>
      </c>
      <c r="S3688" s="17">
        <f t="shared" si="234"/>
        <v>42230.662731481483</v>
      </c>
      <c r="T3688" s="17">
        <f t="shared" si="235"/>
        <v>42245.165972222225</v>
      </c>
      <c r="U3688">
        <f>MONTH(Table1[[#This Row],[Launched]])</f>
        <v>8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 s="8">
        <v>1403846055</v>
      </c>
      <c r="J3689">
        <v>1401254055</v>
      </c>
      <c r="K3689" t="b">
        <v>0</v>
      </c>
      <c r="L3689" s="10">
        <v>25</v>
      </c>
      <c r="M3689" t="b">
        <v>1</v>
      </c>
      <c r="N3689" t="s">
        <v>8269</v>
      </c>
      <c r="O3689" s="11">
        <f t="shared" si="232"/>
        <v>100</v>
      </c>
      <c r="P3689" s="12">
        <f t="shared" si="233"/>
        <v>200</v>
      </c>
      <c r="Q3689" s="14" t="s">
        <v>8314</v>
      </c>
      <c r="R3689" t="s">
        <v>8315</v>
      </c>
      <c r="S3689" s="17">
        <f t="shared" si="234"/>
        <v>41787.218229166669</v>
      </c>
      <c r="T3689" s="17">
        <f t="shared" si="235"/>
        <v>41817.218229166669</v>
      </c>
      <c r="U3689">
        <f>MONTH(Table1[[#This Row],[Launched]])</f>
        <v>5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 s="8">
        <v>1407524004</v>
      </c>
      <c r="J3690">
        <v>1404932004</v>
      </c>
      <c r="K3690" t="b">
        <v>0</v>
      </c>
      <c r="L3690" s="10">
        <v>39</v>
      </c>
      <c r="M3690" t="b">
        <v>1</v>
      </c>
      <c r="N3690" t="s">
        <v>8269</v>
      </c>
      <c r="O3690" s="11">
        <f t="shared" si="232"/>
        <v>109</v>
      </c>
      <c r="P3690" s="12">
        <f t="shared" si="233"/>
        <v>84</v>
      </c>
      <c r="Q3690" s="14" t="s">
        <v>8314</v>
      </c>
      <c r="R3690" t="s">
        <v>8315</v>
      </c>
      <c r="S3690" s="17">
        <f t="shared" si="234"/>
        <v>41829.787083333329</v>
      </c>
      <c r="T3690" s="17">
        <f t="shared" si="235"/>
        <v>41859.787083333329</v>
      </c>
      <c r="U3690">
        <f>MONTH(Table1[[#This Row],[Launched]])</f>
        <v>7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 s="8">
        <v>1434925500</v>
      </c>
      <c r="J3691">
        <v>1432410639</v>
      </c>
      <c r="K3691" t="b">
        <v>0</v>
      </c>
      <c r="L3691" s="10">
        <v>62</v>
      </c>
      <c r="M3691" t="b">
        <v>1</v>
      </c>
      <c r="N3691" t="s">
        <v>8269</v>
      </c>
      <c r="O3691" s="11">
        <f t="shared" si="232"/>
        <v>118</v>
      </c>
      <c r="P3691" s="12">
        <f t="shared" si="233"/>
        <v>57</v>
      </c>
      <c r="Q3691" s="14" t="s">
        <v>8314</v>
      </c>
      <c r="R3691" t="s">
        <v>8315</v>
      </c>
      <c r="S3691" s="17">
        <f t="shared" si="234"/>
        <v>42147.826840277776</v>
      </c>
      <c r="T3691" s="17">
        <f t="shared" si="235"/>
        <v>42176.934027777781</v>
      </c>
      <c r="U3691">
        <f>MONTH(Table1[[#This Row],[Launched]])</f>
        <v>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 s="8">
        <v>1417101683</v>
      </c>
      <c r="J3692">
        <v>1414506083</v>
      </c>
      <c r="K3692" t="b">
        <v>0</v>
      </c>
      <c r="L3692" s="10">
        <v>31</v>
      </c>
      <c r="M3692" t="b">
        <v>1</v>
      </c>
      <c r="N3692" t="s">
        <v>8269</v>
      </c>
      <c r="O3692" s="11">
        <f t="shared" si="232"/>
        <v>120</v>
      </c>
      <c r="P3692" s="12">
        <f t="shared" si="233"/>
        <v>58</v>
      </c>
      <c r="Q3692" s="14" t="s">
        <v>8314</v>
      </c>
      <c r="R3692" t="s">
        <v>8315</v>
      </c>
      <c r="S3692" s="17">
        <f t="shared" si="234"/>
        <v>41940.598182870373</v>
      </c>
      <c r="T3692" s="17">
        <f t="shared" si="235"/>
        <v>41970.639849537038</v>
      </c>
      <c r="U3692">
        <f>MONTH(Table1[[#This Row],[Launched]])</f>
        <v>10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 s="8">
        <v>1425272340</v>
      </c>
      <c r="J3693">
        <v>1421426929</v>
      </c>
      <c r="K3693" t="b">
        <v>0</v>
      </c>
      <c r="L3693" s="10">
        <v>274</v>
      </c>
      <c r="M3693" t="b">
        <v>1</v>
      </c>
      <c r="N3693" t="s">
        <v>8269</v>
      </c>
      <c r="O3693" s="11">
        <f t="shared" si="232"/>
        <v>128</v>
      </c>
      <c r="P3693" s="12">
        <f t="shared" si="233"/>
        <v>187</v>
      </c>
      <c r="Q3693" s="14" t="s">
        <v>8314</v>
      </c>
      <c r="R3693" t="s">
        <v>8315</v>
      </c>
      <c r="S3693" s="17">
        <f t="shared" si="234"/>
        <v>42020.700567129628</v>
      </c>
      <c r="T3693" s="17">
        <f t="shared" si="235"/>
        <v>42065.207638888889</v>
      </c>
      <c r="U3693">
        <f>MONTH(Table1[[#This Row],[Launched]])</f>
        <v>1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 s="8">
        <v>1411084800</v>
      </c>
      <c r="J3694">
        <v>1410304179</v>
      </c>
      <c r="K3694" t="b">
        <v>0</v>
      </c>
      <c r="L3694" s="10">
        <v>17</v>
      </c>
      <c r="M3694" t="b">
        <v>1</v>
      </c>
      <c r="N3694" t="s">
        <v>8269</v>
      </c>
      <c r="O3694" s="11">
        <f t="shared" si="232"/>
        <v>126</v>
      </c>
      <c r="P3694" s="12">
        <f t="shared" si="233"/>
        <v>74</v>
      </c>
      <c r="Q3694" s="14" t="s">
        <v>8314</v>
      </c>
      <c r="R3694" t="s">
        <v>8315</v>
      </c>
      <c r="S3694" s="17">
        <f t="shared" si="234"/>
        <v>41891.96503472222</v>
      </c>
      <c r="T3694" s="17">
        <f t="shared" si="235"/>
        <v>41901</v>
      </c>
      <c r="U3694">
        <f>MONTH(Table1[[#This Row],[Launched]])</f>
        <v>9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8218</v>
      </c>
      <c r="G3695" t="s">
        <v>8224</v>
      </c>
      <c r="H3695" t="s">
        <v>8246</v>
      </c>
      <c r="I3695" s="8">
        <v>1448922600</v>
      </c>
      <c r="J3695">
        <v>1446352529</v>
      </c>
      <c r="K3695" t="b">
        <v>0</v>
      </c>
      <c r="L3695" s="10">
        <v>14</v>
      </c>
      <c r="M3695" t="b">
        <v>1</v>
      </c>
      <c r="N3695" t="s">
        <v>8269</v>
      </c>
      <c r="O3695" s="11">
        <f t="shared" si="232"/>
        <v>129</v>
      </c>
      <c r="P3695" s="12">
        <f t="shared" si="233"/>
        <v>31</v>
      </c>
      <c r="Q3695" s="14" t="s">
        <v>8314</v>
      </c>
      <c r="R3695" t="s">
        <v>8315</v>
      </c>
      <c r="S3695" s="17">
        <f t="shared" si="234"/>
        <v>42309.191307870366</v>
      </c>
      <c r="T3695" s="17">
        <f t="shared" si="235"/>
        <v>42338.9375</v>
      </c>
      <c r="U3695">
        <f>MONTH(Table1[[#This Row],[Launched]])</f>
        <v>11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 s="8">
        <v>1465178400</v>
      </c>
      <c r="J3696">
        <v>1461985967</v>
      </c>
      <c r="K3696" t="b">
        <v>0</v>
      </c>
      <c r="L3696" s="10">
        <v>60</v>
      </c>
      <c r="M3696" t="b">
        <v>1</v>
      </c>
      <c r="N3696" t="s">
        <v>8269</v>
      </c>
      <c r="O3696" s="11">
        <f t="shared" si="232"/>
        <v>107</v>
      </c>
      <c r="P3696" s="12">
        <f t="shared" si="233"/>
        <v>63</v>
      </c>
      <c r="Q3696" s="14" t="s">
        <v>8314</v>
      </c>
      <c r="R3696" t="s">
        <v>8315</v>
      </c>
      <c r="S3696" s="17">
        <f t="shared" si="234"/>
        <v>42490.133877314816</v>
      </c>
      <c r="T3696" s="17">
        <f t="shared" si="235"/>
        <v>42527.083333333328</v>
      </c>
      <c r="U3696">
        <f>MONTH(Table1[[#This Row],[Launched]])</f>
        <v>4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 s="8">
        <v>1421009610</v>
      </c>
      <c r="J3697">
        <v>1419281610</v>
      </c>
      <c r="K3697" t="b">
        <v>0</v>
      </c>
      <c r="L3697" s="10">
        <v>33</v>
      </c>
      <c r="M3697" t="b">
        <v>1</v>
      </c>
      <c r="N3697" t="s">
        <v>8269</v>
      </c>
      <c r="O3697" s="11">
        <f t="shared" si="232"/>
        <v>100</v>
      </c>
      <c r="P3697" s="12">
        <f t="shared" si="233"/>
        <v>121</v>
      </c>
      <c r="Q3697" s="14" t="s">
        <v>8314</v>
      </c>
      <c r="R3697" t="s">
        <v>8315</v>
      </c>
      <c r="S3697" s="17">
        <f t="shared" si="234"/>
        <v>41995.870486111111</v>
      </c>
      <c r="T3697" s="17">
        <f t="shared" si="235"/>
        <v>42015.870486111111</v>
      </c>
      <c r="U3697">
        <f>MONTH(Table1[[#This Row],[Launched]])</f>
        <v>12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 s="8">
        <v>1423838916</v>
      </c>
      <c r="J3698">
        <v>1418654916</v>
      </c>
      <c r="K3698" t="b">
        <v>0</v>
      </c>
      <c r="L3698" s="10">
        <v>78</v>
      </c>
      <c r="M3698" t="b">
        <v>1</v>
      </c>
      <c r="N3698" t="s">
        <v>8269</v>
      </c>
      <c r="O3698" s="11">
        <f t="shared" si="232"/>
        <v>155</v>
      </c>
      <c r="P3698" s="12">
        <f t="shared" si="233"/>
        <v>40</v>
      </c>
      <c r="Q3698" s="14" t="s">
        <v>8314</v>
      </c>
      <c r="R3698" t="s">
        <v>8315</v>
      </c>
      <c r="S3698" s="17">
        <f t="shared" si="234"/>
        <v>41988.617083333331</v>
      </c>
      <c r="T3698" s="17">
        <f t="shared" si="235"/>
        <v>42048.617083333331</v>
      </c>
      <c r="U3698">
        <f>MONTH(Table1[[#This Row],[Launched]])</f>
        <v>12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 s="8">
        <v>1462878648</v>
      </c>
      <c r="J3699">
        <v>1461064248</v>
      </c>
      <c r="K3699" t="b">
        <v>0</v>
      </c>
      <c r="L3699" s="10">
        <v>30</v>
      </c>
      <c r="M3699" t="b">
        <v>1</v>
      </c>
      <c r="N3699" t="s">
        <v>8269</v>
      </c>
      <c r="O3699" s="11">
        <f t="shared" si="232"/>
        <v>108</v>
      </c>
      <c r="P3699" s="12">
        <f t="shared" si="233"/>
        <v>72</v>
      </c>
      <c r="Q3699" s="14" t="s">
        <v>8314</v>
      </c>
      <c r="R3699" t="s">
        <v>8315</v>
      </c>
      <c r="S3699" s="17">
        <f t="shared" si="234"/>
        <v>42479.465833333335</v>
      </c>
      <c r="T3699" s="17">
        <f t="shared" si="235"/>
        <v>42500.465833333335</v>
      </c>
      <c r="U3699">
        <f>MONTH(Table1[[#This Row],[Launched]])</f>
        <v>4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 s="8">
        <v>1456946487</v>
      </c>
      <c r="J3700">
        <v>1454354487</v>
      </c>
      <c r="K3700" t="b">
        <v>0</v>
      </c>
      <c r="L3700" s="10">
        <v>136</v>
      </c>
      <c r="M3700" t="b">
        <v>1</v>
      </c>
      <c r="N3700" t="s">
        <v>8269</v>
      </c>
      <c r="O3700" s="11">
        <f t="shared" si="232"/>
        <v>111</v>
      </c>
      <c r="P3700" s="12">
        <f t="shared" si="233"/>
        <v>41</v>
      </c>
      <c r="Q3700" s="14" t="s">
        <v>8314</v>
      </c>
      <c r="R3700" t="s">
        <v>8315</v>
      </c>
      <c r="S3700" s="17">
        <f t="shared" si="234"/>
        <v>42401.806562500002</v>
      </c>
      <c r="T3700" s="17">
        <f t="shared" si="235"/>
        <v>42431.806562500002</v>
      </c>
      <c r="U3700">
        <f>MONTH(Table1[[#This Row],[Launched]])</f>
        <v>2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 s="8">
        <v>1413383216</v>
      </c>
      <c r="J3701">
        <v>1410791216</v>
      </c>
      <c r="K3701" t="b">
        <v>0</v>
      </c>
      <c r="L3701" s="10">
        <v>40</v>
      </c>
      <c r="M3701" t="b">
        <v>1</v>
      </c>
      <c r="N3701" t="s">
        <v>8269</v>
      </c>
      <c r="O3701" s="11">
        <f t="shared" si="232"/>
        <v>101</v>
      </c>
      <c r="P3701" s="12">
        <f t="shared" si="233"/>
        <v>63</v>
      </c>
      <c r="Q3701" s="14" t="s">
        <v>8314</v>
      </c>
      <c r="R3701" t="s">
        <v>8315</v>
      </c>
      <c r="S3701" s="17">
        <f t="shared" si="234"/>
        <v>41897.602037037039</v>
      </c>
      <c r="T3701" s="17">
        <f t="shared" si="235"/>
        <v>41927.602037037039</v>
      </c>
      <c r="U3701">
        <f>MONTH(Table1[[#This Row],[Launched]])</f>
        <v>9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8218</v>
      </c>
      <c r="G3702" t="s">
        <v>8223</v>
      </c>
      <c r="H3702" t="s">
        <v>8245</v>
      </c>
      <c r="I3702" s="8">
        <v>1412092800</v>
      </c>
      <c r="J3702">
        <v>1409493800</v>
      </c>
      <c r="K3702" t="b">
        <v>0</v>
      </c>
      <c r="L3702" s="10">
        <v>18</v>
      </c>
      <c r="M3702" t="b">
        <v>1</v>
      </c>
      <c r="N3702" t="s">
        <v>8269</v>
      </c>
      <c r="O3702" s="11">
        <f t="shared" si="232"/>
        <v>121</v>
      </c>
      <c r="P3702" s="12">
        <f t="shared" si="233"/>
        <v>34</v>
      </c>
      <c r="Q3702" s="14" t="s">
        <v>8314</v>
      </c>
      <c r="R3702" t="s">
        <v>8315</v>
      </c>
      <c r="S3702" s="17">
        <f t="shared" si="234"/>
        <v>41882.585648148146</v>
      </c>
      <c r="T3702" s="17">
        <f t="shared" si="235"/>
        <v>41912.666666666664</v>
      </c>
      <c r="U3702">
        <f>MONTH(Table1[[#This Row],[Launched]])</f>
        <v>8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 s="8">
        <v>1433422793</v>
      </c>
      <c r="J3703">
        <v>1430830793</v>
      </c>
      <c r="K3703" t="b">
        <v>0</v>
      </c>
      <c r="L3703" s="10">
        <v>39</v>
      </c>
      <c r="M3703" t="b">
        <v>1</v>
      </c>
      <c r="N3703" t="s">
        <v>8269</v>
      </c>
      <c r="O3703" s="11">
        <f t="shared" si="232"/>
        <v>100</v>
      </c>
      <c r="P3703" s="12">
        <f t="shared" si="233"/>
        <v>39</v>
      </c>
      <c r="Q3703" s="14" t="s">
        <v>8314</v>
      </c>
      <c r="R3703" t="s">
        <v>8315</v>
      </c>
      <c r="S3703" s="17">
        <f t="shared" si="234"/>
        <v>42129.541585648149</v>
      </c>
      <c r="T3703" s="17">
        <f t="shared" si="235"/>
        <v>42159.541585648149</v>
      </c>
      <c r="U3703">
        <f>MONTH(Table1[[#This Row],[Launched]])</f>
        <v>5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 s="8">
        <v>1468191540</v>
      </c>
      <c r="J3704">
        <v>1464958484</v>
      </c>
      <c r="K3704" t="b">
        <v>0</v>
      </c>
      <c r="L3704" s="10">
        <v>21</v>
      </c>
      <c r="M3704" t="b">
        <v>1</v>
      </c>
      <c r="N3704" t="s">
        <v>8269</v>
      </c>
      <c r="O3704" s="11">
        <f t="shared" si="232"/>
        <v>109</v>
      </c>
      <c r="P3704" s="12">
        <f t="shared" si="233"/>
        <v>156</v>
      </c>
      <c r="Q3704" s="14" t="s">
        <v>8314</v>
      </c>
      <c r="R3704" t="s">
        <v>8315</v>
      </c>
      <c r="S3704" s="17">
        <f t="shared" si="234"/>
        <v>42524.53800925926</v>
      </c>
      <c r="T3704" s="17">
        <f t="shared" si="235"/>
        <v>42561.957638888889</v>
      </c>
      <c r="U3704">
        <f>MONTH(Table1[[#This Row],[Launched]])</f>
        <v>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 s="8">
        <v>1471071540</v>
      </c>
      <c r="J3705">
        <v>1467720388</v>
      </c>
      <c r="K3705" t="b">
        <v>0</v>
      </c>
      <c r="L3705" s="10">
        <v>30</v>
      </c>
      <c r="M3705" t="b">
        <v>1</v>
      </c>
      <c r="N3705" t="s">
        <v>8269</v>
      </c>
      <c r="O3705" s="11">
        <f t="shared" si="232"/>
        <v>123</v>
      </c>
      <c r="P3705" s="12">
        <f t="shared" si="233"/>
        <v>43</v>
      </c>
      <c r="Q3705" s="14" t="s">
        <v>8314</v>
      </c>
      <c r="R3705" t="s">
        <v>8315</v>
      </c>
      <c r="S3705" s="17">
        <f t="shared" si="234"/>
        <v>42556.504490740743</v>
      </c>
      <c r="T3705" s="17">
        <f t="shared" si="235"/>
        <v>42595.290972222225</v>
      </c>
      <c r="U3705">
        <f>MONTH(Table1[[#This Row],[Launched]])</f>
        <v>7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 s="8">
        <v>1464712394</v>
      </c>
      <c r="J3706">
        <v>1459528394</v>
      </c>
      <c r="K3706" t="b">
        <v>0</v>
      </c>
      <c r="L3706" s="10">
        <v>27</v>
      </c>
      <c r="M3706" t="b">
        <v>1</v>
      </c>
      <c r="N3706" t="s">
        <v>8269</v>
      </c>
      <c r="O3706" s="11">
        <f t="shared" si="232"/>
        <v>136</v>
      </c>
      <c r="P3706" s="12">
        <f t="shared" si="233"/>
        <v>15</v>
      </c>
      <c r="Q3706" s="14" t="s">
        <v>8314</v>
      </c>
      <c r="R3706" t="s">
        <v>8315</v>
      </c>
      <c r="S3706" s="17">
        <f t="shared" si="234"/>
        <v>42461.689745370371</v>
      </c>
      <c r="T3706" s="17">
        <f t="shared" si="235"/>
        <v>42521.689745370371</v>
      </c>
      <c r="U3706">
        <f>MONTH(Table1[[#This Row],[Launched]])</f>
        <v>4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 s="8">
        <v>1403546400</v>
      </c>
      <c r="J3707">
        <v>1401714114</v>
      </c>
      <c r="K3707" t="b">
        <v>0</v>
      </c>
      <c r="L3707" s="10">
        <v>35</v>
      </c>
      <c r="M3707" t="b">
        <v>1</v>
      </c>
      <c r="N3707" t="s">
        <v>8269</v>
      </c>
      <c r="O3707" s="11">
        <f t="shared" si="232"/>
        <v>103</v>
      </c>
      <c r="P3707" s="12">
        <f t="shared" si="233"/>
        <v>84</v>
      </c>
      <c r="Q3707" s="14" t="s">
        <v>8314</v>
      </c>
      <c r="R3707" t="s">
        <v>8315</v>
      </c>
      <c r="S3707" s="17">
        <f t="shared" si="234"/>
        <v>41792.542986111112</v>
      </c>
      <c r="T3707" s="17">
        <f t="shared" si="235"/>
        <v>41813.75</v>
      </c>
      <c r="U3707">
        <f>MONTH(Table1[[#This Row],[Launched]])</f>
        <v>6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 s="8">
        <v>1410558949</v>
      </c>
      <c r="J3708">
        <v>1409262949</v>
      </c>
      <c r="K3708" t="b">
        <v>0</v>
      </c>
      <c r="L3708" s="10">
        <v>13</v>
      </c>
      <c r="M3708" t="b">
        <v>1</v>
      </c>
      <c r="N3708" t="s">
        <v>8269</v>
      </c>
      <c r="O3708" s="11">
        <f t="shared" si="232"/>
        <v>121</v>
      </c>
      <c r="P3708" s="12">
        <f t="shared" si="233"/>
        <v>140</v>
      </c>
      <c r="Q3708" s="14" t="s">
        <v>8314</v>
      </c>
      <c r="R3708" t="s">
        <v>8315</v>
      </c>
      <c r="S3708" s="17">
        <f t="shared" si="234"/>
        <v>41879.913761574076</v>
      </c>
      <c r="T3708" s="17">
        <f t="shared" si="235"/>
        <v>41894.913761574076</v>
      </c>
      <c r="U3708">
        <f>MONTH(Table1[[#This Row],[Launched]])</f>
        <v>8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 s="8">
        <v>1469165160</v>
      </c>
      <c r="J3709">
        <v>1467335378</v>
      </c>
      <c r="K3709" t="b">
        <v>0</v>
      </c>
      <c r="L3709" s="10">
        <v>23</v>
      </c>
      <c r="M3709" t="b">
        <v>1</v>
      </c>
      <c r="N3709" t="s">
        <v>8269</v>
      </c>
      <c r="O3709" s="11">
        <f t="shared" si="232"/>
        <v>186</v>
      </c>
      <c r="P3709" s="12">
        <f t="shared" si="233"/>
        <v>81</v>
      </c>
      <c r="Q3709" s="14" t="s">
        <v>8314</v>
      </c>
      <c r="R3709" t="s">
        <v>8315</v>
      </c>
      <c r="S3709" s="17">
        <f t="shared" si="234"/>
        <v>42552.048356481479</v>
      </c>
      <c r="T3709" s="17">
        <f t="shared" si="235"/>
        <v>42573.226388888885</v>
      </c>
      <c r="U3709">
        <f>MONTH(Table1[[#This Row],[Launched]])</f>
        <v>7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8218</v>
      </c>
      <c r="G3710" t="s">
        <v>8223</v>
      </c>
      <c r="H3710" t="s">
        <v>8245</v>
      </c>
      <c r="I3710" s="8">
        <v>1404444286</v>
      </c>
      <c r="J3710">
        <v>1403234686</v>
      </c>
      <c r="K3710" t="b">
        <v>0</v>
      </c>
      <c r="L3710" s="10">
        <v>39</v>
      </c>
      <c r="M3710" t="b">
        <v>1</v>
      </c>
      <c r="N3710" t="s">
        <v>8269</v>
      </c>
      <c r="O3710" s="11">
        <f t="shared" si="232"/>
        <v>300</v>
      </c>
      <c r="P3710" s="12">
        <f t="shared" si="233"/>
        <v>54</v>
      </c>
      <c r="Q3710" s="14" t="s">
        <v>8314</v>
      </c>
      <c r="R3710" t="s">
        <v>8315</v>
      </c>
      <c r="S3710" s="17">
        <f t="shared" si="234"/>
        <v>41810.142199074071</v>
      </c>
      <c r="T3710" s="17">
        <f t="shared" si="235"/>
        <v>41824.142199074071</v>
      </c>
      <c r="U3710">
        <f>MONTH(Table1[[#This Row],[Launched]])</f>
        <v>6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 s="8">
        <v>1403715546</v>
      </c>
      <c r="J3711">
        <v>1401123546</v>
      </c>
      <c r="K3711" t="b">
        <v>0</v>
      </c>
      <c r="L3711" s="10">
        <v>35</v>
      </c>
      <c r="M3711" t="b">
        <v>1</v>
      </c>
      <c r="N3711" t="s">
        <v>8269</v>
      </c>
      <c r="O3711" s="11">
        <f t="shared" si="232"/>
        <v>108</v>
      </c>
      <c r="P3711" s="12">
        <f t="shared" si="233"/>
        <v>31</v>
      </c>
      <c r="Q3711" s="14" t="s">
        <v>8314</v>
      </c>
      <c r="R3711" t="s">
        <v>8315</v>
      </c>
      <c r="S3711" s="17">
        <f t="shared" si="234"/>
        <v>41785.707708333335</v>
      </c>
      <c r="T3711" s="17">
        <f t="shared" si="235"/>
        <v>41815.707708333335</v>
      </c>
      <c r="U3711">
        <f>MONTH(Table1[[#This Row],[Launched]])</f>
        <v>5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 s="8">
        <v>1428068988</v>
      </c>
      <c r="J3712">
        <v>1425908988</v>
      </c>
      <c r="K3712" t="b">
        <v>0</v>
      </c>
      <c r="L3712" s="10">
        <v>27</v>
      </c>
      <c r="M3712" t="b">
        <v>1</v>
      </c>
      <c r="N3712" t="s">
        <v>8269</v>
      </c>
      <c r="O3712" s="11">
        <f t="shared" si="232"/>
        <v>141</v>
      </c>
      <c r="P3712" s="12">
        <f t="shared" si="233"/>
        <v>68</v>
      </c>
      <c r="Q3712" s="14" t="s">
        <v>8314</v>
      </c>
      <c r="R3712" t="s">
        <v>8315</v>
      </c>
      <c r="S3712" s="17">
        <f t="shared" si="234"/>
        <v>42072.576249999998</v>
      </c>
      <c r="T3712" s="17">
        <f t="shared" si="235"/>
        <v>42097.576249999998</v>
      </c>
      <c r="U3712">
        <f>MONTH(Table1[[#This Row],[Launched]])</f>
        <v>3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8218</v>
      </c>
      <c r="G3713" t="s">
        <v>8223</v>
      </c>
      <c r="H3713" t="s">
        <v>8245</v>
      </c>
      <c r="I3713" s="8">
        <v>1402848000</v>
      </c>
      <c r="J3713">
        <v>1400606573</v>
      </c>
      <c r="K3713" t="b">
        <v>0</v>
      </c>
      <c r="L3713" s="10">
        <v>21</v>
      </c>
      <c r="M3713" t="b">
        <v>1</v>
      </c>
      <c r="N3713" t="s">
        <v>8269</v>
      </c>
      <c r="O3713" s="11">
        <f t="shared" si="232"/>
        <v>114</v>
      </c>
      <c r="P3713" s="12">
        <f t="shared" si="233"/>
        <v>27</v>
      </c>
      <c r="Q3713" s="14" t="s">
        <v>8314</v>
      </c>
      <c r="R3713" t="s">
        <v>8315</v>
      </c>
      <c r="S3713" s="17">
        <f t="shared" si="234"/>
        <v>41779.724224537036</v>
      </c>
      <c r="T3713" s="17">
        <f t="shared" si="235"/>
        <v>41805.666666666664</v>
      </c>
      <c r="U3713">
        <f>MONTH(Table1[[#This Row],[Launched]])</f>
        <v>5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 s="8">
        <v>1433055540</v>
      </c>
      <c r="J3714">
        <v>1431230867</v>
      </c>
      <c r="K3714" t="b">
        <v>0</v>
      </c>
      <c r="L3714" s="10">
        <v>104</v>
      </c>
      <c r="M3714" t="b">
        <v>1</v>
      </c>
      <c r="N3714" t="s">
        <v>8269</v>
      </c>
      <c r="O3714" s="11">
        <f t="shared" ref="O3714:O3777" si="236">ROUND(E3714/D3714*100,0)</f>
        <v>154</v>
      </c>
      <c r="P3714" s="12">
        <f t="shared" si="233"/>
        <v>111</v>
      </c>
      <c r="Q3714" s="14" t="s">
        <v>8314</v>
      </c>
      <c r="R3714" t="s">
        <v>8315</v>
      </c>
      <c r="S3714" s="17">
        <f t="shared" si="234"/>
        <v>42134.172071759262</v>
      </c>
      <c r="T3714" s="17">
        <f t="shared" si="235"/>
        <v>42155.290972222225</v>
      </c>
      <c r="U3714">
        <f>MONTH(Table1[[#This Row],[Launched]])</f>
        <v>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 s="8">
        <v>1465062166</v>
      </c>
      <c r="J3715">
        <v>1463334166</v>
      </c>
      <c r="K3715" t="b">
        <v>0</v>
      </c>
      <c r="L3715" s="10">
        <v>19</v>
      </c>
      <c r="M3715" t="b">
        <v>1</v>
      </c>
      <c r="N3715" t="s">
        <v>8269</v>
      </c>
      <c r="O3715" s="11">
        <f t="shared" si="236"/>
        <v>102</v>
      </c>
      <c r="P3715" s="12">
        <f t="shared" ref="P3715:P3778" si="237">IFERROR(ROUND(E3715/L3715,),"No Backers")</f>
        <v>107</v>
      </c>
      <c r="Q3715" s="14" t="s">
        <v>8314</v>
      </c>
      <c r="R3715" t="s">
        <v>8315</v>
      </c>
      <c r="S3715" s="17">
        <f t="shared" ref="S3715:S3778" si="238">(((J3715/60)/60)/24)+DATE(1970,1,1)</f>
        <v>42505.738032407404</v>
      </c>
      <c r="T3715" s="17">
        <f t="shared" ref="T3715:T3778" si="239">(((I3715/60)/60)/24)+DATE(1970,1,1)</f>
        <v>42525.738032407404</v>
      </c>
      <c r="U3715">
        <f>MONTH(Table1[[#This Row],[Launched]])</f>
        <v>5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 s="8">
        <v>1432612740</v>
      </c>
      <c r="J3716">
        <v>1429881667</v>
      </c>
      <c r="K3716" t="b">
        <v>0</v>
      </c>
      <c r="L3716" s="10">
        <v>97</v>
      </c>
      <c r="M3716" t="b">
        <v>1</v>
      </c>
      <c r="N3716" t="s">
        <v>8269</v>
      </c>
      <c r="O3716" s="11">
        <f t="shared" si="236"/>
        <v>102</v>
      </c>
      <c r="P3716" s="12">
        <f t="shared" si="237"/>
        <v>106</v>
      </c>
      <c r="Q3716" s="14" t="s">
        <v>8314</v>
      </c>
      <c r="R3716" t="s">
        <v>8315</v>
      </c>
      <c r="S3716" s="17">
        <f t="shared" si="238"/>
        <v>42118.556331018524</v>
      </c>
      <c r="T3716" s="17">
        <f t="shared" si="239"/>
        <v>42150.165972222225</v>
      </c>
      <c r="U3716">
        <f>MONTH(Table1[[#This Row],[Launched]])</f>
        <v>4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 s="8">
        <v>1427806320</v>
      </c>
      <c r="J3717">
        <v>1422834819</v>
      </c>
      <c r="K3717" t="b">
        <v>0</v>
      </c>
      <c r="L3717" s="10">
        <v>27</v>
      </c>
      <c r="M3717" t="b">
        <v>1</v>
      </c>
      <c r="N3717" t="s">
        <v>8269</v>
      </c>
      <c r="O3717" s="11">
        <f t="shared" si="236"/>
        <v>103</v>
      </c>
      <c r="P3717" s="12">
        <f t="shared" si="237"/>
        <v>133</v>
      </c>
      <c r="Q3717" s="14" t="s">
        <v>8314</v>
      </c>
      <c r="R3717" t="s">
        <v>8315</v>
      </c>
      <c r="S3717" s="17">
        <f t="shared" si="238"/>
        <v>42036.995590277773</v>
      </c>
      <c r="T3717" s="17">
        <f t="shared" si="239"/>
        <v>42094.536111111112</v>
      </c>
      <c r="U3717">
        <f>MONTH(Table1[[#This Row],[Launched]])</f>
        <v>2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8218</v>
      </c>
      <c r="G3718" t="s">
        <v>8223</v>
      </c>
      <c r="H3718" t="s">
        <v>8245</v>
      </c>
      <c r="I3718" s="8">
        <v>1453411109</v>
      </c>
      <c r="J3718">
        <v>1450819109</v>
      </c>
      <c r="K3718" t="b">
        <v>0</v>
      </c>
      <c r="L3718" s="10">
        <v>24</v>
      </c>
      <c r="M3718" t="b">
        <v>1</v>
      </c>
      <c r="N3718" t="s">
        <v>8269</v>
      </c>
      <c r="O3718" s="11">
        <f t="shared" si="236"/>
        <v>156</v>
      </c>
      <c r="P3718" s="12">
        <f t="shared" si="237"/>
        <v>52</v>
      </c>
      <c r="Q3718" s="14" t="s">
        <v>8314</v>
      </c>
      <c r="R3718" t="s">
        <v>8315</v>
      </c>
      <c r="S3718" s="17">
        <f t="shared" si="238"/>
        <v>42360.887835648144</v>
      </c>
      <c r="T3718" s="17">
        <f t="shared" si="239"/>
        <v>42390.887835648144</v>
      </c>
      <c r="U3718">
        <f>MONTH(Table1[[#This Row],[Launched]])</f>
        <v>12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 s="8">
        <v>1431204449</v>
      </c>
      <c r="J3719">
        <v>1428526049</v>
      </c>
      <c r="K3719" t="b">
        <v>0</v>
      </c>
      <c r="L3719" s="10">
        <v>13</v>
      </c>
      <c r="M3719" t="b">
        <v>1</v>
      </c>
      <c r="N3719" t="s">
        <v>8269</v>
      </c>
      <c r="O3719" s="11">
        <f t="shared" si="236"/>
        <v>101</v>
      </c>
      <c r="P3719" s="12">
        <f t="shared" si="237"/>
        <v>310</v>
      </c>
      <c r="Q3719" s="14" t="s">
        <v>8314</v>
      </c>
      <c r="R3719" t="s">
        <v>8315</v>
      </c>
      <c r="S3719" s="17">
        <f t="shared" si="238"/>
        <v>42102.866307870368</v>
      </c>
      <c r="T3719" s="17">
        <f t="shared" si="239"/>
        <v>42133.866307870368</v>
      </c>
      <c r="U3719">
        <f>MONTH(Table1[[#This Row],[Launched]])</f>
        <v>4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8218</v>
      </c>
      <c r="G3720" t="s">
        <v>8224</v>
      </c>
      <c r="H3720" t="s">
        <v>8246</v>
      </c>
      <c r="I3720" s="8">
        <v>1425057075</v>
      </c>
      <c r="J3720">
        <v>1422465075</v>
      </c>
      <c r="K3720" t="b">
        <v>0</v>
      </c>
      <c r="L3720" s="10">
        <v>46</v>
      </c>
      <c r="M3720" t="b">
        <v>1</v>
      </c>
      <c r="N3720" t="s">
        <v>8269</v>
      </c>
      <c r="O3720" s="11">
        <f t="shared" si="236"/>
        <v>239</v>
      </c>
      <c r="P3720" s="12">
        <f t="shared" si="237"/>
        <v>26</v>
      </c>
      <c r="Q3720" s="14" t="s">
        <v>8314</v>
      </c>
      <c r="R3720" t="s">
        <v>8315</v>
      </c>
      <c r="S3720" s="17">
        <f t="shared" si="238"/>
        <v>42032.716145833328</v>
      </c>
      <c r="T3720" s="17">
        <f t="shared" si="239"/>
        <v>42062.716145833328</v>
      </c>
      <c r="U3720">
        <f>MONTH(Table1[[#This Row],[Launched]])</f>
        <v>1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8218</v>
      </c>
      <c r="G3721" t="s">
        <v>8224</v>
      </c>
      <c r="H3721" t="s">
        <v>8246</v>
      </c>
      <c r="I3721" s="8">
        <v>1434994266</v>
      </c>
      <c r="J3721">
        <v>1432402266</v>
      </c>
      <c r="K3721" t="b">
        <v>0</v>
      </c>
      <c r="L3721" s="10">
        <v>4</v>
      </c>
      <c r="M3721" t="b">
        <v>1</v>
      </c>
      <c r="N3721" t="s">
        <v>8269</v>
      </c>
      <c r="O3721" s="11">
        <f t="shared" si="236"/>
        <v>210</v>
      </c>
      <c r="P3721" s="12">
        <f t="shared" si="237"/>
        <v>105</v>
      </c>
      <c r="Q3721" s="14" t="s">
        <v>8314</v>
      </c>
      <c r="R3721" t="s">
        <v>8315</v>
      </c>
      <c r="S3721" s="17">
        <f t="shared" si="238"/>
        <v>42147.729930555557</v>
      </c>
      <c r="T3721" s="17">
        <f t="shared" si="239"/>
        <v>42177.729930555557</v>
      </c>
      <c r="U3721">
        <f>MONTH(Table1[[#This Row],[Launched]])</f>
        <v>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 s="8">
        <v>1435881006</v>
      </c>
      <c r="J3722">
        <v>1433980206</v>
      </c>
      <c r="K3722" t="b">
        <v>0</v>
      </c>
      <c r="L3722" s="10">
        <v>40</v>
      </c>
      <c r="M3722" t="b">
        <v>1</v>
      </c>
      <c r="N3722" t="s">
        <v>8269</v>
      </c>
      <c r="O3722" s="11">
        <f t="shared" si="236"/>
        <v>105</v>
      </c>
      <c r="P3722" s="12">
        <f t="shared" si="237"/>
        <v>86</v>
      </c>
      <c r="Q3722" s="14" t="s">
        <v>8314</v>
      </c>
      <c r="R3722" t="s">
        <v>8315</v>
      </c>
      <c r="S3722" s="17">
        <f t="shared" si="238"/>
        <v>42165.993125000001</v>
      </c>
      <c r="T3722" s="17">
        <f t="shared" si="239"/>
        <v>42187.993125000001</v>
      </c>
      <c r="U3722">
        <f>MONTH(Table1[[#This Row],[Launched]])</f>
        <v>6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 s="8">
        <v>1415230084</v>
      </c>
      <c r="J3723">
        <v>1413412084</v>
      </c>
      <c r="K3723" t="b">
        <v>0</v>
      </c>
      <c r="L3723" s="10">
        <v>44</v>
      </c>
      <c r="M3723" t="b">
        <v>1</v>
      </c>
      <c r="N3723" t="s">
        <v>8269</v>
      </c>
      <c r="O3723" s="11">
        <f t="shared" si="236"/>
        <v>101</v>
      </c>
      <c r="P3723" s="12">
        <f t="shared" si="237"/>
        <v>115</v>
      </c>
      <c r="Q3723" s="14" t="s">
        <v>8314</v>
      </c>
      <c r="R3723" t="s">
        <v>8315</v>
      </c>
      <c r="S3723" s="17">
        <f t="shared" si="238"/>
        <v>41927.936157407406</v>
      </c>
      <c r="T3723" s="17">
        <f t="shared" si="239"/>
        <v>41948.977824074071</v>
      </c>
      <c r="U3723">
        <f>MONTH(Table1[[#This Row],[Launched]])</f>
        <v>10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 s="8">
        <v>1455231540</v>
      </c>
      <c r="J3724">
        <v>1452614847</v>
      </c>
      <c r="K3724" t="b">
        <v>0</v>
      </c>
      <c r="L3724" s="10">
        <v>35</v>
      </c>
      <c r="M3724" t="b">
        <v>1</v>
      </c>
      <c r="N3724" t="s">
        <v>8269</v>
      </c>
      <c r="O3724" s="11">
        <f t="shared" si="236"/>
        <v>111</v>
      </c>
      <c r="P3724" s="12">
        <f t="shared" si="237"/>
        <v>48</v>
      </c>
      <c r="Q3724" s="14" t="s">
        <v>8314</v>
      </c>
      <c r="R3724" t="s">
        <v>8315</v>
      </c>
      <c r="S3724" s="17">
        <f t="shared" si="238"/>
        <v>42381.671840277777</v>
      </c>
      <c r="T3724" s="17">
        <f t="shared" si="239"/>
        <v>42411.957638888889</v>
      </c>
      <c r="U3724">
        <f>MONTH(Table1[[#This Row],[Launched]])</f>
        <v>1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 s="8">
        <v>1417374262</v>
      </c>
      <c r="J3725">
        <v>1414778662</v>
      </c>
      <c r="K3725" t="b">
        <v>0</v>
      </c>
      <c r="L3725" s="10">
        <v>63</v>
      </c>
      <c r="M3725" t="b">
        <v>1</v>
      </c>
      <c r="N3725" t="s">
        <v>8269</v>
      </c>
      <c r="O3725" s="11">
        <f t="shared" si="236"/>
        <v>102</v>
      </c>
      <c r="P3725" s="12">
        <f t="shared" si="237"/>
        <v>73</v>
      </c>
      <c r="Q3725" s="14" t="s">
        <v>8314</v>
      </c>
      <c r="R3725" t="s">
        <v>8315</v>
      </c>
      <c r="S3725" s="17">
        <f t="shared" si="238"/>
        <v>41943.753032407411</v>
      </c>
      <c r="T3725" s="17">
        <f t="shared" si="239"/>
        <v>41973.794699074075</v>
      </c>
      <c r="U3725">
        <f>MONTH(Table1[[#This Row],[Launched]])</f>
        <v>10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 s="8">
        <v>1462402800</v>
      </c>
      <c r="J3726">
        <v>1459856860</v>
      </c>
      <c r="K3726" t="b">
        <v>0</v>
      </c>
      <c r="L3726" s="10">
        <v>89</v>
      </c>
      <c r="M3726" t="b">
        <v>1</v>
      </c>
      <c r="N3726" t="s">
        <v>8269</v>
      </c>
      <c r="O3726" s="11">
        <f t="shared" si="236"/>
        <v>103</v>
      </c>
      <c r="P3726" s="12">
        <f t="shared" si="237"/>
        <v>50</v>
      </c>
      <c r="Q3726" s="14" t="s">
        <v>8314</v>
      </c>
      <c r="R3726" t="s">
        <v>8315</v>
      </c>
      <c r="S3726" s="17">
        <f t="shared" si="238"/>
        <v>42465.491435185191</v>
      </c>
      <c r="T3726" s="17">
        <f t="shared" si="239"/>
        <v>42494.958333333328</v>
      </c>
      <c r="U3726">
        <f>MONTH(Table1[[#This Row],[Launched]])</f>
        <v>4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8218</v>
      </c>
      <c r="G3727" t="s">
        <v>8224</v>
      </c>
      <c r="H3727" t="s">
        <v>8246</v>
      </c>
      <c r="I3727" s="8">
        <v>1455831000</v>
      </c>
      <c r="J3727">
        <v>1454366467</v>
      </c>
      <c r="K3727" t="b">
        <v>0</v>
      </c>
      <c r="L3727" s="10">
        <v>15</v>
      </c>
      <c r="M3727" t="b">
        <v>1</v>
      </c>
      <c r="N3727" t="s">
        <v>8269</v>
      </c>
      <c r="O3727" s="11">
        <f t="shared" si="236"/>
        <v>127</v>
      </c>
      <c r="P3727" s="12">
        <f t="shared" si="237"/>
        <v>25</v>
      </c>
      <c r="Q3727" s="14" t="s">
        <v>8314</v>
      </c>
      <c r="R3727" t="s">
        <v>8315</v>
      </c>
      <c r="S3727" s="17">
        <f t="shared" si="238"/>
        <v>42401.945219907408</v>
      </c>
      <c r="T3727" s="17">
        <f t="shared" si="239"/>
        <v>42418.895833333328</v>
      </c>
      <c r="U3727">
        <f>MONTH(Table1[[#This Row],[Launched]])</f>
        <v>2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8218</v>
      </c>
      <c r="G3728" t="s">
        <v>8223</v>
      </c>
      <c r="H3728" t="s">
        <v>8245</v>
      </c>
      <c r="I3728" s="8">
        <v>1461963600</v>
      </c>
      <c r="J3728">
        <v>1459567371</v>
      </c>
      <c r="K3728" t="b">
        <v>0</v>
      </c>
      <c r="L3728" s="10">
        <v>46</v>
      </c>
      <c r="M3728" t="b">
        <v>1</v>
      </c>
      <c r="N3728" t="s">
        <v>8269</v>
      </c>
      <c r="O3728" s="11">
        <f t="shared" si="236"/>
        <v>339</v>
      </c>
      <c r="P3728" s="12">
        <f t="shared" si="237"/>
        <v>63</v>
      </c>
      <c r="Q3728" s="14" t="s">
        <v>8314</v>
      </c>
      <c r="R3728" t="s">
        <v>8315</v>
      </c>
      <c r="S3728" s="17">
        <f t="shared" si="238"/>
        <v>42462.140868055561</v>
      </c>
      <c r="T3728" s="17">
        <f t="shared" si="239"/>
        <v>42489.875</v>
      </c>
      <c r="U3728">
        <f>MONTH(Table1[[#This Row],[Launched]])</f>
        <v>4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 s="8">
        <v>1476939300</v>
      </c>
      <c r="J3729">
        <v>1474273294</v>
      </c>
      <c r="K3729" t="b">
        <v>0</v>
      </c>
      <c r="L3729" s="10">
        <v>33</v>
      </c>
      <c r="M3729" t="b">
        <v>1</v>
      </c>
      <c r="N3729" t="s">
        <v>8269</v>
      </c>
      <c r="O3729" s="11">
        <f t="shared" si="236"/>
        <v>101</v>
      </c>
      <c r="P3729" s="12">
        <f t="shared" si="237"/>
        <v>61</v>
      </c>
      <c r="Q3729" s="14" t="s">
        <v>8314</v>
      </c>
      <c r="R3729" t="s">
        <v>8315</v>
      </c>
      <c r="S3729" s="17">
        <f t="shared" si="238"/>
        <v>42632.348310185189</v>
      </c>
      <c r="T3729" s="17">
        <f t="shared" si="239"/>
        <v>42663.204861111109</v>
      </c>
      <c r="U3729">
        <f>MONTH(Table1[[#This Row],[Launched]])</f>
        <v>9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 s="8">
        <v>1439957176</v>
      </c>
      <c r="J3730">
        <v>1437365176</v>
      </c>
      <c r="K3730" t="b">
        <v>0</v>
      </c>
      <c r="L3730" s="10">
        <v>31</v>
      </c>
      <c r="M3730" t="b">
        <v>0</v>
      </c>
      <c r="N3730" t="s">
        <v>8269</v>
      </c>
      <c r="O3730" s="11">
        <f t="shared" si="236"/>
        <v>9</v>
      </c>
      <c r="P3730" s="12">
        <f t="shared" si="237"/>
        <v>60</v>
      </c>
      <c r="Q3730" s="14" t="s">
        <v>8314</v>
      </c>
      <c r="R3730" t="s">
        <v>8315</v>
      </c>
      <c r="S3730" s="17">
        <f t="shared" si="238"/>
        <v>42205.171018518522</v>
      </c>
      <c r="T3730" s="17">
        <f t="shared" si="239"/>
        <v>42235.171018518522</v>
      </c>
      <c r="U3730">
        <f>MONTH(Table1[[#This Row],[Launched]])</f>
        <v>7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8220</v>
      </c>
      <c r="G3731" t="s">
        <v>8223</v>
      </c>
      <c r="H3731" t="s">
        <v>8245</v>
      </c>
      <c r="I3731" s="8">
        <v>1427082912</v>
      </c>
      <c r="J3731">
        <v>1423198512</v>
      </c>
      <c r="K3731" t="b">
        <v>0</v>
      </c>
      <c r="L3731" s="10">
        <v>5</v>
      </c>
      <c r="M3731" t="b">
        <v>0</v>
      </c>
      <c r="N3731" t="s">
        <v>8269</v>
      </c>
      <c r="O3731" s="11">
        <f t="shared" si="236"/>
        <v>7</v>
      </c>
      <c r="P3731" s="12">
        <f t="shared" si="237"/>
        <v>72</v>
      </c>
      <c r="Q3731" s="14" t="s">
        <v>8314</v>
      </c>
      <c r="R3731" t="s">
        <v>8315</v>
      </c>
      <c r="S3731" s="17">
        <f t="shared" si="238"/>
        <v>42041.205000000002</v>
      </c>
      <c r="T3731" s="17">
        <f t="shared" si="239"/>
        <v>42086.16333333333</v>
      </c>
      <c r="U3731">
        <f>MONTH(Table1[[#This Row],[Launched]])</f>
        <v>2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8220</v>
      </c>
      <c r="G3732" t="s">
        <v>8223</v>
      </c>
      <c r="H3732" t="s">
        <v>8245</v>
      </c>
      <c r="I3732" s="8">
        <v>1439828159</v>
      </c>
      <c r="J3732">
        <v>1437236159</v>
      </c>
      <c r="K3732" t="b">
        <v>0</v>
      </c>
      <c r="L3732" s="10">
        <v>1</v>
      </c>
      <c r="M3732" t="b">
        <v>0</v>
      </c>
      <c r="N3732" t="s">
        <v>8269</v>
      </c>
      <c r="O3732" s="11">
        <f t="shared" si="236"/>
        <v>10</v>
      </c>
      <c r="P3732" s="12">
        <f t="shared" si="237"/>
        <v>100</v>
      </c>
      <c r="Q3732" s="14" t="s">
        <v>8314</v>
      </c>
      <c r="R3732" t="s">
        <v>8315</v>
      </c>
      <c r="S3732" s="17">
        <f t="shared" si="238"/>
        <v>42203.677766203706</v>
      </c>
      <c r="T3732" s="17">
        <f t="shared" si="239"/>
        <v>42233.677766203706</v>
      </c>
      <c r="U3732">
        <f>MONTH(Table1[[#This Row],[Launched]])</f>
        <v>7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8220</v>
      </c>
      <c r="G3733" t="s">
        <v>8223</v>
      </c>
      <c r="H3733" t="s">
        <v>8245</v>
      </c>
      <c r="I3733" s="8">
        <v>1420860180</v>
      </c>
      <c r="J3733">
        <v>1418234646</v>
      </c>
      <c r="K3733" t="b">
        <v>0</v>
      </c>
      <c r="L3733" s="10">
        <v>12</v>
      </c>
      <c r="M3733" t="b">
        <v>0</v>
      </c>
      <c r="N3733" t="s">
        <v>8269</v>
      </c>
      <c r="O3733" s="11">
        <f t="shared" si="236"/>
        <v>11</v>
      </c>
      <c r="P3733" s="12">
        <f t="shared" si="237"/>
        <v>52</v>
      </c>
      <c r="Q3733" s="14" t="s">
        <v>8314</v>
      </c>
      <c r="R3733" t="s">
        <v>8315</v>
      </c>
      <c r="S3733" s="17">
        <f t="shared" si="238"/>
        <v>41983.752847222218</v>
      </c>
      <c r="T3733" s="17">
        <f t="shared" si="239"/>
        <v>42014.140972222223</v>
      </c>
      <c r="U3733">
        <f>MONTH(Table1[[#This Row],[Launched]])</f>
        <v>12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8220</v>
      </c>
      <c r="G3734" t="s">
        <v>8232</v>
      </c>
      <c r="H3734" t="s">
        <v>8248</v>
      </c>
      <c r="I3734" s="8">
        <v>1422100800</v>
      </c>
      <c r="J3734">
        <v>1416932133</v>
      </c>
      <c r="K3734" t="b">
        <v>0</v>
      </c>
      <c r="L3734" s="10">
        <v>4</v>
      </c>
      <c r="M3734" t="b">
        <v>0</v>
      </c>
      <c r="N3734" t="s">
        <v>8269</v>
      </c>
      <c r="O3734" s="11">
        <f t="shared" si="236"/>
        <v>15</v>
      </c>
      <c r="P3734" s="12">
        <f t="shared" si="237"/>
        <v>33</v>
      </c>
      <c r="Q3734" s="14" t="s">
        <v>8314</v>
      </c>
      <c r="R3734" t="s">
        <v>8315</v>
      </c>
      <c r="S3734" s="17">
        <f t="shared" si="238"/>
        <v>41968.677465277782</v>
      </c>
      <c r="T3734" s="17">
        <f t="shared" si="239"/>
        <v>42028.5</v>
      </c>
      <c r="U3734">
        <f>MONTH(Table1[[#This Row],[Launched]])</f>
        <v>11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8220</v>
      </c>
      <c r="G3735" t="s">
        <v>8223</v>
      </c>
      <c r="H3735" t="s">
        <v>8245</v>
      </c>
      <c r="I3735" s="8">
        <v>1429396200</v>
      </c>
      <c r="J3735">
        <v>1428539708</v>
      </c>
      <c r="K3735" t="b">
        <v>0</v>
      </c>
      <c r="L3735" s="10">
        <v>0</v>
      </c>
      <c r="M3735" t="b">
        <v>0</v>
      </c>
      <c r="N3735" t="s">
        <v>8269</v>
      </c>
      <c r="O3735" s="11">
        <f t="shared" si="236"/>
        <v>0</v>
      </c>
      <c r="P3735" s="12" t="str">
        <f t="shared" si="237"/>
        <v>No Backers</v>
      </c>
      <c r="Q3735" s="14" t="s">
        <v>8314</v>
      </c>
      <c r="R3735" t="s">
        <v>8315</v>
      </c>
      <c r="S3735" s="17">
        <f t="shared" si="238"/>
        <v>42103.024398148147</v>
      </c>
      <c r="T3735" s="17">
        <f t="shared" si="239"/>
        <v>42112.9375</v>
      </c>
      <c r="U3735">
        <f>MONTH(Table1[[#This Row],[Launched]])</f>
        <v>4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8220</v>
      </c>
      <c r="G3736" t="s">
        <v>8223</v>
      </c>
      <c r="H3736" t="s">
        <v>8245</v>
      </c>
      <c r="I3736" s="8">
        <v>1432589896</v>
      </c>
      <c r="J3736">
        <v>1427405896</v>
      </c>
      <c r="K3736" t="b">
        <v>0</v>
      </c>
      <c r="L3736" s="10">
        <v>7</v>
      </c>
      <c r="M3736" t="b">
        <v>0</v>
      </c>
      <c r="N3736" t="s">
        <v>8269</v>
      </c>
      <c r="O3736" s="11">
        <f t="shared" si="236"/>
        <v>28</v>
      </c>
      <c r="P3736" s="12">
        <f t="shared" si="237"/>
        <v>61</v>
      </c>
      <c r="Q3736" s="14" t="s">
        <v>8314</v>
      </c>
      <c r="R3736" t="s">
        <v>8315</v>
      </c>
      <c r="S3736" s="17">
        <f t="shared" si="238"/>
        <v>42089.901574074072</v>
      </c>
      <c r="T3736" s="17">
        <f t="shared" si="239"/>
        <v>42149.901574074072</v>
      </c>
      <c r="U3736">
        <f>MONTH(Table1[[#This Row],[Launched]])</f>
        <v>3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8220</v>
      </c>
      <c r="G3737" t="s">
        <v>8224</v>
      </c>
      <c r="H3737" t="s">
        <v>8246</v>
      </c>
      <c r="I3737" s="8">
        <v>1432831089</v>
      </c>
      <c r="J3737">
        <v>1430239089</v>
      </c>
      <c r="K3737" t="b">
        <v>0</v>
      </c>
      <c r="L3737" s="10">
        <v>2</v>
      </c>
      <c r="M3737" t="b">
        <v>0</v>
      </c>
      <c r="N3737" t="s">
        <v>8269</v>
      </c>
      <c r="O3737" s="11">
        <f t="shared" si="236"/>
        <v>13</v>
      </c>
      <c r="P3737" s="12">
        <f t="shared" si="237"/>
        <v>10</v>
      </c>
      <c r="Q3737" s="14" t="s">
        <v>8314</v>
      </c>
      <c r="R3737" t="s">
        <v>8315</v>
      </c>
      <c r="S3737" s="17">
        <f t="shared" si="238"/>
        <v>42122.693159722221</v>
      </c>
      <c r="T3737" s="17">
        <f t="shared" si="239"/>
        <v>42152.693159722221</v>
      </c>
      <c r="U3737">
        <f>MONTH(Table1[[#This Row],[Launched]])</f>
        <v>4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8220</v>
      </c>
      <c r="G3738" t="s">
        <v>8224</v>
      </c>
      <c r="H3738" t="s">
        <v>8246</v>
      </c>
      <c r="I3738" s="8">
        <v>1427133600</v>
      </c>
      <c r="J3738">
        <v>1423847093</v>
      </c>
      <c r="K3738" t="b">
        <v>0</v>
      </c>
      <c r="L3738" s="10">
        <v>1</v>
      </c>
      <c r="M3738" t="b">
        <v>0</v>
      </c>
      <c r="N3738" t="s">
        <v>8269</v>
      </c>
      <c r="O3738" s="11">
        <f t="shared" si="236"/>
        <v>1</v>
      </c>
      <c r="P3738" s="12">
        <f t="shared" si="237"/>
        <v>10</v>
      </c>
      <c r="Q3738" s="14" t="s">
        <v>8314</v>
      </c>
      <c r="R3738" t="s">
        <v>8315</v>
      </c>
      <c r="S3738" s="17">
        <f t="shared" si="238"/>
        <v>42048.711724537032</v>
      </c>
      <c r="T3738" s="17">
        <f t="shared" si="239"/>
        <v>42086.75</v>
      </c>
      <c r="U3738">
        <f>MONTH(Table1[[#This Row],[Launched]])</f>
        <v>2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8220</v>
      </c>
      <c r="G3739" t="s">
        <v>8223</v>
      </c>
      <c r="H3739" t="s">
        <v>8245</v>
      </c>
      <c r="I3739" s="8">
        <v>1447311540</v>
      </c>
      <c r="J3739">
        <v>1445358903</v>
      </c>
      <c r="K3739" t="b">
        <v>0</v>
      </c>
      <c r="L3739" s="10">
        <v>4</v>
      </c>
      <c r="M3739" t="b">
        <v>0</v>
      </c>
      <c r="N3739" t="s">
        <v>8269</v>
      </c>
      <c r="O3739" s="11">
        <f t="shared" si="236"/>
        <v>21</v>
      </c>
      <c r="P3739" s="12">
        <f t="shared" si="237"/>
        <v>38</v>
      </c>
      <c r="Q3739" s="14" t="s">
        <v>8314</v>
      </c>
      <c r="R3739" t="s">
        <v>8315</v>
      </c>
      <c r="S3739" s="17">
        <f t="shared" si="238"/>
        <v>42297.691006944442</v>
      </c>
      <c r="T3739" s="17">
        <f t="shared" si="239"/>
        <v>42320.290972222225</v>
      </c>
      <c r="U3739">
        <f>MONTH(Table1[[#This Row],[Launched]])</f>
        <v>10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8220</v>
      </c>
      <c r="G3740" t="s">
        <v>8224</v>
      </c>
      <c r="H3740" t="s">
        <v>8246</v>
      </c>
      <c r="I3740" s="8">
        <v>1405461600</v>
      </c>
      <c r="J3740">
        <v>1403562705</v>
      </c>
      <c r="K3740" t="b">
        <v>0</v>
      </c>
      <c r="L3740" s="10">
        <v>6</v>
      </c>
      <c r="M3740" t="b">
        <v>0</v>
      </c>
      <c r="N3740" t="s">
        <v>8269</v>
      </c>
      <c r="O3740" s="11">
        <f t="shared" si="236"/>
        <v>18</v>
      </c>
      <c r="P3740" s="12">
        <f t="shared" si="237"/>
        <v>45</v>
      </c>
      <c r="Q3740" s="14" t="s">
        <v>8314</v>
      </c>
      <c r="R3740" t="s">
        <v>8315</v>
      </c>
      <c r="S3740" s="17">
        <f t="shared" si="238"/>
        <v>41813.938715277778</v>
      </c>
      <c r="T3740" s="17">
        <f t="shared" si="239"/>
        <v>41835.916666666664</v>
      </c>
      <c r="U3740">
        <f>MONTH(Table1[[#This Row],[Launched]])</f>
        <v>6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8220</v>
      </c>
      <c r="G3741" t="s">
        <v>8224</v>
      </c>
      <c r="H3741" t="s">
        <v>8246</v>
      </c>
      <c r="I3741" s="8">
        <v>1468752468</v>
      </c>
      <c r="J3741">
        <v>1467024468</v>
      </c>
      <c r="K3741" t="b">
        <v>0</v>
      </c>
      <c r="L3741" s="10">
        <v>8</v>
      </c>
      <c r="M3741" t="b">
        <v>0</v>
      </c>
      <c r="N3741" t="s">
        <v>8269</v>
      </c>
      <c r="O3741" s="11">
        <f t="shared" si="236"/>
        <v>20</v>
      </c>
      <c r="P3741" s="12">
        <f t="shared" si="237"/>
        <v>101</v>
      </c>
      <c r="Q3741" s="14" t="s">
        <v>8314</v>
      </c>
      <c r="R3741" t="s">
        <v>8315</v>
      </c>
      <c r="S3741" s="17">
        <f t="shared" si="238"/>
        <v>42548.449861111112</v>
      </c>
      <c r="T3741" s="17">
        <f t="shared" si="239"/>
        <v>42568.449861111112</v>
      </c>
      <c r="U3741">
        <f>MONTH(Table1[[#This Row],[Launched]])</f>
        <v>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8220</v>
      </c>
      <c r="G3742" t="s">
        <v>8223</v>
      </c>
      <c r="H3742" t="s">
        <v>8245</v>
      </c>
      <c r="I3742" s="8">
        <v>1407808438</v>
      </c>
      <c r="J3742">
        <v>1405217355</v>
      </c>
      <c r="K3742" t="b">
        <v>0</v>
      </c>
      <c r="L3742" s="10">
        <v>14</v>
      </c>
      <c r="M3742" t="b">
        <v>0</v>
      </c>
      <c r="N3742" t="s">
        <v>8269</v>
      </c>
      <c r="O3742" s="11">
        <f t="shared" si="236"/>
        <v>18</v>
      </c>
      <c r="P3742" s="12">
        <f t="shared" si="237"/>
        <v>26</v>
      </c>
      <c r="Q3742" s="14" t="s">
        <v>8314</v>
      </c>
      <c r="R3742" t="s">
        <v>8315</v>
      </c>
      <c r="S3742" s="17">
        <f t="shared" si="238"/>
        <v>41833.089756944442</v>
      </c>
      <c r="T3742" s="17">
        <f t="shared" si="239"/>
        <v>41863.079143518517</v>
      </c>
      <c r="U3742">
        <f>MONTH(Table1[[#This Row],[Launched]])</f>
        <v>7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8220</v>
      </c>
      <c r="G3743" t="s">
        <v>8223</v>
      </c>
      <c r="H3743" t="s">
        <v>8245</v>
      </c>
      <c r="I3743" s="8">
        <v>1450389950</v>
      </c>
      <c r="J3743">
        <v>1447797950</v>
      </c>
      <c r="K3743" t="b">
        <v>0</v>
      </c>
      <c r="L3743" s="10">
        <v>0</v>
      </c>
      <c r="M3743" t="b">
        <v>0</v>
      </c>
      <c r="N3743" t="s">
        <v>8269</v>
      </c>
      <c r="O3743" s="11">
        <f t="shared" si="236"/>
        <v>0</v>
      </c>
      <c r="P3743" s="12" t="str">
        <f t="shared" si="237"/>
        <v>No Backers</v>
      </c>
      <c r="Q3743" s="14" t="s">
        <v>8314</v>
      </c>
      <c r="R3743" t="s">
        <v>8315</v>
      </c>
      <c r="S3743" s="17">
        <f t="shared" si="238"/>
        <v>42325.920717592591</v>
      </c>
      <c r="T3743" s="17">
        <f t="shared" si="239"/>
        <v>42355.920717592591</v>
      </c>
      <c r="U3743">
        <f>MONTH(Table1[[#This Row],[Launched]])</f>
        <v>11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8220</v>
      </c>
      <c r="G3744" t="s">
        <v>8223</v>
      </c>
      <c r="H3744" t="s">
        <v>8245</v>
      </c>
      <c r="I3744" s="8">
        <v>1409980144</v>
      </c>
      <c r="J3744">
        <v>1407388144</v>
      </c>
      <c r="K3744" t="b">
        <v>0</v>
      </c>
      <c r="L3744" s="10">
        <v>4</v>
      </c>
      <c r="M3744" t="b">
        <v>0</v>
      </c>
      <c r="N3744" t="s">
        <v>8269</v>
      </c>
      <c r="O3744" s="11">
        <f t="shared" si="236"/>
        <v>2</v>
      </c>
      <c r="P3744" s="12">
        <f t="shared" si="237"/>
        <v>25</v>
      </c>
      <c r="Q3744" s="14" t="s">
        <v>8314</v>
      </c>
      <c r="R3744" t="s">
        <v>8315</v>
      </c>
      <c r="S3744" s="17">
        <f t="shared" si="238"/>
        <v>41858.214629629627</v>
      </c>
      <c r="T3744" s="17">
        <f t="shared" si="239"/>
        <v>41888.214629629627</v>
      </c>
      <c r="U3744">
        <f>MONTH(Table1[[#This Row],[Launched]])</f>
        <v>8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8220</v>
      </c>
      <c r="G3745" t="s">
        <v>8223</v>
      </c>
      <c r="H3745" t="s">
        <v>8245</v>
      </c>
      <c r="I3745" s="8">
        <v>1404406964</v>
      </c>
      <c r="J3745">
        <v>1401814964</v>
      </c>
      <c r="K3745" t="b">
        <v>0</v>
      </c>
      <c r="L3745" s="10">
        <v>0</v>
      </c>
      <c r="M3745" t="b">
        <v>0</v>
      </c>
      <c r="N3745" t="s">
        <v>8269</v>
      </c>
      <c r="O3745" s="11">
        <f t="shared" si="236"/>
        <v>0</v>
      </c>
      <c r="P3745" s="12" t="str">
        <f t="shared" si="237"/>
        <v>No Backers</v>
      </c>
      <c r="Q3745" s="14" t="s">
        <v>8314</v>
      </c>
      <c r="R3745" t="s">
        <v>8315</v>
      </c>
      <c r="S3745" s="17">
        <f t="shared" si="238"/>
        <v>41793.710231481484</v>
      </c>
      <c r="T3745" s="17">
        <f t="shared" si="239"/>
        <v>41823.710231481484</v>
      </c>
      <c r="U3745">
        <f>MONTH(Table1[[#This Row],[Launched]])</f>
        <v>6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8220</v>
      </c>
      <c r="G3746" t="s">
        <v>8223</v>
      </c>
      <c r="H3746" t="s">
        <v>8245</v>
      </c>
      <c r="I3746" s="8">
        <v>1404532740</v>
      </c>
      <c r="J3746">
        <v>1401823952</v>
      </c>
      <c r="K3746" t="b">
        <v>0</v>
      </c>
      <c r="L3746" s="10">
        <v>0</v>
      </c>
      <c r="M3746" t="b">
        <v>0</v>
      </c>
      <c r="N3746" t="s">
        <v>8269</v>
      </c>
      <c r="O3746" s="11">
        <f t="shared" si="236"/>
        <v>0</v>
      </c>
      <c r="P3746" s="12" t="str">
        <f t="shared" si="237"/>
        <v>No Backers</v>
      </c>
      <c r="Q3746" s="14" t="s">
        <v>8314</v>
      </c>
      <c r="R3746" t="s">
        <v>8315</v>
      </c>
      <c r="S3746" s="17">
        <f t="shared" si="238"/>
        <v>41793.814259259263</v>
      </c>
      <c r="T3746" s="17">
        <f t="shared" si="239"/>
        <v>41825.165972222225</v>
      </c>
      <c r="U3746">
        <f>MONTH(Table1[[#This Row],[Launched]])</f>
        <v>6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8220</v>
      </c>
      <c r="G3747" t="s">
        <v>8223</v>
      </c>
      <c r="H3747" t="s">
        <v>8245</v>
      </c>
      <c r="I3747" s="8">
        <v>1407689102</v>
      </c>
      <c r="J3747">
        <v>1405097102</v>
      </c>
      <c r="K3747" t="b">
        <v>0</v>
      </c>
      <c r="L3747" s="10">
        <v>1</v>
      </c>
      <c r="M3747" t="b">
        <v>0</v>
      </c>
      <c r="N3747" t="s">
        <v>8269</v>
      </c>
      <c r="O3747" s="11">
        <f t="shared" si="236"/>
        <v>10</v>
      </c>
      <c r="P3747" s="12">
        <f t="shared" si="237"/>
        <v>10</v>
      </c>
      <c r="Q3747" s="14" t="s">
        <v>8314</v>
      </c>
      <c r="R3747" t="s">
        <v>8315</v>
      </c>
      <c r="S3747" s="17">
        <f t="shared" si="238"/>
        <v>41831.697939814818</v>
      </c>
      <c r="T3747" s="17">
        <f t="shared" si="239"/>
        <v>41861.697939814818</v>
      </c>
      <c r="U3747">
        <f>MONTH(Table1[[#This Row],[Launched]])</f>
        <v>7</v>
      </c>
    </row>
    <row r="3748" spans="1:21" ht="15.6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8220</v>
      </c>
      <c r="G3748" t="s">
        <v>8223</v>
      </c>
      <c r="H3748" t="s">
        <v>8245</v>
      </c>
      <c r="I3748" s="8">
        <v>1475918439</v>
      </c>
      <c r="J3748">
        <v>1473326439</v>
      </c>
      <c r="K3748" t="b">
        <v>0</v>
      </c>
      <c r="L3748" s="10">
        <v>1</v>
      </c>
      <c r="M3748" t="b">
        <v>0</v>
      </c>
      <c r="N3748" t="s">
        <v>8269</v>
      </c>
      <c r="O3748" s="11">
        <f t="shared" si="236"/>
        <v>2</v>
      </c>
      <c r="P3748" s="12">
        <f t="shared" si="237"/>
        <v>202</v>
      </c>
      <c r="Q3748" s="14" t="s">
        <v>8314</v>
      </c>
      <c r="R3748" t="s">
        <v>8315</v>
      </c>
      <c r="S3748" s="17">
        <f t="shared" si="238"/>
        <v>42621.389340277776</v>
      </c>
      <c r="T3748" s="17">
        <f t="shared" si="239"/>
        <v>42651.389340277776</v>
      </c>
      <c r="U3748">
        <f>MONTH(Table1[[#This Row],[Launched]])</f>
        <v>9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8220</v>
      </c>
      <c r="G3749" t="s">
        <v>8224</v>
      </c>
      <c r="H3749" t="s">
        <v>8246</v>
      </c>
      <c r="I3749" s="8">
        <v>1436137140</v>
      </c>
      <c r="J3749">
        <v>1433833896</v>
      </c>
      <c r="K3749" t="b">
        <v>0</v>
      </c>
      <c r="L3749" s="10">
        <v>1</v>
      </c>
      <c r="M3749" t="b">
        <v>0</v>
      </c>
      <c r="N3749" t="s">
        <v>8269</v>
      </c>
      <c r="O3749" s="11">
        <f t="shared" si="236"/>
        <v>1</v>
      </c>
      <c r="P3749" s="12">
        <f t="shared" si="237"/>
        <v>25</v>
      </c>
      <c r="Q3749" s="14" t="s">
        <v>8314</v>
      </c>
      <c r="R3749" t="s">
        <v>8315</v>
      </c>
      <c r="S3749" s="17">
        <f t="shared" si="238"/>
        <v>42164.299722222218</v>
      </c>
      <c r="T3749" s="17">
        <f t="shared" si="239"/>
        <v>42190.957638888889</v>
      </c>
      <c r="U3749">
        <f>MONTH(Table1[[#This Row],[Launched]])</f>
        <v>6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 s="8">
        <v>1455602340</v>
      </c>
      <c r="J3750">
        <v>1453827436</v>
      </c>
      <c r="K3750" t="b">
        <v>0</v>
      </c>
      <c r="L3750" s="10">
        <v>52</v>
      </c>
      <c r="M3750" t="b">
        <v>1</v>
      </c>
      <c r="N3750" t="s">
        <v>8303</v>
      </c>
      <c r="O3750" s="11">
        <f t="shared" si="236"/>
        <v>104</v>
      </c>
      <c r="P3750" s="12">
        <f t="shared" si="237"/>
        <v>100</v>
      </c>
      <c r="Q3750" s="14" t="s">
        <v>8314</v>
      </c>
      <c r="R3750" t="s">
        <v>8356</v>
      </c>
      <c r="S3750" s="17">
        <f t="shared" si="238"/>
        <v>42395.706435185188</v>
      </c>
      <c r="T3750" s="17">
        <f t="shared" si="239"/>
        <v>42416.249305555553</v>
      </c>
      <c r="U3750">
        <f>MONTH(Table1[[#This Row],[Launched]])</f>
        <v>1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8218</v>
      </c>
      <c r="G3751" t="s">
        <v>8223</v>
      </c>
      <c r="H3751" t="s">
        <v>8245</v>
      </c>
      <c r="I3751" s="8">
        <v>1461902340</v>
      </c>
      <c r="J3751">
        <v>1459220588</v>
      </c>
      <c r="K3751" t="b">
        <v>0</v>
      </c>
      <c r="L3751" s="10">
        <v>7</v>
      </c>
      <c r="M3751" t="b">
        <v>1</v>
      </c>
      <c r="N3751" t="s">
        <v>8303</v>
      </c>
      <c r="O3751" s="11">
        <f t="shared" si="236"/>
        <v>105</v>
      </c>
      <c r="P3751" s="12">
        <f t="shared" si="237"/>
        <v>75</v>
      </c>
      <c r="Q3751" s="14" t="s">
        <v>8314</v>
      </c>
      <c r="R3751" t="s">
        <v>8356</v>
      </c>
      <c r="S3751" s="17">
        <f t="shared" si="238"/>
        <v>42458.127175925925</v>
      </c>
      <c r="T3751" s="17">
        <f t="shared" si="239"/>
        <v>42489.165972222225</v>
      </c>
      <c r="U3751">
        <f>MONTH(Table1[[#This Row],[Launched]])</f>
        <v>3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 s="8">
        <v>1423555140</v>
      </c>
      <c r="J3752">
        <v>1421105608</v>
      </c>
      <c r="K3752" t="b">
        <v>0</v>
      </c>
      <c r="L3752" s="10">
        <v>28</v>
      </c>
      <c r="M3752" t="b">
        <v>1</v>
      </c>
      <c r="N3752" t="s">
        <v>8303</v>
      </c>
      <c r="O3752" s="11">
        <f t="shared" si="236"/>
        <v>100</v>
      </c>
      <c r="P3752" s="12">
        <f t="shared" si="237"/>
        <v>215</v>
      </c>
      <c r="Q3752" s="14" t="s">
        <v>8314</v>
      </c>
      <c r="R3752" t="s">
        <v>8356</v>
      </c>
      <c r="S3752" s="17">
        <f t="shared" si="238"/>
        <v>42016.981574074074</v>
      </c>
      <c r="T3752" s="17">
        <f t="shared" si="239"/>
        <v>42045.332638888889</v>
      </c>
      <c r="U3752">
        <f>MONTH(Table1[[#This Row],[Launched]])</f>
        <v>1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 s="8">
        <v>1459641073</v>
      </c>
      <c r="J3753">
        <v>1454460673</v>
      </c>
      <c r="K3753" t="b">
        <v>0</v>
      </c>
      <c r="L3753" s="10">
        <v>11</v>
      </c>
      <c r="M3753" t="b">
        <v>1</v>
      </c>
      <c r="N3753" t="s">
        <v>8303</v>
      </c>
      <c r="O3753" s="11">
        <f t="shared" si="236"/>
        <v>133</v>
      </c>
      <c r="P3753" s="12">
        <f t="shared" si="237"/>
        <v>121</v>
      </c>
      <c r="Q3753" s="14" t="s">
        <v>8314</v>
      </c>
      <c r="R3753" t="s">
        <v>8356</v>
      </c>
      <c r="S3753" s="17">
        <f t="shared" si="238"/>
        <v>42403.035567129627</v>
      </c>
      <c r="T3753" s="17">
        <f t="shared" si="239"/>
        <v>42462.993900462956</v>
      </c>
      <c r="U3753">
        <f>MONTH(Table1[[#This Row],[Launched]])</f>
        <v>2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8218</v>
      </c>
      <c r="G3754" t="s">
        <v>8224</v>
      </c>
      <c r="H3754" t="s">
        <v>8246</v>
      </c>
      <c r="I3754" s="8">
        <v>1476651600</v>
      </c>
      <c r="J3754">
        <v>1473189335</v>
      </c>
      <c r="K3754" t="b">
        <v>0</v>
      </c>
      <c r="L3754" s="10">
        <v>15</v>
      </c>
      <c r="M3754" t="b">
        <v>1</v>
      </c>
      <c r="N3754" t="s">
        <v>8303</v>
      </c>
      <c r="O3754" s="11">
        <f t="shared" si="236"/>
        <v>113</v>
      </c>
      <c r="P3754" s="12">
        <f t="shared" si="237"/>
        <v>38</v>
      </c>
      <c r="Q3754" s="14" t="s">
        <v>8314</v>
      </c>
      <c r="R3754" t="s">
        <v>8356</v>
      </c>
      <c r="S3754" s="17">
        <f t="shared" si="238"/>
        <v>42619.802488425921</v>
      </c>
      <c r="T3754" s="17">
        <f t="shared" si="239"/>
        <v>42659.875</v>
      </c>
      <c r="U3754">
        <f>MONTH(Table1[[#This Row],[Launched]])</f>
        <v>9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 s="8">
        <v>1433289600</v>
      </c>
      <c r="J3755">
        <v>1430768800</v>
      </c>
      <c r="K3755" t="b">
        <v>0</v>
      </c>
      <c r="L3755" s="10">
        <v>30</v>
      </c>
      <c r="M3755" t="b">
        <v>1</v>
      </c>
      <c r="N3755" t="s">
        <v>8303</v>
      </c>
      <c r="O3755" s="11">
        <f t="shared" si="236"/>
        <v>103</v>
      </c>
      <c r="P3755" s="12">
        <f t="shared" si="237"/>
        <v>172</v>
      </c>
      <c r="Q3755" s="14" t="s">
        <v>8314</v>
      </c>
      <c r="R3755" t="s">
        <v>8356</v>
      </c>
      <c r="S3755" s="17">
        <f t="shared" si="238"/>
        <v>42128.824074074073</v>
      </c>
      <c r="T3755" s="17">
        <f t="shared" si="239"/>
        <v>42158</v>
      </c>
      <c r="U3755">
        <f>MONTH(Table1[[#This Row],[Launched]])</f>
        <v>5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 s="8">
        <v>1406350740</v>
      </c>
      <c r="J3756">
        <v>1403125737</v>
      </c>
      <c r="K3756" t="b">
        <v>0</v>
      </c>
      <c r="L3756" s="10">
        <v>27</v>
      </c>
      <c r="M3756" t="b">
        <v>1</v>
      </c>
      <c r="N3756" t="s">
        <v>8303</v>
      </c>
      <c r="O3756" s="11">
        <f t="shared" si="236"/>
        <v>120</v>
      </c>
      <c r="P3756" s="12">
        <f t="shared" si="237"/>
        <v>111</v>
      </c>
      <c r="Q3756" s="14" t="s">
        <v>8314</v>
      </c>
      <c r="R3756" t="s">
        <v>8356</v>
      </c>
      <c r="S3756" s="17">
        <f t="shared" si="238"/>
        <v>41808.881215277775</v>
      </c>
      <c r="T3756" s="17">
        <f t="shared" si="239"/>
        <v>41846.207638888889</v>
      </c>
      <c r="U3756">
        <f>MONTH(Table1[[#This Row],[Launched]])</f>
        <v>6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8218</v>
      </c>
      <c r="G3757" t="s">
        <v>8224</v>
      </c>
      <c r="H3757" t="s">
        <v>8246</v>
      </c>
      <c r="I3757" s="8">
        <v>1460753307</v>
      </c>
      <c r="J3757">
        <v>1458161307</v>
      </c>
      <c r="K3757" t="b">
        <v>0</v>
      </c>
      <c r="L3757" s="10">
        <v>28</v>
      </c>
      <c r="M3757" t="b">
        <v>1</v>
      </c>
      <c r="N3757" t="s">
        <v>8303</v>
      </c>
      <c r="O3757" s="11">
        <f t="shared" si="236"/>
        <v>130</v>
      </c>
      <c r="P3757" s="12">
        <f t="shared" si="237"/>
        <v>25</v>
      </c>
      <c r="Q3757" s="14" t="s">
        <v>8314</v>
      </c>
      <c r="R3757" t="s">
        <v>8356</v>
      </c>
      <c r="S3757" s="17">
        <f t="shared" si="238"/>
        <v>42445.866979166662</v>
      </c>
      <c r="T3757" s="17">
        <f t="shared" si="239"/>
        <v>42475.866979166662</v>
      </c>
      <c r="U3757">
        <f>MONTH(Table1[[#This Row],[Launched]])</f>
        <v>3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 s="8">
        <v>1402515198</v>
      </c>
      <c r="J3758">
        <v>1399923198</v>
      </c>
      <c r="K3758" t="b">
        <v>0</v>
      </c>
      <c r="L3758" s="10">
        <v>17</v>
      </c>
      <c r="M3758" t="b">
        <v>1</v>
      </c>
      <c r="N3758" t="s">
        <v>8303</v>
      </c>
      <c r="O3758" s="11">
        <f t="shared" si="236"/>
        <v>101</v>
      </c>
      <c r="P3758" s="12">
        <f t="shared" si="237"/>
        <v>268</v>
      </c>
      <c r="Q3758" s="14" t="s">
        <v>8314</v>
      </c>
      <c r="R3758" t="s">
        <v>8356</v>
      </c>
      <c r="S3758" s="17">
        <f t="shared" si="238"/>
        <v>41771.814791666664</v>
      </c>
      <c r="T3758" s="17">
        <f t="shared" si="239"/>
        <v>41801.814791666664</v>
      </c>
      <c r="U3758">
        <f>MONTH(Table1[[#This Row],[Launched]])</f>
        <v>5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 s="8">
        <v>1417465515</v>
      </c>
      <c r="J3759">
        <v>1415737515</v>
      </c>
      <c r="K3759" t="b">
        <v>0</v>
      </c>
      <c r="L3759" s="10">
        <v>50</v>
      </c>
      <c r="M3759" t="b">
        <v>1</v>
      </c>
      <c r="N3759" t="s">
        <v>8303</v>
      </c>
      <c r="O3759" s="11">
        <f t="shared" si="236"/>
        <v>109</v>
      </c>
      <c r="P3759" s="12">
        <f t="shared" si="237"/>
        <v>76</v>
      </c>
      <c r="Q3759" s="14" t="s">
        <v>8314</v>
      </c>
      <c r="R3759" t="s">
        <v>8356</v>
      </c>
      <c r="S3759" s="17">
        <f t="shared" si="238"/>
        <v>41954.850868055553</v>
      </c>
      <c r="T3759" s="17">
        <f t="shared" si="239"/>
        <v>41974.850868055553</v>
      </c>
      <c r="U3759">
        <f>MONTH(Table1[[#This Row],[Launched]])</f>
        <v>11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 s="8">
        <v>1400475600</v>
      </c>
      <c r="J3760">
        <v>1397819938</v>
      </c>
      <c r="K3760" t="b">
        <v>0</v>
      </c>
      <c r="L3760" s="10">
        <v>26</v>
      </c>
      <c r="M3760" t="b">
        <v>1</v>
      </c>
      <c r="N3760" t="s">
        <v>8303</v>
      </c>
      <c r="O3760" s="11">
        <f t="shared" si="236"/>
        <v>102</v>
      </c>
      <c r="P3760" s="12">
        <f t="shared" si="237"/>
        <v>59</v>
      </c>
      <c r="Q3760" s="14" t="s">
        <v>8314</v>
      </c>
      <c r="R3760" t="s">
        <v>8356</v>
      </c>
      <c r="S3760" s="17">
        <f t="shared" si="238"/>
        <v>41747.471504629626</v>
      </c>
      <c r="T3760" s="17">
        <f t="shared" si="239"/>
        <v>41778.208333333336</v>
      </c>
      <c r="U3760">
        <f>MONTH(Table1[[#This Row],[Launched]])</f>
        <v>4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 s="8">
        <v>1440556553</v>
      </c>
      <c r="J3761">
        <v>1435372553</v>
      </c>
      <c r="K3761" t="b">
        <v>0</v>
      </c>
      <c r="L3761" s="10">
        <v>88</v>
      </c>
      <c r="M3761" t="b">
        <v>1</v>
      </c>
      <c r="N3761" t="s">
        <v>8303</v>
      </c>
      <c r="O3761" s="11">
        <f t="shared" si="236"/>
        <v>110</v>
      </c>
      <c r="P3761" s="12">
        <f t="shared" si="237"/>
        <v>50</v>
      </c>
      <c r="Q3761" s="14" t="s">
        <v>8314</v>
      </c>
      <c r="R3761" t="s">
        <v>8356</v>
      </c>
      <c r="S3761" s="17">
        <f t="shared" si="238"/>
        <v>42182.108252314814</v>
      </c>
      <c r="T3761" s="17">
        <f t="shared" si="239"/>
        <v>42242.108252314814</v>
      </c>
      <c r="U3761">
        <f>MONTH(Table1[[#This Row],[Launched]])</f>
        <v>6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 s="8">
        <v>1399293386</v>
      </c>
      <c r="J3762">
        <v>1397133386</v>
      </c>
      <c r="K3762" t="b">
        <v>0</v>
      </c>
      <c r="L3762" s="10">
        <v>91</v>
      </c>
      <c r="M3762" t="b">
        <v>1</v>
      </c>
      <c r="N3762" t="s">
        <v>8303</v>
      </c>
      <c r="O3762" s="11">
        <f t="shared" si="236"/>
        <v>101</v>
      </c>
      <c r="P3762" s="12">
        <f t="shared" si="237"/>
        <v>56</v>
      </c>
      <c r="Q3762" s="14" t="s">
        <v>8314</v>
      </c>
      <c r="R3762" t="s">
        <v>8356</v>
      </c>
      <c r="S3762" s="17">
        <f t="shared" si="238"/>
        <v>41739.525300925925</v>
      </c>
      <c r="T3762" s="17">
        <f t="shared" si="239"/>
        <v>41764.525300925925</v>
      </c>
      <c r="U3762">
        <f>MONTH(Table1[[#This Row],[Launched]])</f>
        <v>4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8218</v>
      </c>
      <c r="G3763" t="s">
        <v>8224</v>
      </c>
      <c r="H3763" t="s">
        <v>8246</v>
      </c>
      <c r="I3763" s="8">
        <v>1439247600</v>
      </c>
      <c r="J3763">
        <v>1434625937</v>
      </c>
      <c r="K3763" t="b">
        <v>0</v>
      </c>
      <c r="L3763" s="10">
        <v>3</v>
      </c>
      <c r="M3763" t="b">
        <v>1</v>
      </c>
      <c r="N3763" t="s">
        <v>8303</v>
      </c>
      <c r="O3763" s="11">
        <f t="shared" si="236"/>
        <v>100</v>
      </c>
      <c r="P3763" s="12">
        <f t="shared" si="237"/>
        <v>167</v>
      </c>
      <c r="Q3763" s="14" t="s">
        <v>8314</v>
      </c>
      <c r="R3763" t="s">
        <v>8356</v>
      </c>
      <c r="S3763" s="17">
        <f t="shared" si="238"/>
        <v>42173.466863425929</v>
      </c>
      <c r="T3763" s="17">
        <f t="shared" si="239"/>
        <v>42226.958333333328</v>
      </c>
      <c r="U3763">
        <f>MONTH(Table1[[#This Row],[Launched]])</f>
        <v>6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 s="8">
        <v>1438543889</v>
      </c>
      <c r="J3764">
        <v>1436383889</v>
      </c>
      <c r="K3764" t="b">
        <v>0</v>
      </c>
      <c r="L3764" s="10">
        <v>28</v>
      </c>
      <c r="M3764" t="b">
        <v>1</v>
      </c>
      <c r="N3764" t="s">
        <v>8303</v>
      </c>
      <c r="O3764" s="11">
        <f t="shared" si="236"/>
        <v>106</v>
      </c>
      <c r="P3764" s="12">
        <f t="shared" si="237"/>
        <v>47</v>
      </c>
      <c r="Q3764" s="14" t="s">
        <v>8314</v>
      </c>
      <c r="R3764" t="s">
        <v>8356</v>
      </c>
      <c r="S3764" s="17">
        <f t="shared" si="238"/>
        <v>42193.813530092593</v>
      </c>
      <c r="T3764" s="17">
        <f t="shared" si="239"/>
        <v>42218.813530092593</v>
      </c>
      <c r="U3764">
        <f>MONTH(Table1[[#This Row],[Launched]])</f>
        <v>7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 s="8">
        <v>1427907626</v>
      </c>
      <c r="J3765">
        <v>1425319226</v>
      </c>
      <c r="K3765" t="b">
        <v>0</v>
      </c>
      <c r="L3765" s="10">
        <v>77</v>
      </c>
      <c r="M3765" t="b">
        <v>1</v>
      </c>
      <c r="N3765" t="s">
        <v>8303</v>
      </c>
      <c r="O3765" s="11">
        <f t="shared" si="236"/>
        <v>100</v>
      </c>
      <c r="P3765" s="12">
        <f t="shared" si="237"/>
        <v>65</v>
      </c>
      <c r="Q3765" s="14" t="s">
        <v>8314</v>
      </c>
      <c r="R3765" t="s">
        <v>8356</v>
      </c>
      <c r="S3765" s="17">
        <f t="shared" si="238"/>
        <v>42065.750300925924</v>
      </c>
      <c r="T3765" s="17">
        <f t="shared" si="239"/>
        <v>42095.708634259259</v>
      </c>
      <c r="U3765">
        <f>MONTH(Table1[[#This Row],[Launched]])</f>
        <v>3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 s="8">
        <v>1464482160</v>
      </c>
      <c r="J3766">
        <v>1462824832</v>
      </c>
      <c r="K3766" t="b">
        <v>0</v>
      </c>
      <c r="L3766" s="10">
        <v>27</v>
      </c>
      <c r="M3766" t="b">
        <v>1</v>
      </c>
      <c r="N3766" t="s">
        <v>8303</v>
      </c>
      <c r="O3766" s="11">
        <f t="shared" si="236"/>
        <v>100</v>
      </c>
      <c r="P3766" s="12">
        <f t="shared" si="237"/>
        <v>56</v>
      </c>
      <c r="Q3766" s="14" t="s">
        <v>8314</v>
      </c>
      <c r="R3766" t="s">
        <v>8356</v>
      </c>
      <c r="S3766" s="17">
        <f t="shared" si="238"/>
        <v>42499.842962962968</v>
      </c>
      <c r="T3766" s="17">
        <f t="shared" si="239"/>
        <v>42519.024999999994</v>
      </c>
      <c r="U3766">
        <f>MONTH(Table1[[#This Row],[Launched]])</f>
        <v>5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 s="8">
        <v>1406745482</v>
      </c>
      <c r="J3767">
        <v>1404153482</v>
      </c>
      <c r="K3767" t="b">
        <v>0</v>
      </c>
      <c r="L3767" s="10">
        <v>107</v>
      </c>
      <c r="M3767" t="b">
        <v>1</v>
      </c>
      <c r="N3767" t="s">
        <v>8303</v>
      </c>
      <c r="O3767" s="11">
        <f t="shared" si="236"/>
        <v>113</v>
      </c>
      <c r="P3767" s="12">
        <f t="shared" si="237"/>
        <v>74</v>
      </c>
      <c r="Q3767" s="14" t="s">
        <v>8314</v>
      </c>
      <c r="R3767" t="s">
        <v>8356</v>
      </c>
      <c r="S3767" s="17">
        <f t="shared" si="238"/>
        <v>41820.776412037041</v>
      </c>
      <c r="T3767" s="17">
        <f t="shared" si="239"/>
        <v>41850.776412037041</v>
      </c>
      <c r="U3767">
        <f>MONTH(Table1[[#This Row],[Launched]])</f>
        <v>6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 s="8">
        <v>1404360045</v>
      </c>
      <c r="J3768">
        <v>1401336045</v>
      </c>
      <c r="K3768" t="b">
        <v>0</v>
      </c>
      <c r="L3768" s="10">
        <v>96</v>
      </c>
      <c r="M3768" t="b">
        <v>1</v>
      </c>
      <c r="N3768" t="s">
        <v>8303</v>
      </c>
      <c r="O3768" s="11">
        <f t="shared" si="236"/>
        <v>103</v>
      </c>
      <c r="P3768" s="12">
        <f t="shared" si="237"/>
        <v>107</v>
      </c>
      <c r="Q3768" s="14" t="s">
        <v>8314</v>
      </c>
      <c r="R3768" t="s">
        <v>8356</v>
      </c>
      <c r="S3768" s="17">
        <f t="shared" si="238"/>
        <v>41788.167187500003</v>
      </c>
      <c r="T3768" s="17">
        <f t="shared" si="239"/>
        <v>41823.167187500003</v>
      </c>
      <c r="U3768">
        <f>MONTH(Table1[[#This Row],[Launched]])</f>
        <v>5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 s="8">
        <v>1425185940</v>
      </c>
      <c r="J3769">
        <v>1423960097</v>
      </c>
      <c r="K3769" t="b">
        <v>0</v>
      </c>
      <c r="L3769" s="10">
        <v>56</v>
      </c>
      <c r="M3769" t="b">
        <v>1</v>
      </c>
      <c r="N3769" t="s">
        <v>8303</v>
      </c>
      <c r="O3769" s="11">
        <f t="shared" si="236"/>
        <v>117</v>
      </c>
      <c r="P3769" s="12">
        <f t="shared" si="237"/>
        <v>42</v>
      </c>
      <c r="Q3769" s="14" t="s">
        <v>8314</v>
      </c>
      <c r="R3769" t="s">
        <v>8356</v>
      </c>
      <c r="S3769" s="17">
        <f t="shared" si="238"/>
        <v>42050.019641203704</v>
      </c>
      <c r="T3769" s="17">
        <f t="shared" si="239"/>
        <v>42064.207638888889</v>
      </c>
      <c r="U3769">
        <f>MONTH(Table1[[#This Row],[Launched]])</f>
        <v>2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 s="8">
        <v>1402594090</v>
      </c>
      <c r="J3770">
        <v>1400002090</v>
      </c>
      <c r="K3770" t="b">
        <v>0</v>
      </c>
      <c r="L3770" s="10">
        <v>58</v>
      </c>
      <c r="M3770" t="b">
        <v>1</v>
      </c>
      <c r="N3770" t="s">
        <v>8303</v>
      </c>
      <c r="O3770" s="11">
        <f t="shared" si="236"/>
        <v>108</v>
      </c>
      <c r="P3770" s="12">
        <f t="shared" si="237"/>
        <v>74</v>
      </c>
      <c r="Q3770" s="14" t="s">
        <v>8314</v>
      </c>
      <c r="R3770" t="s">
        <v>8356</v>
      </c>
      <c r="S3770" s="17">
        <f t="shared" si="238"/>
        <v>41772.727893518517</v>
      </c>
      <c r="T3770" s="17">
        <f t="shared" si="239"/>
        <v>41802.727893518517</v>
      </c>
      <c r="U3770">
        <f>MONTH(Table1[[#This Row],[Launched]])</f>
        <v>5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 s="8">
        <v>1460730079</v>
      </c>
      <c r="J3771">
        <v>1458138079</v>
      </c>
      <c r="K3771" t="b">
        <v>0</v>
      </c>
      <c r="L3771" s="10">
        <v>15</v>
      </c>
      <c r="M3771" t="b">
        <v>1</v>
      </c>
      <c r="N3771" t="s">
        <v>8303</v>
      </c>
      <c r="O3771" s="11">
        <f t="shared" si="236"/>
        <v>100</v>
      </c>
      <c r="P3771" s="12">
        <f t="shared" si="237"/>
        <v>73</v>
      </c>
      <c r="Q3771" s="14" t="s">
        <v>8314</v>
      </c>
      <c r="R3771" t="s">
        <v>8356</v>
      </c>
      <c r="S3771" s="17">
        <f t="shared" si="238"/>
        <v>42445.598136574074</v>
      </c>
      <c r="T3771" s="17">
        <f t="shared" si="239"/>
        <v>42475.598136574074</v>
      </c>
      <c r="U3771">
        <f>MONTH(Table1[[#This Row],[Launched]])</f>
        <v>3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 s="8">
        <v>1434234010</v>
      </c>
      <c r="J3772">
        <v>1431642010</v>
      </c>
      <c r="K3772" t="b">
        <v>0</v>
      </c>
      <c r="L3772" s="10">
        <v>20</v>
      </c>
      <c r="M3772" t="b">
        <v>1</v>
      </c>
      <c r="N3772" t="s">
        <v>8303</v>
      </c>
      <c r="O3772" s="11">
        <f t="shared" si="236"/>
        <v>100</v>
      </c>
      <c r="P3772" s="12">
        <f t="shared" si="237"/>
        <v>100</v>
      </c>
      <c r="Q3772" s="14" t="s">
        <v>8314</v>
      </c>
      <c r="R3772" t="s">
        <v>8356</v>
      </c>
      <c r="S3772" s="17">
        <f t="shared" si="238"/>
        <v>42138.930671296301</v>
      </c>
      <c r="T3772" s="17">
        <f t="shared" si="239"/>
        <v>42168.930671296301</v>
      </c>
      <c r="U3772">
        <f>MONTH(Table1[[#This Row],[Launched]])</f>
        <v>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 s="8">
        <v>1463529600</v>
      </c>
      <c r="J3773">
        <v>1462307652</v>
      </c>
      <c r="K3773" t="b">
        <v>0</v>
      </c>
      <c r="L3773" s="10">
        <v>38</v>
      </c>
      <c r="M3773" t="b">
        <v>1</v>
      </c>
      <c r="N3773" t="s">
        <v>8303</v>
      </c>
      <c r="O3773" s="11">
        <f t="shared" si="236"/>
        <v>146</v>
      </c>
      <c r="P3773" s="12">
        <f t="shared" si="237"/>
        <v>38</v>
      </c>
      <c r="Q3773" s="14" t="s">
        <v>8314</v>
      </c>
      <c r="R3773" t="s">
        <v>8356</v>
      </c>
      <c r="S3773" s="17">
        <f t="shared" si="238"/>
        <v>42493.857083333336</v>
      </c>
      <c r="T3773" s="17">
        <f t="shared" si="239"/>
        <v>42508</v>
      </c>
      <c r="U3773">
        <f>MONTH(Table1[[#This Row],[Launched]])</f>
        <v>5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 s="8">
        <v>1480399200</v>
      </c>
      <c r="J3774">
        <v>1478616506</v>
      </c>
      <c r="K3774" t="b">
        <v>0</v>
      </c>
      <c r="L3774" s="10">
        <v>33</v>
      </c>
      <c r="M3774" t="b">
        <v>1</v>
      </c>
      <c r="N3774" t="s">
        <v>8303</v>
      </c>
      <c r="O3774" s="11">
        <f t="shared" si="236"/>
        <v>110</v>
      </c>
      <c r="P3774" s="12">
        <f t="shared" si="237"/>
        <v>167</v>
      </c>
      <c r="Q3774" s="14" t="s">
        <v>8314</v>
      </c>
      <c r="R3774" t="s">
        <v>8356</v>
      </c>
      <c r="S3774" s="17">
        <f t="shared" si="238"/>
        <v>42682.616967592592</v>
      </c>
      <c r="T3774" s="17">
        <f t="shared" si="239"/>
        <v>42703.25</v>
      </c>
      <c r="U3774">
        <f>MONTH(Table1[[#This Row],[Launched]])</f>
        <v>11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 s="8">
        <v>1479175680</v>
      </c>
      <c r="J3775">
        <v>1476317247</v>
      </c>
      <c r="K3775" t="b">
        <v>0</v>
      </c>
      <c r="L3775" s="10">
        <v>57</v>
      </c>
      <c r="M3775" t="b">
        <v>1</v>
      </c>
      <c r="N3775" t="s">
        <v>8303</v>
      </c>
      <c r="O3775" s="11">
        <f t="shared" si="236"/>
        <v>108</v>
      </c>
      <c r="P3775" s="12">
        <f t="shared" si="237"/>
        <v>95</v>
      </c>
      <c r="Q3775" s="14" t="s">
        <v>8314</v>
      </c>
      <c r="R3775" t="s">
        <v>8356</v>
      </c>
      <c r="S3775" s="17">
        <f t="shared" si="238"/>
        <v>42656.005173611105</v>
      </c>
      <c r="T3775" s="17">
        <f t="shared" si="239"/>
        <v>42689.088888888888</v>
      </c>
      <c r="U3775">
        <f>MONTH(Table1[[#This Row],[Launched]])</f>
        <v>10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 s="8">
        <v>1428606055</v>
      </c>
      <c r="J3776">
        <v>1427223655</v>
      </c>
      <c r="K3776" t="b">
        <v>0</v>
      </c>
      <c r="L3776" s="10">
        <v>25</v>
      </c>
      <c r="M3776" t="b">
        <v>1</v>
      </c>
      <c r="N3776" t="s">
        <v>8303</v>
      </c>
      <c r="O3776" s="11">
        <f t="shared" si="236"/>
        <v>100</v>
      </c>
      <c r="P3776" s="12">
        <f t="shared" si="237"/>
        <v>100</v>
      </c>
      <c r="Q3776" s="14" t="s">
        <v>8314</v>
      </c>
      <c r="R3776" t="s">
        <v>8356</v>
      </c>
      <c r="S3776" s="17">
        <f t="shared" si="238"/>
        <v>42087.792303240742</v>
      </c>
      <c r="T3776" s="17">
        <f t="shared" si="239"/>
        <v>42103.792303240742</v>
      </c>
      <c r="U3776">
        <f>MONTH(Table1[[#This Row],[Launched]])</f>
        <v>3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 s="8">
        <v>1428552000</v>
      </c>
      <c r="J3777">
        <v>1426199843</v>
      </c>
      <c r="K3777" t="b">
        <v>0</v>
      </c>
      <c r="L3777" s="10">
        <v>14</v>
      </c>
      <c r="M3777" t="b">
        <v>1</v>
      </c>
      <c r="N3777" t="s">
        <v>8303</v>
      </c>
      <c r="O3777" s="11">
        <f t="shared" si="236"/>
        <v>100</v>
      </c>
      <c r="P3777" s="12">
        <f t="shared" si="237"/>
        <v>143</v>
      </c>
      <c r="Q3777" s="14" t="s">
        <v>8314</v>
      </c>
      <c r="R3777" t="s">
        <v>8356</v>
      </c>
      <c r="S3777" s="17">
        <f t="shared" si="238"/>
        <v>42075.942627314813</v>
      </c>
      <c r="T3777" s="17">
        <f t="shared" si="239"/>
        <v>42103.166666666672</v>
      </c>
      <c r="U3777">
        <f>MONTH(Table1[[#This Row],[Launched]])</f>
        <v>3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 s="8">
        <v>1406854800</v>
      </c>
      <c r="J3778">
        <v>1403599778</v>
      </c>
      <c r="K3778" t="b">
        <v>0</v>
      </c>
      <c r="L3778" s="10">
        <v>94</v>
      </c>
      <c r="M3778" t="b">
        <v>1</v>
      </c>
      <c r="N3778" t="s">
        <v>8303</v>
      </c>
      <c r="O3778" s="11">
        <f t="shared" ref="O3778:O3841" si="240">ROUND(E3778/D3778*100,0)</f>
        <v>107</v>
      </c>
      <c r="P3778" s="12">
        <f t="shared" si="237"/>
        <v>91</v>
      </c>
      <c r="Q3778" s="14" t="s">
        <v>8314</v>
      </c>
      <c r="R3778" t="s">
        <v>8356</v>
      </c>
      <c r="S3778" s="17">
        <f t="shared" si="238"/>
        <v>41814.367800925924</v>
      </c>
      <c r="T3778" s="17">
        <f t="shared" si="239"/>
        <v>41852.041666666664</v>
      </c>
      <c r="U3778">
        <f>MONTH(Table1[[#This Row],[Launched]])</f>
        <v>6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 s="8">
        <v>1411790400</v>
      </c>
      <c r="J3779">
        <v>1409884821</v>
      </c>
      <c r="K3779" t="b">
        <v>0</v>
      </c>
      <c r="L3779" s="10">
        <v>59</v>
      </c>
      <c r="M3779" t="b">
        <v>1</v>
      </c>
      <c r="N3779" t="s">
        <v>8303</v>
      </c>
      <c r="O3779" s="11">
        <f t="shared" si="240"/>
        <v>143</v>
      </c>
      <c r="P3779" s="12">
        <f t="shared" ref="P3779:P3842" si="241">IFERROR(ROUND(E3779/L3779,),"No Backers")</f>
        <v>49</v>
      </c>
      <c r="Q3779" s="14" t="s">
        <v>8314</v>
      </c>
      <c r="R3779" t="s">
        <v>8356</v>
      </c>
      <c r="S3779" s="17">
        <f t="shared" ref="S3779:S3842" si="242">(((J3779/60)/60)/24)+DATE(1970,1,1)</f>
        <v>41887.111354166671</v>
      </c>
      <c r="T3779" s="17">
        <f t="shared" ref="T3779:T3842" si="243">(((I3779/60)/60)/24)+DATE(1970,1,1)</f>
        <v>41909.166666666664</v>
      </c>
      <c r="U3779">
        <f>MONTH(Table1[[#This Row],[Launched]])</f>
        <v>9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 s="8">
        <v>1423942780</v>
      </c>
      <c r="J3780">
        <v>1418758780</v>
      </c>
      <c r="K3780" t="b">
        <v>0</v>
      </c>
      <c r="L3780" s="10">
        <v>36</v>
      </c>
      <c r="M3780" t="b">
        <v>1</v>
      </c>
      <c r="N3780" t="s">
        <v>8303</v>
      </c>
      <c r="O3780" s="11">
        <f t="shared" si="240"/>
        <v>105</v>
      </c>
      <c r="P3780" s="12">
        <f t="shared" si="241"/>
        <v>70</v>
      </c>
      <c r="Q3780" s="14" t="s">
        <v>8314</v>
      </c>
      <c r="R3780" t="s">
        <v>8356</v>
      </c>
      <c r="S3780" s="17">
        <f t="shared" si="242"/>
        <v>41989.819212962961</v>
      </c>
      <c r="T3780" s="17">
        <f t="shared" si="243"/>
        <v>42049.819212962961</v>
      </c>
      <c r="U3780">
        <f>MONTH(Table1[[#This Row],[Launched]])</f>
        <v>12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 s="8">
        <v>1459010340</v>
      </c>
      <c r="J3781">
        <v>1456421940</v>
      </c>
      <c r="K3781" t="b">
        <v>0</v>
      </c>
      <c r="L3781" s="10">
        <v>115</v>
      </c>
      <c r="M3781" t="b">
        <v>1</v>
      </c>
      <c r="N3781" t="s">
        <v>8303</v>
      </c>
      <c r="O3781" s="11">
        <f t="shared" si="240"/>
        <v>104</v>
      </c>
      <c r="P3781" s="12">
        <f t="shared" si="241"/>
        <v>136</v>
      </c>
      <c r="Q3781" s="14" t="s">
        <v>8314</v>
      </c>
      <c r="R3781" t="s">
        <v>8356</v>
      </c>
      <c r="S3781" s="17">
        <f t="shared" si="242"/>
        <v>42425.735416666663</v>
      </c>
      <c r="T3781" s="17">
        <f t="shared" si="243"/>
        <v>42455.693750000006</v>
      </c>
      <c r="U3781">
        <f>MONTH(Table1[[#This Row],[Launched]])</f>
        <v>2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 s="8">
        <v>1436817960</v>
      </c>
      <c r="J3782">
        <v>1433999785</v>
      </c>
      <c r="K3782" t="b">
        <v>0</v>
      </c>
      <c r="L3782" s="10">
        <v>30</v>
      </c>
      <c r="M3782" t="b">
        <v>1</v>
      </c>
      <c r="N3782" t="s">
        <v>8303</v>
      </c>
      <c r="O3782" s="11">
        <f t="shared" si="240"/>
        <v>120</v>
      </c>
      <c r="P3782" s="12">
        <f t="shared" si="241"/>
        <v>100</v>
      </c>
      <c r="Q3782" s="14" t="s">
        <v>8314</v>
      </c>
      <c r="R3782" t="s">
        <v>8356</v>
      </c>
      <c r="S3782" s="17">
        <f t="shared" si="242"/>
        <v>42166.219733796301</v>
      </c>
      <c r="T3782" s="17">
        <f t="shared" si="243"/>
        <v>42198.837499999994</v>
      </c>
      <c r="U3782">
        <f>MONTH(Table1[[#This Row],[Launched]])</f>
        <v>6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 s="8">
        <v>1410210685</v>
      </c>
      <c r="J3783">
        <v>1408050685</v>
      </c>
      <c r="K3783" t="b">
        <v>0</v>
      </c>
      <c r="L3783" s="10">
        <v>52</v>
      </c>
      <c r="M3783" t="b">
        <v>1</v>
      </c>
      <c r="N3783" t="s">
        <v>8303</v>
      </c>
      <c r="O3783" s="11">
        <f t="shared" si="240"/>
        <v>110</v>
      </c>
      <c r="P3783" s="12">
        <f t="shared" si="241"/>
        <v>95</v>
      </c>
      <c r="Q3783" s="14" t="s">
        <v>8314</v>
      </c>
      <c r="R3783" t="s">
        <v>8356</v>
      </c>
      <c r="S3783" s="17">
        <f t="shared" si="242"/>
        <v>41865.882928240739</v>
      </c>
      <c r="T3783" s="17">
        <f t="shared" si="243"/>
        <v>41890.882928240739</v>
      </c>
      <c r="U3783">
        <f>MONTH(Table1[[#This Row],[Launched]])</f>
        <v>8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 s="8">
        <v>1469401200</v>
      </c>
      <c r="J3784">
        <v>1466887297</v>
      </c>
      <c r="K3784" t="b">
        <v>0</v>
      </c>
      <c r="L3784" s="10">
        <v>27</v>
      </c>
      <c r="M3784" t="b">
        <v>1</v>
      </c>
      <c r="N3784" t="s">
        <v>8303</v>
      </c>
      <c r="O3784" s="11">
        <f t="shared" si="240"/>
        <v>102</v>
      </c>
      <c r="P3784" s="12">
        <f t="shared" si="241"/>
        <v>75</v>
      </c>
      <c r="Q3784" s="14" t="s">
        <v>8314</v>
      </c>
      <c r="R3784" t="s">
        <v>8356</v>
      </c>
      <c r="S3784" s="17">
        <f t="shared" si="242"/>
        <v>42546.862233796302</v>
      </c>
      <c r="T3784" s="17">
        <f t="shared" si="243"/>
        <v>42575.958333333328</v>
      </c>
      <c r="U3784">
        <f>MONTH(Table1[[#This Row],[Launched]])</f>
        <v>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 s="8">
        <v>1458057600</v>
      </c>
      <c r="J3785">
        <v>1455938520</v>
      </c>
      <c r="K3785" t="b">
        <v>0</v>
      </c>
      <c r="L3785" s="10">
        <v>24</v>
      </c>
      <c r="M3785" t="b">
        <v>1</v>
      </c>
      <c r="N3785" t="s">
        <v>8303</v>
      </c>
      <c r="O3785" s="11">
        <f t="shared" si="240"/>
        <v>129</v>
      </c>
      <c r="P3785" s="12">
        <f t="shared" si="241"/>
        <v>64</v>
      </c>
      <c r="Q3785" s="14" t="s">
        <v>8314</v>
      </c>
      <c r="R3785" t="s">
        <v>8356</v>
      </c>
      <c r="S3785" s="17">
        <f t="shared" si="242"/>
        <v>42420.140277777777</v>
      </c>
      <c r="T3785" s="17">
        <f t="shared" si="243"/>
        <v>42444.666666666672</v>
      </c>
      <c r="U3785">
        <f>MONTH(Table1[[#This Row],[Launched]])</f>
        <v>2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 s="8">
        <v>1468193532</v>
      </c>
      <c r="J3786">
        <v>1465601532</v>
      </c>
      <c r="K3786" t="b">
        <v>0</v>
      </c>
      <c r="L3786" s="10">
        <v>10</v>
      </c>
      <c r="M3786" t="b">
        <v>1</v>
      </c>
      <c r="N3786" t="s">
        <v>8303</v>
      </c>
      <c r="O3786" s="11">
        <f t="shared" si="240"/>
        <v>115</v>
      </c>
      <c r="P3786" s="12">
        <f t="shared" si="241"/>
        <v>115</v>
      </c>
      <c r="Q3786" s="14" t="s">
        <v>8314</v>
      </c>
      <c r="R3786" t="s">
        <v>8356</v>
      </c>
      <c r="S3786" s="17">
        <f t="shared" si="242"/>
        <v>42531.980694444443</v>
      </c>
      <c r="T3786" s="17">
        <f t="shared" si="243"/>
        <v>42561.980694444443</v>
      </c>
      <c r="U3786">
        <f>MONTH(Table1[[#This Row],[Launched]])</f>
        <v>6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 s="8">
        <v>1470132180</v>
      </c>
      <c r="J3787">
        <v>1467040769</v>
      </c>
      <c r="K3787" t="b">
        <v>0</v>
      </c>
      <c r="L3787" s="10">
        <v>30</v>
      </c>
      <c r="M3787" t="b">
        <v>1</v>
      </c>
      <c r="N3787" t="s">
        <v>8303</v>
      </c>
      <c r="O3787" s="11">
        <f t="shared" si="240"/>
        <v>151</v>
      </c>
      <c r="P3787" s="12">
        <f t="shared" si="241"/>
        <v>101</v>
      </c>
      <c r="Q3787" s="14" t="s">
        <v>8314</v>
      </c>
      <c r="R3787" t="s">
        <v>8356</v>
      </c>
      <c r="S3787" s="17">
        <f t="shared" si="242"/>
        <v>42548.63853009259</v>
      </c>
      <c r="T3787" s="17">
        <f t="shared" si="243"/>
        <v>42584.418749999997</v>
      </c>
      <c r="U3787">
        <f>MONTH(Table1[[#This Row],[Launched]])</f>
        <v>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 s="8">
        <v>1464310475</v>
      </c>
      <c r="J3788">
        <v>1461718475</v>
      </c>
      <c r="K3788" t="b">
        <v>0</v>
      </c>
      <c r="L3788" s="10">
        <v>71</v>
      </c>
      <c r="M3788" t="b">
        <v>1</v>
      </c>
      <c r="N3788" t="s">
        <v>8303</v>
      </c>
      <c r="O3788" s="11">
        <f t="shared" si="240"/>
        <v>111</v>
      </c>
      <c r="P3788" s="12">
        <f t="shared" si="241"/>
        <v>94</v>
      </c>
      <c r="Q3788" s="14" t="s">
        <v>8314</v>
      </c>
      <c r="R3788" t="s">
        <v>8356</v>
      </c>
      <c r="S3788" s="17">
        <f t="shared" si="242"/>
        <v>42487.037905092591</v>
      </c>
      <c r="T3788" s="17">
        <f t="shared" si="243"/>
        <v>42517.037905092591</v>
      </c>
      <c r="U3788">
        <f>MONTH(Table1[[#This Row],[Launched]])</f>
        <v>4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8218</v>
      </c>
      <c r="G3789" t="s">
        <v>8223</v>
      </c>
      <c r="H3789" t="s">
        <v>8245</v>
      </c>
      <c r="I3789" s="8">
        <v>1436587140</v>
      </c>
      <c r="J3789">
        <v>1434113406</v>
      </c>
      <c r="K3789" t="b">
        <v>0</v>
      </c>
      <c r="L3789" s="10">
        <v>10</v>
      </c>
      <c r="M3789" t="b">
        <v>1</v>
      </c>
      <c r="N3789" t="s">
        <v>8303</v>
      </c>
      <c r="O3789" s="11">
        <f t="shared" si="240"/>
        <v>100</v>
      </c>
      <c r="P3789" s="12">
        <f t="shared" si="241"/>
        <v>35</v>
      </c>
      <c r="Q3789" s="14" t="s">
        <v>8314</v>
      </c>
      <c r="R3789" t="s">
        <v>8356</v>
      </c>
      <c r="S3789" s="17">
        <f t="shared" si="242"/>
        <v>42167.534791666665</v>
      </c>
      <c r="T3789" s="17">
        <f t="shared" si="243"/>
        <v>42196.165972222225</v>
      </c>
      <c r="U3789">
        <f>MONTH(Table1[[#This Row],[Launched]])</f>
        <v>6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 s="8">
        <v>1450887480</v>
      </c>
      <c r="J3790">
        <v>1448469719</v>
      </c>
      <c r="K3790" t="b">
        <v>0</v>
      </c>
      <c r="L3790" s="10">
        <v>1</v>
      </c>
      <c r="M3790" t="b">
        <v>0</v>
      </c>
      <c r="N3790" t="s">
        <v>8303</v>
      </c>
      <c r="O3790" s="11">
        <f t="shared" si="240"/>
        <v>1</v>
      </c>
      <c r="P3790" s="12">
        <f t="shared" si="241"/>
        <v>500</v>
      </c>
      <c r="Q3790" s="14" t="s">
        <v>8314</v>
      </c>
      <c r="R3790" t="s">
        <v>8356</v>
      </c>
      <c r="S3790" s="17">
        <f t="shared" si="242"/>
        <v>42333.695821759262</v>
      </c>
      <c r="T3790" s="17">
        <f t="shared" si="243"/>
        <v>42361.679166666669</v>
      </c>
      <c r="U3790">
        <f>MONTH(Table1[[#This Row],[Launched]])</f>
        <v>11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8220</v>
      </c>
      <c r="G3791" t="s">
        <v>8224</v>
      </c>
      <c r="H3791" t="s">
        <v>8246</v>
      </c>
      <c r="I3791" s="8">
        <v>1434395418</v>
      </c>
      <c r="J3791">
        <v>1431630618</v>
      </c>
      <c r="K3791" t="b">
        <v>0</v>
      </c>
      <c r="L3791" s="10">
        <v>4</v>
      </c>
      <c r="M3791" t="b">
        <v>0</v>
      </c>
      <c r="N3791" t="s">
        <v>8303</v>
      </c>
      <c r="O3791" s="11">
        <f t="shared" si="240"/>
        <v>3</v>
      </c>
      <c r="P3791" s="12">
        <f t="shared" si="241"/>
        <v>29</v>
      </c>
      <c r="Q3791" s="14" t="s">
        <v>8314</v>
      </c>
      <c r="R3791" t="s">
        <v>8356</v>
      </c>
      <c r="S3791" s="17">
        <f t="shared" si="242"/>
        <v>42138.798819444448</v>
      </c>
      <c r="T3791" s="17">
        <f t="shared" si="243"/>
        <v>42170.798819444448</v>
      </c>
      <c r="U3791">
        <f>MONTH(Table1[[#This Row],[Launched]])</f>
        <v>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8220</v>
      </c>
      <c r="G3792" t="s">
        <v>8223</v>
      </c>
      <c r="H3792" t="s">
        <v>8245</v>
      </c>
      <c r="I3792" s="8">
        <v>1479834023</v>
      </c>
      <c r="J3792">
        <v>1477238423</v>
      </c>
      <c r="K3792" t="b">
        <v>0</v>
      </c>
      <c r="L3792" s="10">
        <v>0</v>
      </c>
      <c r="M3792" t="b">
        <v>0</v>
      </c>
      <c r="N3792" t="s">
        <v>8303</v>
      </c>
      <c r="O3792" s="11">
        <f t="shared" si="240"/>
        <v>0</v>
      </c>
      <c r="P3792" s="12" t="str">
        <f t="shared" si="241"/>
        <v>No Backers</v>
      </c>
      <c r="Q3792" s="14" t="s">
        <v>8314</v>
      </c>
      <c r="R3792" t="s">
        <v>8356</v>
      </c>
      <c r="S3792" s="17">
        <f t="shared" si="242"/>
        <v>42666.666932870372</v>
      </c>
      <c r="T3792" s="17">
        <f t="shared" si="243"/>
        <v>42696.708599537036</v>
      </c>
      <c r="U3792">
        <f>MONTH(Table1[[#This Row],[Launched]])</f>
        <v>10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8220</v>
      </c>
      <c r="G3793" t="s">
        <v>8223</v>
      </c>
      <c r="H3793" t="s">
        <v>8245</v>
      </c>
      <c r="I3793" s="8">
        <v>1404664592</v>
      </c>
      <c r="J3793">
        <v>1399480592</v>
      </c>
      <c r="K3793" t="b">
        <v>0</v>
      </c>
      <c r="L3793" s="10">
        <v>0</v>
      </c>
      <c r="M3793" t="b">
        <v>0</v>
      </c>
      <c r="N3793" t="s">
        <v>8303</v>
      </c>
      <c r="O3793" s="11">
        <f t="shared" si="240"/>
        <v>0</v>
      </c>
      <c r="P3793" s="12" t="str">
        <f t="shared" si="241"/>
        <v>No Backers</v>
      </c>
      <c r="Q3793" s="14" t="s">
        <v>8314</v>
      </c>
      <c r="R3793" t="s">
        <v>8356</v>
      </c>
      <c r="S3793" s="17">
        <f t="shared" si="242"/>
        <v>41766.692037037035</v>
      </c>
      <c r="T3793" s="17">
        <f t="shared" si="243"/>
        <v>41826.692037037035</v>
      </c>
      <c r="U3793">
        <f>MONTH(Table1[[#This Row],[Launched]])</f>
        <v>5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8220</v>
      </c>
      <c r="G3794" t="s">
        <v>8223</v>
      </c>
      <c r="H3794" t="s">
        <v>8245</v>
      </c>
      <c r="I3794" s="8">
        <v>1436957022</v>
      </c>
      <c r="J3794">
        <v>1434365022</v>
      </c>
      <c r="K3794" t="b">
        <v>0</v>
      </c>
      <c r="L3794" s="10">
        <v>2</v>
      </c>
      <c r="M3794" t="b">
        <v>0</v>
      </c>
      <c r="N3794" t="s">
        <v>8303</v>
      </c>
      <c r="O3794" s="11">
        <f t="shared" si="240"/>
        <v>0</v>
      </c>
      <c r="P3794" s="12">
        <f t="shared" si="241"/>
        <v>18</v>
      </c>
      <c r="Q3794" s="14" t="s">
        <v>8314</v>
      </c>
      <c r="R3794" t="s">
        <v>8356</v>
      </c>
      <c r="S3794" s="17">
        <f t="shared" si="242"/>
        <v>42170.447013888886</v>
      </c>
      <c r="T3794" s="17">
        <f t="shared" si="243"/>
        <v>42200.447013888886</v>
      </c>
      <c r="U3794">
        <f>MONTH(Table1[[#This Row],[Launched]])</f>
        <v>6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 s="8">
        <v>1418769129</v>
      </c>
      <c r="J3795">
        <v>1416954729</v>
      </c>
      <c r="K3795" t="b">
        <v>0</v>
      </c>
      <c r="L3795" s="10">
        <v>24</v>
      </c>
      <c r="M3795" t="b">
        <v>0</v>
      </c>
      <c r="N3795" t="s">
        <v>8303</v>
      </c>
      <c r="O3795" s="11">
        <f t="shared" si="240"/>
        <v>60</v>
      </c>
      <c r="P3795" s="12">
        <f t="shared" si="241"/>
        <v>174</v>
      </c>
      <c r="Q3795" s="14" t="s">
        <v>8314</v>
      </c>
      <c r="R3795" t="s">
        <v>8356</v>
      </c>
      <c r="S3795" s="17">
        <f t="shared" si="242"/>
        <v>41968.938993055555</v>
      </c>
      <c r="T3795" s="17">
        <f t="shared" si="243"/>
        <v>41989.938993055555</v>
      </c>
      <c r="U3795">
        <f>MONTH(Table1[[#This Row],[Launched]])</f>
        <v>11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8220</v>
      </c>
      <c r="G3796" t="s">
        <v>8224</v>
      </c>
      <c r="H3796" t="s">
        <v>8246</v>
      </c>
      <c r="I3796" s="8">
        <v>1433685354</v>
      </c>
      <c r="J3796">
        <v>1431093354</v>
      </c>
      <c r="K3796" t="b">
        <v>0</v>
      </c>
      <c r="L3796" s="10">
        <v>1</v>
      </c>
      <c r="M3796" t="b">
        <v>0</v>
      </c>
      <c r="N3796" t="s">
        <v>8303</v>
      </c>
      <c r="O3796" s="11">
        <f t="shared" si="240"/>
        <v>1</v>
      </c>
      <c r="P3796" s="12">
        <f t="shared" si="241"/>
        <v>50</v>
      </c>
      <c r="Q3796" s="14" t="s">
        <v>8314</v>
      </c>
      <c r="R3796" t="s">
        <v>8356</v>
      </c>
      <c r="S3796" s="17">
        <f t="shared" si="242"/>
        <v>42132.58048611111</v>
      </c>
      <c r="T3796" s="17">
        <f t="shared" si="243"/>
        <v>42162.58048611111</v>
      </c>
      <c r="U3796">
        <f>MONTH(Table1[[#This Row],[Launched]])</f>
        <v>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8220</v>
      </c>
      <c r="G3797" t="s">
        <v>8224</v>
      </c>
      <c r="H3797" t="s">
        <v>8246</v>
      </c>
      <c r="I3797" s="8">
        <v>1440801000</v>
      </c>
      <c r="J3797">
        <v>1437042490</v>
      </c>
      <c r="K3797" t="b">
        <v>0</v>
      </c>
      <c r="L3797" s="10">
        <v>2</v>
      </c>
      <c r="M3797" t="b">
        <v>0</v>
      </c>
      <c r="N3797" t="s">
        <v>8303</v>
      </c>
      <c r="O3797" s="11">
        <f t="shared" si="240"/>
        <v>2</v>
      </c>
      <c r="P3797" s="12">
        <f t="shared" si="241"/>
        <v>5</v>
      </c>
      <c r="Q3797" s="14" t="s">
        <v>8314</v>
      </c>
      <c r="R3797" t="s">
        <v>8356</v>
      </c>
      <c r="S3797" s="17">
        <f t="shared" si="242"/>
        <v>42201.436226851853</v>
      </c>
      <c r="T3797" s="17">
        <f t="shared" si="243"/>
        <v>42244.9375</v>
      </c>
      <c r="U3797">
        <f>MONTH(Table1[[#This Row],[Launched]])</f>
        <v>7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8220</v>
      </c>
      <c r="G3798" t="s">
        <v>8223</v>
      </c>
      <c r="H3798" t="s">
        <v>8245</v>
      </c>
      <c r="I3798" s="8">
        <v>1484354556</v>
      </c>
      <c r="J3798">
        <v>1479170556</v>
      </c>
      <c r="K3798" t="b">
        <v>0</v>
      </c>
      <c r="L3798" s="10">
        <v>1</v>
      </c>
      <c r="M3798" t="b">
        <v>0</v>
      </c>
      <c r="N3798" t="s">
        <v>8303</v>
      </c>
      <c r="O3798" s="11">
        <f t="shared" si="240"/>
        <v>0</v>
      </c>
      <c r="P3798" s="12">
        <f t="shared" si="241"/>
        <v>1</v>
      </c>
      <c r="Q3798" s="14" t="s">
        <v>8314</v>
      </c>
      <c r="R3798" t="s">
        <v>8356</v>
      </c>
      <c r="S3798" s="17">
        <f t="shared" si="242"/>
        <v>42689.029583333337</v>
      </c>
      <c r="T3798" s="17">
        <f t="shared" si="243"/>
        <v>42749.029583333337</v>
      </c>
      <c r="U3798">
        <f>MONTH(Table1[[#This Row],[Launched]])</f>
        <v>11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 s="8">
        <v>1429564165</v>
      </c>
      <c r="J3799">
        <v>1426972165</v>
      </c>
      <c r="K3799" t="b">
        <v>0</v>
      </c>
      <c r="L3799" s="10">
        <v>37</v>
      </c>
      <c r="M3799" t="b">
        <v>0</v>
      </c>
      <c r="N3799" t="s">
        <v>8303</v>
      </c>
      <c r="O3799" s="11">
        <f t="shared" si="240"/>
        <v>90</v>
      </c>
      <c r="P3799" s="12">
        <f t="shared" si="241"/>
        <v>145</v>
      </c>
      <c r="Q3799" s="14" t="s">
        <v>8314</v>
      </c>
      <c r="R3799" t="s">
        <v>8356</v>
      </c>
      <c r="S3799" s="17">
        <f t="shared" si="242"/>
        <v>42084.881539351853</v>
      </c>
      <c r="T3799" s="17">
        <f t="shared" si="243"/>
        <v>42114.881539351853</v>
      </c>
      <c r="U3799">
        <f>MONTH(Table1[[#This Row],[Launched]])</f>
        <v>3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 s="8">
        <v>1407691248</v>
      </c>
      <c r="J3800">
        <v>1405099248</v>
      </c>
      <c r="K3800" t="b">
        <v>0</v>
      </c>
      <c r="L3800" s="10">
        <v>5</v>
      </c>
      <c r="M3800" t="b">
        <v>0</v>
      </c>
      <c r="N3800" t="s">
        <v>8303</v>
      </c>
      <c r="O3800" s="11">
        <f t="shared" si="240"/>
        <v>1</v>
      </c>
      <c r="P3800" s="12">
        <f t="shared" si="241"/>
        <v>205</v>
      </c>
      <c r="Q3800" s="14" t="s">
        <v>8314</v>
      </c>
      <c r="R3800" t="s">
        <v>8356</v>
      </c>
      <c r="S3800" s="17">
        <f t="shared" si="242"/>
        <v>41831.722777777781</v>
      </c>
      <c r="T3800" s="17">
        <f t="shared" si="243"/>
        <v>41861.722777777781</v>
      </c>
      <c r="U3800">
        <f>MONTH(Table1[[#This Row],[Launched]])</f>
        <v>7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 s="8">
        <v>1457734843</v>
      </c>
      <c r="J3801">
        <v>1455142843</v>
      </c>
      <c r="K3801" t="b">
        <v>0</v>
      </c>
      <c r="L3801" s="10">
        <v>4</v>
      </c>
      <c r="M3801" t="b">
        <v>0</v>
      </c>
      <c r="N3801" t="s">
        <v>8303</v>
      </c>
      <c r="O3801" s="11">
        <f t="shared" si="240"/>
        <v>4</v>
      </c>
      <c r="P3801" s="12">
        <f t="shared" si="241"/>
        <v>101</v>
      </c>
      <c r="Q3801" s="14" t="s">
        <v>8314</v>
      </c>
      <c r="R3801" t="s">
        <v>8356</v>
      </c>
      <c r="S3801" s="17">
        <f t="shared" si="242"/>
        <v>42410.93105324074</v>
      </c>
      <c r="T3801" s="17">
        <f t="shared" si="243"/>
        <v>42440.93105324074</v>
      </c>
      <c r="U3801">
        <f>MONTH(Table1[[#This Row],[Launched]])</f>
        <v>2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 s="8">
        <v>1420952340</v>
      </c>
      <c r="J3802">
        <v>1418146883</v>
      </c>
      <c r="K3802" t="b">
        <v>0</v>
      </c>
      <c r="L3802" s="10">
        <v>16</v>
      </c>
      <c r="M3802" t="b">
        <v>0</v>
      </c>
      <c r="N3802" t="s">
        <v>8303</v>
      </c>
      <c r="O3802" s="11">
        <f t="shared" si="240"/>
        <v>4</v>
      </c>
      <c r="P3802" s="12">
        <f t="shared" si="241"/>
        <v>55</v>
      </c>
      <c r="Q3802" s="14" t="s">
        <v>8314</v>
      </c>
      <c r="R3802" t="s">
        <v>8356</v>
      </c>
      <c r="S3802" s="17">
        <f t="shared" si="242"/>
        <v>41982.737071759257</v>
      </c>
      <c r="T3802" s="17">
        <f t="shared" si="243"/>
        <v>42015.207638888889</v>
      </c>
      <c r="U3802">
        <f>MONTH(Table1[[#This Row],[Launched]])</f>
        <v>12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8220</v>
      </c>
      <c r="G3803" t="s">
        <v>8223</v>
      </c>
      <c r="H3803" t="s">
        <v>8245</v>
      </c>
      <c r="I3803" s="8">
        <v>1420215216</v>
      </c>
      <c r="J3803">
        <v>1417536816</v>
      </c>
      <c r="K3803" t="b">
        <v>0</v>
      </c>
      <c r="L3803" s="10">
        <v>9</v>
      </c>
      <c r="M3803" t="b">
        <v>0</v>
      </c>
      <c r="N3803" t="s">
        <v>8303</v>
      </c>
      <c r="O3803" s="11">
        <f t="shared" si="240"/>
        <v>9</v>
      </c>
      <c r="P3803" s="12">
        <f t="shared" si="241"/>
        <v>47</v>
      </c>
      <c r="Q3803" s="14" t="s">
        <v>8314</v>
      </c>
      <c r="R3803" t="s">
        <v>8356</v>
      </c>
      <c r="S3803" s="17">
        <f t="shared" si="242"/>
        <v>41975.676111111112</v>
      </c>
      <c r="T3803" s="17">
        <f t="shared" si="243"/>
        <v>42006.676111111112</v>
      </c>
      <c r="U3803">
        <f>MONTH(Table1[[#This Row],[Launched]])</f>
        <v>12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8220</v>
      </c>
      <c r="G3804" t="s">
        <v>8223</v>
      </c>
      <c r="H3804" t="s">
        <v>8245</v>
      </c>
      <c r="I3804" s="8">
        <v>1445482906</v>
      </c>
      <c r="J3804">
        <v>1442890906</v>
      </c>
      <c r="K3804" t="b">
        <v>0</v>
      </c>
      <c r="L3804" s="10">
        <v>0</v>
      </c>
      <c r="M3804" t="b">
        <v>0</v>
      </c>
      <c r="N3804" t="s">
        <v>8303</v>
      </c>
      <c r="O3804" s="11">
        <f t="shared" si="240"/>
        <v>0</v>
      </c>
      <c r="P3804" s="12" t="str">
        <f t="shared" si="241"/>
        <v>No Backers</v>
      </c>
      <c r="Q3804" s="14" t="s">
        <v>8314</v>
      </c>
      <c r="R3804" t="s">
        <v>8356</v>
      </c>
      <c r="S3804" s="17">
        <f t="shared" si="242"/>
        <v>42269.126226851848</v>
      </c>
      <c r="T3804" s="17">
        <f t="shared" si="243"/>
        <v>42299.126226851848</v>
      </c>
      <c r="U3804">
        <f>MONTH(Table1[[#This Row],[Launched]])</f>
        <v>9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 s="8">
        <v>1457133568</v>
      </c>
      <c r="J3805">
        <v>1454541568</v>
      </c>
      <c r="K3805" t="b">
        <v>0</v>
      </c>
      <c r="L3805" s="10">
        <v>40</v>
      </c>
      <c r="M3805" t="b">
        <v>0</v>
      </c>
      <c r="N3805" t="s">
        <v>8303</v>
      </c>
      <c r="O3805" s="11">
        <f t="shared" si="240"/>
        <v>20</v>
      </c>
      <c r="P3805" s="12">
        <f t="shared" si="241"/>
        <v>59</v>
      </c>
      <c r="Q3805" s="14" t="s">
        <v>8314</v>
      </c>
      <c r="R3805" t="s">
        <v>8356</v>
      </c>
      <c r="S3805" s="17">
        <f t="shared" si="242"/>
        <v>42403.971851851849</v>
      </c>
      <c r="T3805" s="17">
        <f t="shared" si="243"/>
        <v>42433.971851851849</v>
      </c>
      <c r="U3805">
        <f>MONTH(Table1[[#This Row],[Launched]])</f>
        <v>2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8220</v>
      </c>
      <c r="G3806" t="s">
        <v>8223</v>
      </c>
      <c r="H3806" t="s">
        <v>8245</v>
      </c>
      <c r="I3806" s="8">
        <v>1469948400</v>
      </c>
      <c r="J3806">
        <v>1465172024</v>
      </c>
      <c r="K3806" t="b">
        <v>0</v>
      </c>
      <c r="L3806" s="10">
        <v>0</v>
      </c>
      <c r="M3806" t="b">
        <v>0</v>
      </c>
      <c r="N3806" t="s">
        <v>8303</v>
      </c>
      <c r="O3806" s="11">
        <f t="shared" si="240"/>
        <v>0</v>
      </c>
      <c r="P3806" s="12" t="str">
        <f t="shared" si="241"/>
        <v>No Backers</v>
      </c>
      <c r="Q3806" s="14" t="s">
        <v>8314</v>
      </c>
      <c r="R3806" t="s">
        <v>8356</v>
      </c>
      <c r="S3806" s="17">
        <f t="shared" si="242"/>
        <v>42527.00953703704</v>
      </c>
      <c r="T3806" s="17">
        <f t="shared" si="243"/>
        <v>42582.291666666672</v>
      </c>
      <c r="U3806">
        <f>MONTH(Table1[[#This Row],[Launched]])</f>
        <v>6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8220</v>
      </c>
      <c r="G3807" t="s">
        <v>8223</v>
      </c>
      <c r="H3807" t="s">
        <v>8245</v>
      </c>
      <c r="I3807" s="8">
        <v>1411852640</v>
      </c>
      <c r="J3807">
        <v>1406668640</v>
      </c>
      <c r="K3807" t="b">
        <v>0</v>
      </c>
      <c r="L3807" s="10">
        <v>2</v>
      </c>
      <c r="M3807" t="b">
        <v>0</v>
      </c>
      <c r="N3807" t="s">
        <v>8303</v>
      </c>
      <c r="O3807" s="11">
        <f t="shared" si="240"/>
        <v>0</v>
      </c>
      <c r="P3807" s="12">
        <f t="shared" si="241"/>
        <v>2</v>
      </c>
      <c r="Q3807" s="14" t="s">
        <v>8314</v>
      </c>
      <c r="R3807" t="s">
        <v>8356</v>
      </c>
      <c r="S3807" s="17">
        <f t="shared" si="242"/>
        <v>41849.887037037035</v>
      </c>
      <c r="T3807" s="17">
        <f t="shared" si="243"/>
        <v>41909.887037037035</v>
      </c>
      <c r="U3807">
        <f>MONTH(Table1[[#This Row],[Launched]])</f>
        <v>7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8220</v>
      </c>
      <c r="G3808" t="s">
        <v>8225</v>
      </c>
      <c r="H3808" t="s">
        <v>8247</v>
      </c>
      <c r="I3808" s="8">
        <v>1404022381</v>
      </c>
      <c r="J3808">
        <v>1402294381</v>
      </c>
      <c r="K3808" t="b">
        <v>0</v>
      </c>
      <c r="L3808" s="10">
        <v>1</v>
      </c>
      <c r="M3808" t="b">
        <v>0</v>
      </c>
      <c r="N3808" t="s">
        <v>8303</v>
      </c>
      <c r="O3808" s="11">
        <f t="shared" si="240"/>
        <v>0</v>
      </c>
      <c r="P3808" s="12">
        <f t="shared" si="241"/>
        <v>5</v>
      </c>
      <c r="Q3808" s="14" t="s">
        <v>8314</v>
      </c>
      <c r="R3808" t="s">
        <v>8356</v>
      </c>
      <c r="S3808" s="17">
        <f t="shared" si="242"/>
        <v>41799.259039351848</v>
      </c>
      <c r="T3808" s="17">
        <f t="shared" si="243"/>
        <v>41819.259039351848</v>
      </c>
      <c r="U3808">
        <f>MONTH(Table1[[#This Row],[Launched]])</f>
        <v>6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8220</v>
      </c>
      <c r="G3809" t="s">
        <v>8223</v>
      </c>
      <c r="H3809" t="s">
        <v>8245</v>
      </c>
      <c r="I3809" s="8">
        <v>1428097739</v>
      </c>
      <c r="J3809">
        <v>1427492939</v>
      </c>
      <c r="K3809" t="b">
        <v>0</v>
      </c>
      <c r="L3809" s="10">
        <v>9</v>
      </c>
      <c r="M3809" t="b">
        <v>0</v>
      </c>
      <c r="N3809" t="s">
        <v>8303</v>
      </c>
      <c r="O3809" s="11">
        <f t="shared" si="240"/>
        <v>30</v>
      </c>
      <c r="P3809" s="12">
        <f t="shared" si="241"/>
        <v>51</v>
      </c>
      <c r="Q3809" s="14" t="s">
        <v>8314</v>
      </c>
      <c r="R3809" t="s">
        <v>8356</v>
      </c>
      <c r="S3809" s="17">
        <f t="shared" si="242"/>
        <v>42090.909016203703</v>
      </c>
      <c r="T3809" s="17">
        <f t="shared" si="243"/>
        <v>42097.909016203703</v>
      </c>
      <c r="U3809">
        <f>MONTH(Table1[[#This Row],[Launched]])</f>
        <v>3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 s="8">
        <v>1429955619</v>
      </c>
      <c r="J3810">
        <v>1424775219</v>
      </c>
      <c r="K3810" t="b">
        <v>0</v>
      </c>
      <c r="L3810" s="10">
        <v>24</v>
      </c>
      <c r="M3810" t="b">
        <v>1</v>
      </c>
      <c r="N3810" t="s">
        <v>8269</v>
      </c>
      <c r="O3810" s="11">
        <f t="shared" si="240"/>
        <v>100</v>
      </c>
      <c r="P3810" s="12">
        <f t="shared" si="241"/>
        <v>42</v>
      </c>
      <c r="Q3810" s="14" t="s">
        <v>8314</v>
      </c>
      <c r="R3810" t="s">
        <v>8315</v>
      </c>
      <c r="S3810" s="17">
        <f t="shared" si="242"/>
        <v>42059.453923611116</v>
      </c>
      <c r="T3810" s="17">
        <f t="shared" si="243"/>
        <v>42119.412256944444</v>
      </c>
      <c r="U3810">
        <f>MONTH(Table1[[#This Row],[Launched]])</f>
        <v>2</v>
      </c>
    </row>
    <row r="3811" spans="1:21" ht="57.6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 s="8">
        <v>1406761200</v>
      </c>
      <c r="J3811">
        <v>1402403907</v>
      </c>
      <c r="K3811" t="b">
        <v>0</v>
      </c>
      <c r="L3811" s="10">
        <v>38</v>
      </c>
      <c r="M3811" t="b">
        <v>1</v>
      </c>
      <c r="N3811" t="s">
        <v>8269</v>
      </c>
      <c r="O3811" s="11">
        <f t="shared" si="240"/>
        <v>101</v>
      </c>
      <c r="P3811" s="12">
        <f t="shared" si="241"/>
        <v>53</v>
      </c>
      <c r="Q3811" s="14" t="s">
        <v>8314</v>
      </c>
      <c r="R3811" t="s">
        <v>8315</v>
      </c>
      <c r="S3811" s="17">
        <f t="shared" si="242"/>
        <v>41800.526701388888</v>
      </c>
      <c r="T3811" s="17">
        <f t="shared" si="243"/>
        <v>41850.958333333336</v>
      </c>
      <c r="U3811">
        <f>MONTH(Table1[[#This Row],[Launched]])</f>
        <v>6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 s="8">
        <v>1426965758</v>
      </c>
      <c r="J3812">
        <v>1424377358</v>
      </c>
      <c r="K3812" t="b">
        <v>0</v>
      </c>
      <c r="L3812" s="10">
        <v>26</v>
      </c>
      <c r="M3812" t="b">
        <v>1</v>
      </c>
      <c r="N3812" t="s">
        <v>8269</v>
      </c>
      <c r="O3812" s="11">
        <f t="shared" si="240"/>
        <v>122</v>
      </c>
      <c r="P3812" s="12">
        <f t="shared" si="241"/>
        <v>70</v>
      </c>
      <c r="Q3812" s="14" t="s">
        <v>8314</v>
      </c>
      <c r="R3812" t="s">
        <v>8315</v>
      </c>
      <c r="S3812" s="17">
        <f t="shared" si="242"/>
        <v>42054.849050925928</v>
      </c>
      <c r="T3812" s="17">
        <f t="shared" si="243"/>
        <v>42084.807384259257</v>
      </c>
      <c r="U3812">
        <f>MONTH(Table1[[#This Row],[Launched]])</f>
        <v>2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8218</v>
      </c>
      <c r="G3813" t="s">
        <v>8224</v>
      </c>
      <c r="H3813" t="s">
        <v>8246</v>
      </c>
      <c r="I3813" s="8">
        <v>1464692400</v>
      </c>
      <c r="J3813">
        <v>1461769373</v>
      </c>
      <c r="K3813" t="b">
        <v>0</v>
      </c>
      <c r="L3813" s="10">
        <v>19</v>
      </c>
      <c r="M3813" t="b">
        <v>1</v>
      </c>
      <c r="N3813" t="s">
        <v>8269</v>
      </c>
      <c r="O3813" s="11">
        <f t="shared" si="240"/>
        <v>330</v>
      </c>
      <c r="P3813" s="12">
        <f t="shared" si="241"/>
        <v>43</v>
      </c>
      <c r="Q3813" s="14" t="s">
        <v>8314</v>
      </c>
      <c r="R3813" t="s">
        <v>8315</v>
      </c>
      <c r="S3813" s="17">
        <f t="shared" si="242"/>
        <v>42487.62700231481</v>
      </c>
      <c r="T3813" s="17">
        <f t="shared" si="243"/>
        <v>42521.458333333328</v>
      </c>
      <c r="U3813">
        <f>MONTH(Table1[[#This Row],[Launched]])</f>
        <v>4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 s="8">
        <v>1433131140</v>
      </c>
      <c r="J3814">
        <v>1429120908</v>
      </c>
      <c r="K3814" t="b">
        <v>0</v>
      </c>
      <c r="L3814" s="10">
        <v>11</v>
      </c>
      <c r="M3814" t="b">
        <v>1</v>
      </c>
      <c r="N3814" t="s">
        <v>8269</v>
      </c>
      <c r="O3814" s="11">
        <f t="shared" si="240"/>
        <v>110</v>
      </c>
      <c r="P3814" s="12">
        <f t="shared" si="241"/>
        <v>199</v>
      </c>
      <c r="Q3814" s="14" t="s">
        <v>8314</v>
      </c>
      <c r="R3814" t="s">
        <v>8315</v>
      </c>
      <c r="S3814" s="17">
        <f t="shared" si="242"/>
        <v>42109.751250000001</v>
      </c>
      <c r="T3814" s="17">
        <f t="shared" si="243"/>
        <v>42156.165972222225</v>
      </c>
      <c r="U3814">
        <f>MONTH(Table1[[#This Row],[Launched]])</f>
        <v>4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 s="8">
        <v>1465940580</v>
      </c>
      <c r="J3815">
        <v>1462603021</v>
      </c>
      <c r="K3815" t="b">
        <v>0</v>
      </c>
      <c r="L3815" s="10">
        <v>27</v>
      </c>
      <c r="M3815" t="b">
        <v>1</v>
      </c>
      <c r="N3815" t="s">
        <v>8269</v>
      </c>
      <c r="O3815" s="11">
        <f t="shared" si="240"/>
        <v>101</v>
      </c>
      <c r="P3815" s="12">
        <f t="shared" si="241"/>
        <v>79</v>
      </c>
      <c r="Q3815" s="14" t="s">
        <v>8314</v>
      </c>
      <c r="R3815" t="s">
        <v>8315</v>
      </c>
      <c r="S3815" s="17">
        <f t="shared" si="242"/>
        <v>42497.275706018518</v>
      </c>
      <c r="T3815" s="17">
        <f t="shared" si="243"/>
        <v>42535.904861111107</v>
      </c>
      <c r="U3815">
        <f>MONTH(Table1[[#This Row],[Launched]])</f>
        <v>5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 s="8">
        <v>1427860740</v>
      </c>
      <c r="J3816">
        <v>1424727712</v>
      </c>
      <c r="K3816" t="b">
        <v>0</v>
      </c>
      <c r="L3816" s="10">
        <v>34</v>
      </c>
      <c r="M3816" t="b">
        <v>1</v>
      </c>
      <c r="N3816" t="s">
        <v>8269</v>
      </c>
      <c r="O3816" s="11">
        <f t="shared" si="240"/>
        <v>140</v>
      </c>
      <c r="P3816" s="12">
        <f t="shared" si="241"/>
        <v>62</v>
      </c>
      <c r="Q3816" s="14" t="s">
        <v>8314</v>
      </c>
      <c r="R3816" t="s">
        <v>8315</v>
      </c>
      <c r="S3816" s="17">
        <f t="shared" si="242"/>
        <v>42058.904074074075</v>
      </c>
      <c r="T3816" s="17">
        <f t="shared" si="243"/>
        <v>42095.165972222225</v>
      </c>
      <c r="U3816">
        <f>MONTH(Table1[[#This Row],[Launched]])</f>
        <v>2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 s="8">
        <v>1440111600</v>
      </c>
      <c r="J3817">
        <v>1437545657</v>
      </c>
      <c r="K3817" t="b">
        <v>0</v>
      </c>
      <c r="L3817" s="10">
        <v>20</v>
      </c>
      <c r="M3817" t="b">
        <v>1</v>
      </c>
      <c r="N3817" t="s">
        <v>8269</v>
      </c>
      <c r="O3817" s="11">
        <f t="shared" si="240"/>
        <v>100</v>
      </c>
      <c r="P3817" s="12">
        <f t="shared" si="241"/>
        <v>50</v>
      </c>
      <c r="Q3817" s="14" t="s">
        <v>8314</v>
      </c>
      <c r="R3817" t="s">
        <v>8315</v>
      </c>
      <c r="S3817" s="17">
        <f t="shared" si="242"/>
        <v>42207.259918981479</v>
      </c>
      <c r="T3817" s="17">
        <f t="shared" si="243"/>
        <v>42236.958333333328</v>
      </c>
      <c r="U3817">
        <f>MONTH(Table1[[#This Row],[Launched]])</f>
        <v>7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 s="8">
        <v>1405614823</v>
      </c>
      <c r="J3818">
        <v>1403022823</v>
      </c>
      <c r="K3818" t="b">
        <v>0</v>
      </c>
      <c r="L3818" s="10">
        <v>37</v>
      </c>
      <c r="M3818" t="b">
        <v>1</v>
      </c>
      <c r="N3818" t="s">
        <v>8269</v>
      </c>
      <c r="O3818" s="11">
        <f t="shared" si="240"/>
        <v>119</v>
      </c>
      <c r="P3818" s="12">
        <f t="shared" si="241"/>
        <v>48</v>
      </c>
      <c r="Q3818" s="14" t="s">
        <v>8314</v>
      </c>
      <c r="R3818" t="s">
        <v>8315</v>
      </c>
      <c r="S3818" s="17">
        <f t="shared" si="242"/>
        <v>41807.690081018518</v>
      </c>
      <c r="T3818" s="17">
        <f t="shared" si="243"/>
        <v>41837.690081018518</v>
      </c>
      <c r="U3818">
        <f>MONTH(Table1[[#This Row],[Launched]])</f>
        <v>6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 s="8">
        <v>1445659140</v>
      </c>
      <c r="J3819">
        <v>1444236216</v>
      </c>
      <c r="K3819" t="b">
        <v>0</v>
      </c>
      <c r="L3819" s="10">
        <v>20</v>
      </c>
      <c r="M3819" t="b">
        <v>1</v>
      </c>
      <c r="N3819" t="s">
        <v>8269</v>
      </c>
      <c r="O3819" s="11">
        <f t="shared" si="240"/>
        <v>107</v>
      </c>
      <c r="P3819" s="12">
        <f t="shared" si="241"/>
        <v>107</v>
      </c>
      <c r="Q3819" s="14" t="s">
        <v>8314</v>
      </c>
      <c r="R3819" t="s">
        <v>8315</v>
      </c>
      <c r="S3819" s="17">
        <f t="shared" si="242"/>
        <v>42284.69694444444</v>
      </c>
      <c r="T3819" s="17">
        <f t="shared" si="243"/>
        <v>42301.165972222225</v>
      </c>
      <c r="U3819">
        <f>MONTH(Table1[[#This Row],[Launched]])</f>
        <v>10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8218</v>
      </c>
      <c r="G3820" t="s">
        <v>8223</v>
      </c>
      <c r="H3820" t="s">
        <v>8245</v>
      </c>
      <c r="I3820" s="8">
        <v>1426187582</v>
      </c>
      <c r="J3820">
        <v>1423599182</v>
      </c>
      <c r="K3820" t="b">
        <v>0</v>
      </c>
      <c r="L3820" s="10">
        <v>10</v>
      </c>
      <c r="M3820" t="b">
        <v>1</v>
      </c>
      <c r="N3820" t="s">
        <v>8269</v>
      </c>
      <c r="O3820" s="11">
        <f t="shared" si="240"/>
        <v>228</v>
      </c>
      <c r="P3820" s="12">
        <f t="shared" si="241"/>
        <v>57</v>
      </c>
      <c r="Q3820" s="14" t="s">
        <v>8314</v>
      </c>
      <c r="R3820" t="s">
        <v>8315</v>
      </c>
      <c r="S3820" s="17">
        <f t="shared" si="242"/>
        <v>42045.84238425926</v>
      </c>
      <c r="T3820" s="17">
        <f t="shared" si="243"/>
        <v>42075.800717592589</v>
      </c>
      <c r="U3820">
        <f>MONTH(Table1[[#This Row],[Launched]])</f>
        <v>2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 s="8">
        <v>1437166920</v>
      </c>
      <c r="J3821">
        <v>1435554104</v>
      </c>
      <c r="K3821" t="b">
        <v>0</v>
      </c>
      <c r="L3821" s="10">
        <v>26</v>
      </c>
      <c r="M3821" t="b">
        <v>1</v>
      </c>
      <c r="N3821" t="s">
        <v>8269</v>
      </c>
      <c r="O3821" s="11">
        <f t="shared" si="240"/>
        <v>106</v>
      </c>
      <c r="P3821" s="12">
        <f t="shared" si="241"/>
        <v>41</v>
      </c>
      <c r="Q3821" s="14" t="s">
        <v>8314</v>
      </c>
      <c r="R3821" t="s">
        <v>8315</v>
      </c>
      <c r="S3821" s="17">
        <f t="shared" si="242"/>
        <v>42184.209537037037</v>
      </c>
      <c r="T3821" s="17">
        <f t="shared" si="243"/>
        <v>42202.876388888893</v>
      </c>
      <c r="U3821">
        <f>MONTH(Table1[[#This Row],[Launched]])</f>
        <v>6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8218</v>
      </c>
      <c r="G3822" t="s">
        <v>8224</v>
      </c>
      <c r="H3822" t="s">
        <v>8246</v>
      </c>
      <c r="I3822" s="8">
        <v>1436110717</v>
      </c>
      <c r="J3822">
        <v>1433518717</v>
      </c>
      <c r="K3822" t="b">
        <v>0</v>
      </c>
      <c r="L3822" s="10">
        <v>20</v>
      </c>
      <c r="M3822" t="b">
        <v>1</v>
      </c>
      <c r="N3822" t="s">
        <v>8269</v>
      </c>
      <c r="O3822" s="11">
        <f t="shared" si="240"/>
        <v>143</v>
      </c>
      <c r="P3822" s="12">
        <f t="shared" si="241"/>
        <v>22</v>
      </c>
      <c r="Q3822" s="14" t="s">
        <v>8314</v>
      </c>
      <c r="R3822" t="s">
        <v>8315</v>
      </c>
      <c r="S3822" s="17">
        <f t="shared" si="242"/>
        <v>42160.651817129634</v>
      </c>
      <c r="T3822" s="17">
        <f t="shared" si="243"/>
        <v>42190.651817129634</v>
      </c>
      <c r="U3822">
        <f>MONTH(Table1[[#This Row],[Launched]])</f>
        <v>6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 s="8">
        <v>1451881207</v>
      </c>
      <c r="J3823">
        <v>1449116407</v>
      </c>
      <c r="K3823" t="b">
        <v>0</v>
      </c>
      <c r="L3823" s="10">
        <v>46</v>
      </c>
      <c r="M3823" t="b">
        <v>1</v>
      </c>
      <c r="N3823" t="s">
        <v>8269</v>
      </c>
      <c r="O3823" s="11">
        <f t="shared" si="240"/>
        <v>105</v>
      </c>
      <c r="P3823" s="12">
        <f t="shared" si="241"/>
        <v>80</v>
      </c>
      <c r="Q3823" s="14" t="s">
        <v>8314</v>
      </c>
      <c r="R3823" t="s">
        <v>8315</v>
      </c>
      <c r="S3823" s="17">
        <f t="shared" si="242"/>
        <v>42341.180636574078</v>
      </c>
      <c r="T3823" s="17">
        <f t="shared" si="243"/>
        <v>42373.180636574078</v>
      </c>
      <c r="U3823">
        <f>MONTH(Table1[[#This Row],[Launched]])</f>
        <v>12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 s="8">
        <v>1453244340</v>
      </c>
      <c r="J3824">
        <v>1448136417</v>
      </c>
      <c r="K3824" t="b">
        <v>0</v>
      </c>
      <c r="L3824" s="10">
        <v>76</v>
      </c>
      <c r="M3824" t="b">
        <v>1</v>
      </c>
      <c r="N3824" t="s">
        <v>8269</v>
      </c>
      <c r="O3824" s="11">
        <f t="shared" si="240"/>
        <v>110</v>
      </c>
      <c r="P3824" s="12">
        <f t="shared" si="241"/>
        <v>72</v>
      </c>
      <c r="Q3824" s="14" t="s">
        <v>8314</v>
      </c>
      <c r="R3824" t="s">
        <v>8315</v>
      </c>
      <c r="S3824" s="17">
        <f t="shared" si="242"/>
        <v>42329.838159722218</v>
      </c>
      <c r="T3824" s="17">
        <f t="shared" si="243"/>
        <v>42388.957638888889</v>
      </c>
      <c r="U3824">
        <f>MONTH(Table1[[#This Row],[Launched]])</f>
        <v>11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 s="8">
        <v>1437364740</v>
      </c>
      <c r="J3825">
        <v>1434405044</v>
      </c>
      <c r="K3825" t="b">
        <v>0</v>
      </c>
      <c r="L3825" s="10">
        <v>41</v>
      </c>
      <c r="M3825" t="b">
        <v>1</v>
      </c>
      <c r="N3825" t="s">
        <v>8269</v>
      </c>
      <c r="O3825" s="11">
        <f t="shared" si="240"/>
        <v>106</v>
      </c>
      <c r="P3825" s="12">
        <f t="shared" si="241"/>
        <v>65</v>
      </c>
      <c r="Q3825" s="14" t="s">
        <v>8314</v>
      </c>
      <c r="R3825" t="s">
        <v>8315</v>
      </c>
      <c r="S3825" s="17">
        <f t="shared" si="242"/>
        <v>42170.910231481481</v>
      </c>
      <c r="T3825" s="17">
        <f t="shared" si="243"/>
        <v>42205.165972222225</v>
      </c>
      <c r="U3825">
        <f>MONTH(Table1[[#This Row],[Launched]])</f>
        <v>6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8218</v>
      </c>
      <c r="G3826" t="s">
        <v>8224</v>
      </c>
      <c r="H3826" t="s">
        <v>8246</v>
      </c>
      <c r="I3826" s="8">
        <v>1470058860</v>
      </c>
      <c r="J3826">
        <v>1469026903</v>
      </c>
      <c r="K3826" t="b">
        <v>0</v>
      </c>
      <c r="L3826" s="10">
        <v>7</v>
      </c>
      <c r="M3826" t="b">
        <v>1</v>
      </c>
      <c r="N3826" t="s">
        <v>8269</v>
      </c>
      <c r="O3826" s="11">
        <f t="shared" si="240"/>
        <v>108</v>
      </c>
      <c r="P3826" s="12">
        <f t="shared" si="241"/>
        <v>39</v>
      </c>
      <c r="Q3826" s="14" t="s">
        <v>8314</v>
      </c>
      <c r="R3826" t="s">
        <v>8315</v>
      </c>
      <c r="S3826" s="17">
        <f t="shared" si="242"/>
        <v>42571.626192129625</v>
      </c>
      <c r="T3826" s="17">
        <f t="shared" si="243"/>
        <v>42583.570138888885</v>
      </c>
      <c r="U3826">
        <f>MONTH(Table1[[#This Row],[Launched]])</f>
        <v>7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 s="8">
        <v>1434505214</v>
      </c>
      <c r="J3827">
        <v>1432690814</v>
      </c>
      <c r="K3827" t="b">
        <v>0</v>
      </c>
      <c r="L3827" s="10">
        <v>49</v>
      </c>
      <c r="M3827" t="b">
        <v>1</v>
      </c>
      <c r="N3827" t="s">
        <v>8269</v>
      </c>
      <c r="O3827" s="11">
        <f t="shared" si="240"/>
        <v>105</v>
      </c>
      <c r="P3827" s="12">
        <f t="shared" si="241"/>
        <v>108</v>
      </c>
      <c r="Q3827" s="14" t="s">
        <v>8314</v>
      </c>
      <c r="R3827" t="s">
        <v>8315</v>
      </c>
      <c r="S3827" s="17">
        <f t="shared" si="242"/>
        <v>42151.069606481484</v>
      </c>
      <c r="T3827" s="17">
        <f t="shared" si="243"/>
        <v>42172.069606481484</v>
      </c>
      <c r="U3827">
        <f>MONTH(Table1[[#This Row],[Launched]])</f>
        <v>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8218</v>
      </c>
      <c r="G3828" t="s">
        <v>8224</v>
      </c>
      <c r="H3828" t="s">
        <v>8246</v>
      </c>
      <c r="I3828" s="8">
        <v>1430993394</v>
      </c>
      <c r="J3828">
        <v>1428401394</v>
      </c>
      <c r="K3828" t="b">
        <v>0</v>
      </c>
      <c r="L3828" s="10">
        <v>26</v>
      </c>
      <c r="M3828" t="b">
        <v>1</v>
      </c>
      <c r="N3828" t="s">
        <v>8269</v>
      </c>
      <c r="O3828" s="11">
        <f t="shared" si="240"/>
        <v>119</v>
      </c>
      <c r="P3828" s="12">
        <f t="shared" si="241"/>
        <v>28</v>
      </c>
      <c r="Q3828" s="14" t="s">
        <v>8314</v>
      </c>
      <c r="R3828" t="s">
        <v>8315</v>
      </c>
      <c r="S3828" s="17">
        <f t="shared" si="242"/>
        <v>42101.423541666663</v>
      </c>
      <c r="T3828" s="17">
        <f t="shared" si="243"/>
        <v>42131.423541666663</v>
      </c>
      <c r="U3828">
        <f>MONTH(Table1[[#This Row],[Launched]])</f>
        <v>4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 s="8">
        <v>1427414400</v>
      </c>
      <c r="J3829">
        <v>1422656201</v>
      </c>
      <c r="K3829" t="b">
        <v>0</v>
      </c>
      <c r="L3829" s="10">
        <v>65</v>
      </c>
      <c r="M3829" t="b">
        <v>1</v>
      </c>
      <c r="N3829" t="s">
        <v>8269</v>
      </c>
      <c r="O3829" s="11">
        <f t="shared" si="240"/>
        <v>153</v>
      </c>
      <c r="P3829" s="12">
        <f t="shared" si="241"/>
        <v>70</v>
      </c>
      <c r="Q3829" s="14" t="s">
        <v>8314</v>
      </c>
      <c r="R3829" t="s">
        <v>8315</v>
      </c>
      <c r="S3829" s="17">
        <f t="shared" si="242"/>
        <v>42034.928252314814</v>
      </c>
      <c r="T3829" s="17">
        <f t="shared" si="243"/>
        <v>42090</v>
      </c>
      <c r="U3829">
        <f>MONTH(Table1[[#This Row],[Launched]])</f>
        <v>1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 s="8">
        <v>1420033187</v>
      </c>
      <c r="J3830">
        <v>1414845587</v>
      </c>
      <c r="K3830" t="b">
        <v>0</v>
      </c>
      <c r="L3830" s="10">
        <v>28</v>
      </c>
      <c r="M3830" t="b">
        <v>1</v>
      </c>
      <c r="N3830" t="s">
        <v>8269</v>
      </c>
      <c r="O3830" s="11">
        <f t="shared" si="240"/>
        <v>100</v>
      </c>
      <c r="P3830" s="12">
        <f t="shared" si="241"/>
        <v>179</v>
      </c>
      <c r="Q3830" s="14" t="s">
        <v>8314</v>
      </c>
      <c r="R3830" t="s">
        <v>8315</v>
      </c>
      <c r="S3830" s="17">
        <f t="shared" si="242"/>
        <v>41944.527627314819</v>
      </c>
      <c r="T3830" s="17">
        <f t="shared" si="243"/>
        <v>42004.569293981483</v>
      </c>
      <c r="U3830">
        <f>MONTH(Table1[[#This Row],[Launched]])</f>
        <v>11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8218</v>
      </c>
      <c r="G3831" t="s">
        <v>8223</v>
      </c>
      <c r="H3831" t="s">
        <v>8245</v>
      </c>
      <c r="I3831" s="8">
        <v>1472676371</v>
      </c>
      <c r="J3831">
        <v>1470948371</v>
      </c>
      <c r="K3831" t="b">
        <v>0</v>
      </c>
      <c r="L3831" s="10">
        <v>8</v>
      </c>
      <c r="M3831" t="b">
        <v>1</v>
      </c>
      <c r="N3831" t="s">
        <v>8269</v>
      </c>
      <c r="O3831" s="11">
        <f t="shared" si="240"/>
        <v>100</v>
      </c>
      <c r="P3831" s="12">
        <f t="shared" si="241"/>
        <v>63</v>
      </c>
      <c r="Q3831" s="14" t="s">
        <v>8314</v>
      </c>
      <c r="R3831" t="s">
        <v>8315</v>
      </c>
      <c r="S3831" s="17">
        <f t="shared" si="242"/>
        <v>42593.865405092598</v>
      </c>
      <c r="T3831" s="17">
        <f t="shared" si="243"/>
        <v>42613.865405092598</v>
      </c>
      <c r="U3831">
        <f>MONTH(Table1[[#This Row],[Launched]])</f>
        <v>8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8218</v>
      </c>
      <c r="G3832" t="s">
        <v>8223</v>
      </c>
      <c r="H3832" t="s">
        <v>8245</v>
      </c>
      <c r="I3832" s="8">
        <v>1464371211</v>
      </c>
      <c r="J3832">
        <v>1463161611</v>
      </c>
      <c r="K3832" t="b">
        <v>0</v>
      </c>
      <c r="L3832" s="10">
        <v>3</v>
      </c>
      <c r="M3832" t="b">
        <v>1</v>
      </c>
      <c r="N3832" t="s">
        <v>8269</v>
      </c>
      <c r="O3832" s="11">
        <f t="shared" si="240"/>
        <v>225</v>
      </c>
      <c r="P3832" s="12">
        <f t="shared" si="241"/>
        <v>75</v>
      </c>
      <c r="Q3832" s="14" t="s">
        <v>8314</v>
      </c>
      <c r="R3832" t="s">
        <v>8315</v>
      </c>
      <c r="S3832" s="17">
        <f t="shared" si="242"/>
        <v>42503.740868055553</v>
      </c>
      <c r="T3832" s="17">
        <f t="shared" si="243"/>
        <v>42517.740868055553</v>
      </c>
      <c r="U3832">
        <f>MONTH(Table1[[#This Row],[Launched]])</f>
        <v>5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 s="8">
        <v>1415222545</v>
      </c>
      <c r="J3833">
        <v>1413404545</v>
      </c>
      <c r="K3833" t="b">
        <v>0</v>
      </c>
      <c r="L3833" s="10">
        <v>9</v>
      </c>
      <c r="M3833" t="b">
        <v>1</v>
      </c>
      <c r="N3833" t="s">
        <v>8269</v>
      </c>
      <c r="O3833" s="11">
        <f t="shared" si="240"/>
        <v>106</v>
      </c>
      <c r="P3833" s="12">
        <f t="shared" si="241"/>
        <v>59</v>
      </c>
      <c r="Q3833" s="14" t="s">
        <v>8314</v>
      </c>
      <c r="R3833" t="s">
        <v>8315</v>
      </c>
      <c r="S3833" s="17">
        <f t="shared" si="242"/>
        <v>41927.848900462966</v>
      </c>
      <c r="T3833" s="17">
        <f t="shared" si="243"/>
        <v>41948.890567129631</v>
      </c>
      <c r="U3833">
        <f>MONTH(Table1[[#This Row],[Launched]])</f>
        <v>10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 s="8">
        <v>1455936335</v>
      </c>
      <c r="J3834">
        <v>1452048335</v>
      </c>
      <c r="K3834" t="b">
        <v>0</v>
      </c>
      <c r="L3834" s="10">
        <v>9</v>
      </c>
      <c r="M3834" t="b">
        <v>1</v>
      </c>
      <c r="N3834" t="s">
        <v>8269</v>
      </c>
      <c r="O3834" s="11">
        <f t="shared" si="240"/>
        <v>105</v>
      </c>
      <c r="P3834" s="12">
        <f t="shared" si="241"/>
        <v>140</v>
      </c>
      <c r="Q3834" s="14" t="s">
        <v>8314</v>
      </c>
      <c r="R3834" t="s">
        <v>8315</v>
      </c>
      <c r="S3834" s="17">
        <f t="shared" si="242"/>
        <v>42375.114988425921</v>
      </c>
      <c r="T3834" s="17">
        <f t="shared" si="243"/>
        <v>42420.114988425921</v>
      </c>
      <c r="U3834">
        <f>MONTH(Table1[[#This Row],[Launched]])</f>
        <v>1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 s="8">
        <v>1417460940</v>
      </c>
      <c r="J3835">
        <v>1416516972</v>
      </c>
      <c r="K3835" t="b">
        <v>0</v>
      </c>
      <c r="L3835" s="10">
        <v>20</v>
      </c>
      <c r="M3835" t="b">
        <v>1</v>
      </c>
      <c r="N3835" t="s">
        <v>8269</v>
      </c>
      <c r="O3835" s="11">
        <f t="shared" si="240"/>
        <v>117</v>
      </c>
      <c r="P3835" s="12">
        <f t="shared" si="241"/>
        <v>70</v>
      </c>
      <c r="Q3835" s="14" t="s">
        <v>8314</v>
      </c>
      <c r="R3835" t="s">
        <v>8315</v>
      </c>
      <c r="S3835" s="17">
        <f t="shared" si="242"/>
        <v>41963.872361111105</v>
      </c>
      <c r="T3835" s="17">
        <f t="shared" si="243"/>
        <v>41974.797916666663</v>
      </c>
      <c r="U3835">
        <f>MONTH(Table1[[#This Row],[Launched]])</f>
        <v>11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 s="8">
        <v>1434624067</v>
      </c>
      <c r="J3836">
        <v>1432032067</v>
      </c>
      <c r="K3836" t="b">
        <v>0</v>
      </c>
      <c r="L3836" s="10">
        <v>57</v>
      </c>
      <c r="M3836" t="b">
        <v>1</v>
      </c>
      <c r="N3836" t="s">
        <v>8269</v>
      </c>
      <c r="O3836" s="11">
        <f t="shared" si="240"/>
        <v>109</v>
      </c>
      <c r="P3836" s="12">
        <f t="shared" si="241"/>
        <v>57</v>
      </c>
      <c r="Q3836" s="14" t="s">
        <v>8314</v>
      </c>
      <c r="R3836" t="s">
        <v>8315</v>
      </c>
      <c r="S3836" s="17">
        <f t="shared" si="242"/>
        <v>42143.445219907408</v>
      </c>
      <c r="T3836" s="17">
        <f t="shared" si="243"/>
        <v>42173.445219907408</v>
      </c>
      <c r="U3836">
        <f>MONTH(Table1[[#This Row],[Launched]])</f>
        <v>5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8218</v>
      </c>
      <c r="G3837" t="s">
        <v>8224</v>
      </c>
      <c r="H3837" t="s">
        <v>8246</v>
      </c>
      <c r="I3837" s="8">
        <v>1461278208</v>
      </c>
      <c r="J3837">
        <v>1459463808</v>
      </c>
      <c r="K3837" t="b">
        <v>0</v>
      </c>
      <c r="L3837" s="10">
        <v>8</v>
      </c>
      <c r="M3837" t="b">
        <v>1</v>
      </c>
      <c r="N3837" t="s">
        <v>8269</v>
      </c>
      <c r="O3837" s="11">
        <f t="shared" si="240"/>
        <v>160</v>
      </c>
      <c r="P3837" s="12">
        <f t="shared" si="241"/>
        <v>40</v>
      </c>
      <c r="Q3837" s="14" t="s">
        <v>8314</v>
      </c>
      <c r="R3837" t="s">
        <v>8315</v>
      </c>
      <c r="S3837" s="17">
        <f t="shared" si="242"/>
        <v>42460.94222222222</v>
      </c>
      <c r="T3837" s="17">
        <f t="shared" si="243"/>
        <v>42481.94222222222</v>
      </c>
      <c r="U3837">
        <f>MONTH(Table1[[#This Row],[Launched]])</f>
        <v>3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8218</v>
      </c>
      <c r="G3838" t="s">
        <v>8223</v>
      </c>
      <c r="H3838" t="s">
        <v>8245</v>
      </c>
      <c r="I3838" s="8">
        <v>1470197340</v>
      </c>
      <c r="J3838">
        <v>1467497652</v>
      </c>
      <c r="K3838" t="b">
        <v>0</v>
      </c>
      <c r="L3838" s="10">
        <v>14</v>
      </c>
      <c r="M3838" t="b">
        <v>1</v>
      </c>
      <c r="N3838" t="s">
        <v>8269</v>
      </c>
      <c r="O3838" s="11">
        <f t="shared" si="240"/>
        <v>113</v>
      </c>
      <c r="P3838" s="12">
        <f t="shared" si="241"/>
        <v>64</v>
      </c>
      <c r="Q3838" s="14" t="s">
        <v>8314</v>
      </c>
      <c r="R3838" t="s">
        <v>8315</v>
      </c>
      <c r="S3838" s="17">
        <f t="shared" si="242"/>
        <v>42553.926527777774</v>
      </c>
      <c r="T3838" s="17">
        <f t="shared" si="243"/>
        <v>42585.172916666663</v>
      </c>
      <c r="U3838">
        <f>MONTH(Table1[[#This Row],[Launched]])</f>
        <v>7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 s="8">
        <v>1435947758</v>
      </c>
      <c r="J3839">
        <v>1432837358</v>
      </c>
      <c r="K3839" t="b">
        <v>0</v>
      </c>
      <c r="L3839" s="10">
        <v>17</v>
      </c>
      <c r="M3839" t="b">
        <v>1</v>
      </c>
      <c r="N3839" t="s">
        <v>8269</v>
      </c>
      <c r="O3839" s="11">
        <f t="shared" si="240"/>
        <v>102</v>
      </c>
      <c r="P3839" s="12">
        <f t="shared" si="241"/>
        <v>120</v>
      </c>
      <c r="Q3839" s="14" t="s">
        <v>8314</v>
      </c>
      <c r="R3839" t="s">
        <v>8315</v>
      </c>
      <c r="S3839" s="17">
        <f t="shared" si="242"/>
        <v>42152.765717592592</v>
      </c>
      <c r="T3839" s="17">
        <f t="shared" si="243"/>
        <v>42188.765717592592</v>
      </c>
      <c r="U3839">
        <f>MONTH(Table1[[#This Row],[Launched]])</f>
        <v>5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 s="8">
        <v>1432314209</v>
      </c>
      <c r="J3840">
        <v>1429722209</v>
      </c>
      <c r="K3840" t="b">
        <v>0</v>
      </c>
      <c r="L3840" s="10">
        <v>100</v>
      </c>
      <c r="M3840" t="b">
        <v>1</v>
      </c>
      <c r="N3840" t="s">
        <v>8269</v>
      </c>
      <c r="O3840" s="11">
        <f t="shared" si="240"/>
        <v>101</v>
      </c>
      <c r="P3840" s="12">
        <f t="shared" si="241"/>
        <v>1008</v>
      </c>
      <c r="Q3840" s="14" t="s">
        <v>8314</v>
      </c>
      <c r="R3840" t="s">
        <v>8315</v>
      </c>
      <c r="S3840" s="17">
        <f t="shared" si="242"/>
        <v>42116.710752314815</v>
      </c>
      <c r="T3840" s="17">
        <f t="shared" si="243"/>
        <v>42146.710752314815</v>
      </c>
      <c r="U3840">
        <f>MONTH(Table1[[#This Row],[Launched]])</f>
        <v>4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 s="8">
        <v>1438226724</v>
      </c>
      <c r="J3841">
        <v>1433042724</v>
      </c>
      <c r="K3841" t="b">
        <v>0</v>
      </c>
      <c r="L3841" s="10">
        <v>32</v>
      </c>
      <c r="M3841" t="b">
        <v>1</v>
      </c>
      <c r="N3841" t="s">
        <v>8269</v>
      </c>
      <c r="O3841" s="11">
        <f t="shared" si="240"/>
        <v>101</v>
      </c>
      <c r="P3841" s="12">
        <f t="shared" si="241"/>
        <v>63</v>
      </c>
      <c r="Q3841" s="14" t="s">
        <v>8314</v>
      </c>
      <c r="R3841" t="s">
        <v>8315</v>
      </c>
      <c r="S3841" s="17">
        <f t="shared" si="242"/>
        <v>42155.142638888887</v>
      </c>
      <c r="T3841" s="17">
        <f t="shared" si="243"/>
        <v>42215.142638888887</v>
      </c>
      <c r="U3841">
        <f>MONTH(Table1[[#This Row],[Launched]])</f>
        <v>5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8218</v>
      </c>
      <c r="G3842" t="s">
        <v>8224</v>
      </c>
      <c r="H3842" t="s">
        <v>8246</v>
      </c>
      <c r="I3842" s="8">
        <v>1459180229</v>
      </c>
      <c r="J3842">
        <v>1457023829</v>
      </c>
      <c r="K3842" t="b">
        <v>0</v>
      </c>
      <c r="L3842" s="10">
        <v>3</v>
      </c>
      <c r="M3842" t="b">
        <v>1</v>
      </c>
      <c r="N3842" t="s">
        <v>8269</v>
      </c>
      <c r="O3842" s="11">
        <f t="shared" ref="O3842:O3905" si="244">ROUND(E3842/D3842*100,0)</f>
        <v>6500</v>
      </c>
      <c r="P3842" s="12">
        <f t="shared" si="241"/>
        <v>22</v>
      </c>
      <c r="Q3842" s="14" t="s">
        <v>8314</v>
      </c>
      <c r="R3842" t="s">
        <v>8315</v>
      </c>
      <c r="S3842" s="17">
        <f t="shared" si="242"/>
        <v>42432.701724537037</v>
      </c>
      <c r="T3842" s="17">
        <f t="shared" si="243"/>
        <v>42457.660057870366</v>
      </c>
      <c r="U3842">
        <f>MONTH(Table1[[#This Row],[Launched]])</f>
        <v>3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 s="8">
        <v>1405882287</v>
      </c>
      <c r="J3843">
        <v>1400698287</v>
      </c>
      <c r="K3843" t="b">
        <v>1</v>
      </c>
      <c r="L3843" s="10">
        <v>34</v>
      </c>
      <c r="M3843" t="b">
        <v>0</v>
      </c>
      <c r="N3843" t="s">
        <v>8269</v>
      </c>
      <c r="O3843" s="11">
        <f t="shared" si="244"/>
        <v>9</v>
      </c>
      <c r="P3843" s="12">
        <f t="shared" ref="P3843:P3906" si="245">IFERROR(ROUND(E3843/L3843,),"No Backers")</f>
        <v>26</v>
      </c>
      <c r="Q3843" s="14" t="s">
        <v>8314</v>
      </c>
      <c r="R3843" t="s">
        <v>8315</v>
      </c>
      <c r="S3843" s="17">
        <f t="shared" ref="S3843:S3906" si="246">(((J3843/60)/60)/24)+DATE(1970,1,1)</f>
        <v>41780.785729166666</v>
      </c>
      <c r="T3843" s="17">
        <f t="shared" ref="T3843:T3906" si="247">(((I3843/60)/60)/24)+DATE(1970,1,1)</f>
        <v>41840.785729166666</v>
      </c>
      <c r="U3843">
        <f>MONTH(Table1[[#This Row],[Launched]])</f>
        <v>5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 s="8">
        <v>1399809052</v>
      </c>
      <c r="J3844">
        <v>1397217052</v>
      </c>
      <c r="K3844" t="b">
        <v>1</v>
      </c>
      <c r="L3844" s="10">
        <v>23</v>
      </c>
      <c r="M3844" t="b">
        <v>0</v>
      </c>
      <c r="N3844" t="s">
        <v>8269</v>
      </c>
      <c r="O3844" s="11">
        <f t="shared" si="244"/>
        <v>22</v>
      </c>
      <c r="P3844" s="12">
        <f t="shared" si="245"/>
        <v>48</v>
      </c>
      <c r="Q3844" s="14" t="s">
        <v>8314</v>
      </c>
      <c r="R3844" t="s">
        <v>8315</v>
      </c>
      <c r="S3844" s="17">
        <f t="shared" si="246"/>
        <v>41740.493657407409</v>
      </c>
      <c r="T3844" s="17">
        <f t="shared" si="247"/>
        <v>41770.493657407409</v>
      </c>
      <c r="U3844">
        <f>MONTH(Table1[[#This Row],[Launched]])</f>
        <v>4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 s="8">
        <v>1401587064</v>
      </c>
      <c r="J3845">
        <v>1399427064</v>
      </c>
      <c r="K3845" t="b">
        <v>1</v>
      </c>
      <c r="L3845" s="10">
        <v>19</v>
      </c>
      <c r="M3845" t="b">
        <v>0</v>
      </c>
      <c r="N3845" t="s">
        <v>8269</v>
      </c>
      <c r="O3845" s="11">
        <f t="shared" si="244"/>
        <v>21</v>
      </c>
      <c r="P3845" s="12">
        <f t="shared" si="245"/>
        <v>56</v>
      </c>
      <c r="Q3845" s="14" t="s">
        <v>8314</v>
      </c>
      <c r="R3845" t="s">
        <v>8315</v>
      </c>
      <c r="S3845" s="17">
        <f t="shared" si="246"/>
        <v>41766.072500000002</v>
      </c>
      <c r="T3845" s="17">
        <f t="shared" si="247"/>
        <v>41791.072500000002</v>
      </c>
      <c r="U3845">
        <f>MONTH(Table1[[#This Row],[Launched]])</f>
        <v>5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 s="8">
        <v>1401778740</v>
      </c>
      <c r="J3846">
        <v>1399474134</v>
      </c>
      <c r="K3846" t="b">
        <v>1</v>
      </c>
      <c r="L3846" s="10">
        <v>50</v>
      </c>
      <c r="M3846" t="b">
        <v>0</v>
      </c>
      <c r="N3846" t="s">
        <v>8269</v>
      </c>
      <c r="O3846" s="11">
        <f t="shared" si="244"/>
        <v>41</v>
      </c>
      <c r="P3846" s="12">
        <f t="shared" si="245"/>
        <v>81</v>
      </c>
      <c r="Q3846" s="14" t="s">
        <v>8314</v>
      </c>
      <c r="R3846" t="s">
        <v>8315</v>
      </c>
      <c r="S3846" s="17">
        <f t="shared" si="246"/>
        <v>41766.617291666669</v>
      </c>
      <c r="T3846" s="17">
        <f t="shared" si="247"/>
        <v>41793.290972222225</v>
      </c>
      <c r="U3846">
        <f>MONTH(Table1[[#This Row],[Launched]])</f>
        <v>5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 s="8">
        <v>1443711774</v>
      </c>
      <c r="J3847">
        <v>1441119774</v>
      </c>
      <c r="K3847" t="b">
        <v>1</v>
      </c>
      <c r="L3847" s="10">
        <v>12</v>
      </c>
      <c r="M3847" t="b">
        <v>0</v>
      </c>
      <c r="N3847" t="s">
        <v>8269</v>
      </c>
      <c r="O3847" s="11">
        <f t="shared" si="244"/>
        <v>2</v>
      </c>
      <c r="P3847" s="12">
        <f t="shared" si="245"/>
        <v>70</v>
      </c>
      <c r="Q3847" s="14" t="s">
        <v>8314</v>
      </c>
      <c r="R3847" t="s">
        <v>8315</v>
      </c>
      <c r="S3847" s="17">
        <f t="shared" si="246"/>
        <v>42248.627013888887</v>
      </c>
      <c r="T3847" s="17">
        <f t="shared" si="247"/>
        <v>42278.627013888887</v>
      </c>
      <c r="U3847">
        <f>MONTH(Table1[[#This Row],[Launched]])</f>
        <v>9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8220</v>
      </c>
      <c r="G3848" t="s">
        <v>8223</v>
      </c>
      <c r="H3848" t="s">
        <v>8245</v>
      </c>
      <c r="I3848" s="8">
        <v>1412405940</v>
      </c>
      <c r="J3848">
        <v>1409721542</v>
      </c>
      <c r="K3848" t="b">
        <v>1</v>
      </c>
      <c r="L3848" s="10">
        <v>8</v>
      </c>
      <c r="M3848" t="b">
        <v>0</v>
      </c>
      <c r="N3848" t="s">
        <v>8269</v>
      </c>
      <c r="O3848" s="11">
        <f t="shared" si="244"/>
        <v>3</v>
      </c>
      <c r="P3848" s="12">
        <f t="shared" si="245"/>
        <v>24</v>
      </c>
      <c r="Q3848" s="14" t="s">
        <v>8314</v>
      </c>
      <c r="R3848" t="s">
        <v>8315</v>
      </c>
      <c r="S3848" s="17">
        <f t="shared" si="246"/>
        <v>41885.221550925926</v>
      </c>
      <c r="T3848" s="17">
        <f t="shared" si="247"/>
        <v>41916.290972222225</v>
      </c>
      <c r="U3848">
        <f>MONTH(Table1[[#This Row],[Launched]])</f>
        <v>9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 s="8">
        <v>1437283391</v>
      </c>
      <c r="J3849">
        <v>1433395391</v>
      </c>
      <c r="K3849" t="b">
        <v>1</v>
      </c>
      <c r="L3849" s="10">
        <v>9</v>
      </c>
      <c r="M3849" t="b">
        <v>0</v>
      </c>
      <c r="N3849" t="s">
        <v>8269</v>
      </c>
      <c r="O3849" s="11">
        <f t="shared" si="244"/>
        <v>16</v>
      </c>
      <c r="P3849" s="12">
        <f t="shared" si="245"/>
        <v>189</v>
      </c>
      <c r="Q3849" s="14" t="s">
        <v>8314</v>
      </c>
      <c r="R3849" t="s">
        <v>8315</v>
      </c>
      <c r="S3849" s="17">
        <f t="shared" si="246"/>
        <v>42159.224432870367</v>
      </c>
      <c r="T3849" s="17">
        <f t="shared" si="247"/>
        <v>42204.224432870367</v>
      </c>
      <c r="U3849">
        <f>MONTH(Table1[[#This Row],[Launched]])</f>
        <v>6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 s="8">
        <v>1445196989</v>
      </c>
      <c r="J3850">
        <v>1442604989</v>
      </c>
      <c r="K3850" t="b">
        <v>1</v>
      </c>
      <c r="L3850" s="10">
        <v>43</v>
      </c>
      <c r="M3850" t="b">
        <v>0</v>
      </c>
      <c r="N3850" t="s">
        <v>8269</v>
      </c>
      <c r="O3850" s="11">
        <f t="shared" si="244"/>
        <v>16</v>
      </c>
      <c r="P3850" s="12">
        <f t="shared" si="245"/>
        <v>50</v>
      </c>
      <c r="Q3850" s="14" t="s">
        <v>8314</v>
      </c>
      <c r="R3850" t="s">
        <v>8315</v>
      </c>
      <c r="S3850" s="17">
        <f t="shared" si="246"/>
        <v>42265.817002314812</v>
      </c>
      <c r="T3850" s="17">
        <f t="shared" si="247"/>
        <v>42295.817002314812</v>
      </c>
      <c r="U3850">
        <f>MONTH(Table1[[#This Row],[Launched]])</f>
        <v>9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 s="8">
        <v>1434047084</v>
      </c>
      <c r="J3851">
        <v>1431455084</v>
      </c>
      <c r="K3851" t="b">
        <v>1</v>
      </c>
      <c r="L3851" s="10">
        <v>28</v>
      </c>
      <c r="M3851" t="b">
        <v>0</v>
      </c>
      <c r="N3851" t="s">
        <v>8269</v>
      </c>
      <c r="O3851" s="11">
        <f t="shared" si="244"/>
        <v>7</v>
      </c>
      <c r="P3851" s="12">
        <f t="shared" si="245"/>
        <v>75</v>
      </c>
      <c r="Q3851" s="14" t="s">
        <v>8314</v>
      </c>
      <c r="R3851" t="s">
        <v>8315</v>
      </c>
      <c r="S3851" s="17">
        <f t="shared" si="246"/>
        <v>42136.767175925925</v>
      </c>
      <c r="T3851" s="17">
        <f t="shared" si="247"/>
        <v>42166.767175925925</v>
      </c>
      <c r="U3851">
        <f>MONTH(Table1[[#This Row],[Launched]])</f>
        <v>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8220</v>
      </c>
      <c r="G3852" t="s">
        <v>8223</v>
      </c>
      <c r="H3852" t="s">
        <v>8245</v>
      </c>
      <c r="I3852" s="8">
        <v>1420081143</v>
      </c>
      <c r="J3852">
        <v>1417489143</v>
      </c>
      <c r="K3852" t="b">
        <v>1</v>
      </c>
      <c r="L3852" s="10">
        <v>4</v>
      </c>
      <c r="M3852" t="b">
        <v>0</v>
      </c>
      <c r="N3852" t="s">
        <v>8269</v>
      </c>
      <c r="O3852" s="11">
        <f t="shared" si="244"/>
        <v>4</v>
      </c>
      <c r="P3852" s="12">
        <f t="shared" si="245"/>
        <v>10</v>
      </c>
      <c r="Q3852" s="14" t="s">
        <v>8314</v>
      </c>
      <c r="R3852" t="s">
        <v>8315</v>
      </c>
      <c r="S3852" s="17">
        <f t="shared" si="246"/>
        <v>41975.124340277776</v>
      </c>
      <c r="T3852" s="17">
        <f t="shared" si="247"/>
        <v>42005.124340277776</v>
      </c>
      <c r="U3852">
        <f>MONTH(Table1[[#This Row],[Launched]])</f>
        <v>12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8220</v>
      </c>
      <c r="G3853" t="s">
        <v>8224</v>
      </c>
      <c r="H3853" t="s">
        <v>8246</v>
      </c>
      <c r="I3853" s="8">
        <v>1437129179</v>
      </c>
      <c r="J3853">
        <v>1434537179</v>
      </c>
      <c r="K3853" t="b">
        <v>1</v>
      </c>
      <c r="L3853" s="10">
        <v>24</v>
      </c>
      <c r="M3853" t="b">
        <v>0</v>
      </c>
      <c r="N3853" t="s">
        <v>8269</v>
      </c>
      <c r="O3853" s="11">
        <f t="shared" si="244"/>
        <v>34</v>
      </c>
      <c r="P3853" s="12">
        <f t="shared" si="245"/>
        <v>36</v>
      </c>
      <c r="Q3853" s="14" t="s">
        <v>8314</v>
      </c>
      <c r="R3853" t="s">
        <v>8315</v>
      </c>
      <c r="S3853" s="17">
        <f t="shared" si="246"/>
        <v>42172.439571759256</v>
      </c>
      <c r="T3853" s="17">
        <f t="shared" si="247"/>
        <v>42202.439571759256</v>
      </c>
      <c r="U3853">
        <f>MONTH(Table1[[#This Row],[Launched]])</f>
        <v>6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8220</v>
      </c>
      <c r="G3854" t="s">
        <v>8223</v>
      </c>
      <c r="H3854" t="s">
        <v>8245</v>
      </c>
      <c r="I3854" s="8">
        <v>1427427276</v>
      </c>
      <c r="J3854">
        <v>1425270876</v>
      </c>
      <c r="K3854" t="b">
        <v>0</v>
      </c>
      <c r="L3854" s="10">
        <v>2</v>
      </c>
      <c r="M3854" t="b">
        <v>0</v>
      </c>
      <c r="N3854" t="s">
        <v>8269</v>
      </c>
      <c r="O3854" s="11">
        <f t="shared" si="244"/>
        <v>0</v>
      </c>
      <c r="P3854" s="12">
        <f t="shared" si="245"/>
        <v>10</v>
      </c>
      <c r="Q3854" s="14" t="s">
        <v>8314</v>
      </c>
      <c r="R3854" t="s">
        <v>8315</v>
      </c>
      <c r="S3854" s="17">
        <f t="shared" si="246"/>
        <v>42065.190694444449</v>
      </c>
      <c r="T3854" s="17">
        <f t="shared" si="247"/>
        <v>42090.149027777778</v>
      </c>
      <c r="U3854">
        <f>MONTH(Table1[[#This Row],[Launched]])</f>
        <v>3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 s="8">
        <v>1409602178</v>
      </c>
      <c r="J3855">
        <v>1406578178</v>
      </c>
      <c r="K3855" t="b">
        <v>0</v>
      </c>
      <c r="L3855" s="10">
        <v>2</v>
      </c>
      <c r="M3855" t="b">
        <v>0</v>
      </c>
      <c r="N3855" t="s">
        <v>8269</v>
      </c>
      <c r="O3855" s="11">
        <f t="shared" si="244"/>
        <v>0</v>
      </c>
      <c r="P3855" s="12">
        <f t="shared" si="245"/>
        <v>13</v>
      </c>
      <c r="Q3855" s="14" t="s">
        <v>8314</v>
      </c>
      <c r="R3855" t="s">
        <v>8315</v>
      </c>
      <c r="S3855" s="17">
        <f t="shared" si="246"/>
        <v>41848.84002314815</v>
      </c>
      <c r="T3855" s="17">
        <f t="shared" si="247"/>
        <v>41883.84002314815</v>
      </c>
      <c r="U3855">
        <f>MONTH(Table1[[#This Row],[Launched]])</f>
        <v>7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 s="8">
        <v>1431206058</v>
      </c>
      <c r="J3856">
        <v>1428614058</v>
      </c>
      <c r="K3856" t="b">
        <v>0</v>
      </c>
      <c r="L3856" s="10">
        <v>20</v>
      </c>
      <c r="M3856" t="b">
        <v>0</v>
      </c>
      <c r="N3856" t="s">
        <v>8269</v>
      </c>
      <c r="O3856" s="11">
        <f t="shared" si="244"/>
        <v>16</v>
      </c>
      <c r="P3856" s="12">
        <f t="shared" si="245"/>
        <v>89</v>
      </c>
      <c r="Q3856" s="14" t="s">
        <v>8314</v>
      </c>
      <c r="R3856" t="s">
        <v>8315</v>
      </c>
      <c r="S3856" s="17">
        <f t="shared" si="246"/>
        <v>42103.884930555556</v>
      </c>
      <c r="T3856" s="17">
        <f t="shared" si="247"/>
        <v>42133.884930555556</v>
      </c>
      <c r="U3856">
        <f>MONTH(Table1[[#This Row],[Launched]])</f>
        <v>4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8220</v>
      </c>
      <c r="G3857" t="s">
        <v>8223</v>
      </c>
      <c r="H3857" t="s">
        <v>8245</v>
      </c>
      <c r="I3857" s="8">
        <v>1427408271</v>
      </c>
      <c r="J3857">
        <v>1424819871</v>
      </c>
      <c r="K3857" t="b">
        <v>0</v>
      </c>
      <c r="L3857" s="10">
        <v>1</v>
      </c>
      <c r="M3857" t="b">
        <v>0</v>
      </c>
      <c r="N3857" t="s">
        <v>8269</v>
      </c>
      <c r="O3857" s="11">
        <f t="shared" si="244"/>
        <v>3</v>
      </c>
      <c r="P3857" s="12">
        <f t="shared" si="245"/>
        <v>25</v>
      </c>
      <c r="Q3857" s="14" t="s">
        <v>8314</v>
      </c>
      <c r="R3857" t="s">
        <v>8315</v>
      </c>
      <c r="S3857" s="17">
        <f t="shared" si="246"/>
        <v>42059.970729166671</v>
      </c>
      <c r="T3857" s="17">
        <f t="shared" si="247"/>
        <v>42089.929062499999</v>
      </c>
      <c r="U3857">
        <f>MONTH(Table1[[#This Row],[Launched]])</f>
        <v>2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8220</v>
      </c>
      <c r="G3858" t="s">
        <v>8223</v>
      </c>
      <c r="H3858" t="s">
        <v>8245</v>
      </c>
      <c r="I3858" s="8">
        <v>1425833403</v>
      </c>
      <c r="J3858">
        <v>1423245003</v>
      </c>
      <c r="K3858" t="b">
        <v>0</v>
      </c>
      <c r="L3858" s="10">
        <v>1</v>
      </c>
      <c r="M3858" t="b">
        <v>0</v>
      </c>
      <c r="N3858" t="s">
        <v>8269</v>
      </c>
      <c r="O3858" s="11">
        <f t="shared" si="244"/>
        <v>0</v>
      </c>
      <c r="P3858" s="12">
        <f t="shared" si="245"/>
        <v>1</v>
      </c>
      <c r="Q3858" s="14" t="s">
        <v>8314</v>
      </c>
      <c r="R3858" t="s">
        <v>8315</v>
      </c>
      <c r="S3858" s="17">
        <f t="shared" si="246"/>
        <v>42041.743090277778</v>
      </c>
      <c r="T3858" s="17">
        <f t="shared" si="247"/>
        <v>42071.701423611114</v>
      </c>
      <c r="U3858">
        <f>MONTH(Table1[[#This Row],[Launched]])</f>
        <v>2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8220</v>
      </c>
      <c r="G3859" t="s">
        <v>8223</v>
      </c>
      <c r="H3859" t="s">
        <v>8245</v>
      </c>
      <c r="I3859" s="8">
        <v>1406913120</v>
      </c>
      <c r="J3859">
        <v>1404927690</v>
      </c>
      <c r="K3859" t="b">
        <v>0</v>
      </c>
      <c r="L3859" s="10">
        <v>4</v>
      </c>
      <c r="M3859" t="b">
        <v>0</v>
      </c>
      <c r="N3859" t="s">
        <v>8269</v>
      </c>
      <c r="O3859" s="11">
        <f t="shared" si="244"/>
        <v>5</v>
      </c>
      <c r="P3859" s="12">
        <f t="shared" si="245"/>
        <v>65</v>
      </c>
      <c r="Q3859" s="14" t="s">
        <v>8314</v>
      </c>
      <c r="R3859" t="s">
        <v>8315</v>
      </c>
      <c r="S3859" s="17">
        <f t="shared" si="246"/>
        <v>41829.73715277778</v>
      </c>
      <c r="T3859" s="17">
        <f t="shared" si="247"/>
        <v>41852.716666666667</v>
      </c>
      <c r="U3859">
        <f>MONTH(Table1[[#This Row],[Launched]])</f>
        <v>7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8220</v>
      </c>
      <c r="G3860" t="s">
        <v>8224</v>
      </c>
      <c r="H3860" t="s">
        <v>8246</v>
      </c>
      <c r="I3860" s="8">
        <v>1432328400</v>
      </c>
      <c r="J3860">
        <v>1430734844</v>
      </c>
      <c r="K3860" t="b">
        <v>0</v>
      </c>
      <c r="L3860" s="10">
        <v>1</v>
      </c>
      <c r="M3860" t="b">
        <v>0</v>
      </c>
      <c r="N3860" t="s">
        <v>8269</v>
      </c>
      <c r="O3860" s="11">
        <f t="shared" si="244"/>
        <v>2</v>
      </c>
      <c r="P3860" s="12">
        <f t="shared" si="245"/>
        <v>10</v>
      </c>
      <c r="Q3860" s="14" t="s">
        <v>8314</v>
      </c>
      <c r="R3860" t="s">
        <v>8315</v>
      </c>
      <c r="S3860" s="17">
        <f t="shared" si="246"/>
        <v>42128.431064814817</v>
      </c>
      <c r="T3860" s="17">
        <f t="shared" si="247"/>
        <v>42146.875</v>
      </c>
      <c r="U3860">
        <f>MONTH(Table1[[#This Row],[Launched]])</f>
        <v>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8220</v>
      </c>
      <c r="G3861" t="s">
        <v>8223</v>
      </c>
      <c r="H3861" t="s">
        <v>8245</v>
      </c>
      <c r="I3861" s="8">
        <v>1403730000</v>
      </c>
      <c r="J3861">
        <v>1401485207</v>
      </c>
      <c r="K3861" t="b">
        <v>0</v>
      </c>
      <c r="L3861" s="10">
        <v>1</v>
      </c>
      <c r="M3861" t="b">
        <v>0</v>
      </c>
      <c r="N3861" t="s">
        <v>8269</v>
      </c>
      <c r="O3861" s="11">
        <f t="shared" si="244"/>
        <v>0</v>
      </c>
      <c r="P3861" s="12">
        <f t="shared" si="245"/>
        <v>1</v>
      </c>
      <c r="Q3861" s="14" t="s">
        <v>8314</v>
      </c>
      <c r="R3861" t="s">
        <v>8315</v>
      </c>
      <c r="S3861" s="17">
        <f t="shared" si="246"/>
        <v>41789.893599537041</v>
      </c>
      <c r="T3861" s="17">
        <f t="shared" si="247"/>
        <v>41815.875</v>
      </c>
      <c r="U3861">
        <f>MONTH(Table1[[#This Row],[Launched]])</f>
        <v>5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 s="8">
        <v>1407858710</v>
      </c>
      <c r="J3862">
        <v>1405266710</v>
      </c>
      <c r="K3862" t="b">
        <v>0</v>
      </c>
      <c r="L3862" s="10">
        <v>13</v>
      </c>
      <c r="M3862" t="b">
        <v>0</v>
      </c>
      <c r="N3862" t="s">
        <v>8269</v>
      </c>
      <c r="O3862" s="11">
        <f t="shared" si="244"/>
        <v>18</v>
      </c>
      <c r="P3862" s="12">
        <f t="shared" si="245"/>
        <v>82</v>
      </c>
      <c r="Q3862" s="14" t="s">
        <v>8314</v>
      </c>
      <c r="R3862" t="s">
        <v>8315</v>
      </c>
      <c r="S3862" s="17">
        <f t="shared" si="246"/>
        <v>41833.660995370366</v>
      </c>
      <c r="T3862" s="17">
        <f t="shared" si="247"/>
        <v>41863.660995370366</v>
      </c>
      <c r="U3862">
        <f>MONTH(Table1[[#This Row],[Launched]])</f>
        <v>7</v>
      </c>
    </row>
    <row r="3863" spans="1:21" ht="15.6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8220</v>
      </c>
      <c r="G3863" t="s">
        <v>8223</v>
      </c>
      <c r="H3863" t="s">
        <v>8245</v>
      </c>
      <c r="I3863" s="8">
        <v>1415828820</v>
      </c>
      <c r="J3863">
        <v>1412258977</v>
      </c>
      <c r="K3863" t="b">
        <v>0</v>
      </c>
      <c r="L3863" s="10">
        <v>1</v>
      </c>
      <c r="M3863" t="b">
        <v>0</v>
      </c>
      <c r="N3863" t="s">
        <v>8269</v>
      </c>
      <c r="O3863" s="11">
        <f t="shared" si="244"/>
        <v>5</v>
      </c>
      <c r="P3863" s="12">
        <f t="shared" si="245"/>
        <v>100</v>
      </c>
      <c r="Q3863" s="14" t="s">
        <v>8314</v>
      </c>
      <c r="R3863" t="s">
        <v>8315</v>
      </c>
      <c r="S3863" s="17">
        <f t="shared" si="246"/>
        <v>41914.590011574073</v>
      </c>
      <c r="T3863" s="17">
        <f t="shared" si="247"/>
        <v>41955.907638888893</v>
      </c>
      <c r="U3863">
        <f>MONTH(Table1[[#This Row],[Launched]])</f>
        <v>10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8220</v>
      </c>
      <c r="G3864" t="s">
        <v>8223</v>
      </c>
      <c r="H3864" t="s">
        <v>8245</v>
      </c>
      <c r="I3864" s="8">
        <v>1473699540</v>
      </c>
      <c r="J3864">
        <v>1472451356</v>
      </c>
      <c r="K3864" t="b">
        <v>0</v>
      </c>
      <c r="L3864" s="10">
        <v>1</v>
      </c>
      <c r="M3864" t="b">
        <v>0</v>
      </c>
      <c r="N3864" t="s">
        <v>8269</v>
      </c>
      <c r="O3864" s="11">
        <f t="shared" si="244"/>
        <v>0</v>
      </c>
      <c r="P3864" s="12">
        <f t="shared" si="245"/>
        <v>1</v>
      </c>
      <c r="Q3864" s="14" t="s">
        <v>8314</v>
      </c>
      <c r="R3864" t="s">
        <v>8315</v>
      </c>
      <c r="S3864" s="17">
        <f t="shared" si="246"/>
        <v>42611.261064814811</v>
      </c>
      <c r="T3864" s="17">
        <f t="shared" si="247"/>
        <v>42625.707638888889</v>
      </c>
      <c r="U3864">
        <f>MONTH(Table1[[#This Row],[Launched]])</f>
        <v>8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8220</v>
      </c>
      <c r="G3865" t="s">
        <v>8223</v>
      </c>
      <c r="H3865" t="s">
        <v>8245</v>
      </c>
      <c r="I3865" s="8">
        <v>1446739905</v>
      </c>
      <c r="J3865">
        <v>1441552305</v>
      </c>
      <c r="K3865" t="b">
        <v>0</v>
      </c>
      <c r="L3865" s="10">
        <v>0</v>
      </c>
      <c r="M3865" t="b">
        <v>0</v>
      </c>
      <c r="N3865" t="s">
        <v>8269</v>
      </c>
      <c r="O3865" s="11">
        <f t="shared" si="244"/>
        <v>0</v>
      </c>
      <c r="P3865" s="12" t="str">
        <f t="shared" si="245"/>
        <v>No Backers</v>
      </c>
      <c r="Q3865" s="14" t="s">
        <v>8314</v>
      </c>
      <c r="R3865" t="s">
        <v>8315</v>
      </c>
      <c r="S3865" s="17">
        <f t="shared" si="246"/>
        <v>42253.633159722223</v>
      </c>
      <c r="T3865" s="17">
        <f t="shared" si="247"/>
        <v>42313.674826388888</v>
      </c>
      <c r="U3865">
        <f>MONTH(Table1[[#This Row],[Launched]])</f>
        <v>9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8220</v>
      </c>
      <c r="G3866" t="s">
        <v>8223</v>
      </c>
      <c r="H3866" t="s">
        <v>8245</v>
      </c>
      <c r="I3866" s="8">
        <v>1447799054</v>
      </c>
      <c r="J3866">
        <v>1445203454</v>
      </c>
      <c r="K3866" t="b">
        <v>0</v>
      </c>
      <c r="L3866" s="10">
        <v>3</v>
      </c>
      <c r="M3866" t="b">
        <v>0</v>
      </c>
      <c r="N3866" t="s">
        <v>8269</v>
      </c>
      <c r="O3866" s="11">
        <f t="shared" si="244"/>
        <v>1</v>
      </c>
      <c r="P3866" s="12">
        <f t="shared" si="245"/>
        <v>20</v>
      </c>
      <c r="Q3866" s="14" t="s">
        <v>8314</v>
      </c>
      <c r="R3866" t="s">
        <v>8315</v>
      </c>
      <c r="S3866" s="17">
        <f t="shared" si="246"/>
        <v>42295.891828703709</v>
      </c>
      <c r="T3866" s="17">
        <f t="shared" si="247"/>
        <v>42325.933495370366</v>
      </c>
      <c r="U3866">
        <f>MONTH(Table1[[#This Row],[Launched]])</f>
        <v>10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8220</v>
      </c>
      <c r="G3867" t="s">
        <v>8228</v>
      </c>
      <c r="H3867" t="s">
        <v>8250</v>
      </c>
      <c r="I3867" s="8">
        <v>1409376600</v>
      </c>
      <c r="J3867">
        <v>1405957098</v>
      </c>
      <c r="K3867" t="b">
        <v>0</v>
      </c>
      <c r="L3867" s="10">
        <v>14</v>
      </c>
      <c r="M3867" t="b">
        <v>0</v>
      </c>
      <c r="N3867" t="s">
        <v>8269</v>
      </c>
      <c r="O3867" s="11">
        <f t="shared" si="244"/>
        <v>27</v>
      </c>
      <c r="P3867" s="12">
        <f t="shared" si="245"/>
        <v>46</v>
      </c>
      <c r="Q3867" s="14" t="s">
        <v>8314</v>
      </c>
      <c r="R3867" t="s">
        <v>8315</v>
      </c>
      <c r="S3867" s="17">
        <f t="shared" si="246"/>
        <v>41841.651597222226</v>
      </c>
      <c r="T3867" s="17">
        <f t="shared" si="247"/>
        <v>41881.229166666664</v>
      </c>
      <c r="U3867">
        <f>MONTH(Table1[[#This Row],[Launched]])</f>
        <v>7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8220</v>
      </c>
      <c r="G3868" t="s">
        <v>8223</v>
      </c>
      <c r="H3868" t="s">
        <v>8245</v>
      </c>
      <c r="I3868" s="8">
        <v>1458703740</v>
      </c>
      <c r="J3868">
        <v>1454453021</v>
      </c>
      <c r="K3868" t="b">
        <v>0</v>
      </c>
      <c r="L3868" s="10">
        <v>2</v>
      </c>
      <c r="M3868" t="b">
        <v>0</v>
      </c>
      <c r="N3868" t="s">
        <v>8269</v>
      </c>
      <c r="O3868" s="11">
        <f t="shared" si="244"/>
        <v>1</v>
      </c>
      <c r="P3868" s="12">
        <f t="shared" si="245"/>
        <v>6</v>
      </c>
      <c r="Q3868" s="14" t="s">
        <v>8314</v>
      </c>
      <c r="R3868" t="s">
        <v>8315</v>
      </c>
      <c r="S3868" s="17">
        <f t="shared" si="246"/>
        <v>42402.947002314817</v>
      </c>
      <c r="T3868" s="17">
        <f t="shared" si="247"/>
        <v>42452.145138888889</v>
      </c>
      <c r="U3868">
        <f>MONTH(Table1[[#This Row],[Launched]])</f>
        <v>2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8220</v>
      </c>
      <c r="G3869" t="s">
        <v>8223</v>
      </c>
      <c r="H3869" t="s">
        <v>8245</v>
      </c>
      <c r="I3869" s="8">
        <v>1466278339</v>
      </c>
      <c r="J3869">
        <v>1463686339</v>
      </c>
      <c r="K3869" t="b">
        <v>0</v>
      </c>
      <c r="L3869" s="10">
        <v>5</v>
      </c>
      <c r="M3869" t="b">
        <v>0</v>
      </c>
      <c r="N3869" t="s">
        <v>8269</v>
      </c>
      <c r="O3869" s="11">
        <f t="shared" si="244"/>
        <v>13</v>
      </c>
      <c r="P3869" s="12">
        <f t="shared" si="245"/>
        <v>50</v>
      </c>
      <c r="Q3869" s="14" t="s">
        <v>8314</v>
      </c>
      <c r="R3869" t="s">
        <v>8315</v>
      </c>
      <c r="S3869" s="17">
        <f t="shared" si="246"/>
        <v>42509.814108796301</v>
      </c>
      <c r="T3869" s="17">
        <f t="shared" si="247"/>
        <v>42539.814108796301</v>
      </c>
      <c r="U3869">
        <f>MONTH(Table1[[#This Row],[Launched]])</f>
        <v>5</v>
      </c>
    </row>
    <row r="3870" spans="1:21" ht="15.6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8219</v>
      </c>
      <c r="G3870" t="s">
        <v>8224</v>
      </c>
      <c r="H3870" t="s">
        <v>8246</v>
      </c>
      <c r="I3870" s="8">
        <v>1410191405</v>
      </c>
      <c r="J3870">
        <v>1408031405</v>
      </c>
      <c r="K3870" t="b">
        <v>0</v>
      </c>
      <c r="L3870" s="10">
        <v>1</v>
      </c>
      <c r="M3870" t="b">
        <v>0</v>
      </c>
      <c r="N3870" t="s">
        <v>8303</v>
      </c>
      <c r="O3870" s="11">
        <f t="shared" si="244"/>
        <v>0</v>
      </c>
      <c r="P3870" s="12">
        <f t="shared" si="245"/>
        <v>10</v>
      </c>
      <c r="Q3870" s="14" t="s">
        <v>8314</v>
      </c>
      <c r="R3870" t="s">
        <v>8356</v>
      </c>
      <c r="S3870" s="17">
        <f t="shared" si="246"/>
        <v>41865.659780092588</v>
      </c>
      <c r="T3870" s="17">
        <f t="shared" si="247"/>
        <v>41890.659780092588</v>
      </c>
      <c r="U3870">
        <f>MONTH(Table1[[#This Row],[Launched]])</f>
        <v>8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 s="8">
        <v>1426302660</v>
      </c>
      <c r="J3871">
        <v>1423761792</v>
      </c>
      <c r="K3871" t="b">
        <v>0</v>
      </c>
      <c r="L3871" s="10">
        <v>15</v>
      </c>
      <c r="M3871" t="b">
        <v>0</v>
      </c>
      <c r="N3871" t="s">
        <v>8303</v>
      </c>
      <c r="O3871" s="11">
        <f t="shared" si="244"/>
        <v>3</v>
      </c>
      <c r="P3871" s="12">
        <f t="shared" si="245"/>
        <v>30</v>
      </c>
      <c r="Q3871" s="14" t="s">
        <v>8314</v>
      </c>
      <c r="R3871" t="s">
        <v>8356</v>
      </c>
      <c r="S3871" s="17">
        <f t="shared" si="246"/>
        <v>42047.724444444444</v>
      </c>
      <c r="T3871" s="17">
        <f t="shared" si="247"/>
        <v>42077.132638888885</v>
      </c>
      <c r="U3871">
        <f>MONTH(Table1[[#This Row],[Launched]])</f>
        <v>2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 s="8">
        <v>1404360478</v>
      </c>
      <c r="J3872">
        <v>1401768478</v>
      </c>
      <c r="K3872" t="b">
        <v>0</v>
      </c>
      <c r="L3872" s="10">
        <v>10</v>
      </c>
      <c r="M3872" t="b">
        <v>0</v>
      </c>
      <c r="N3872" t="s">
        <v>8303</v>
      </c>
      <c r="O3872" s="11">
        <f t="shared" si="244"/>
        <v>15</v>
      </c>
      <c r="P3872" s="12">
        <f t="shared" si="245"/>
        <v>150</v>
      </c>
      <c r="Q3872" s="14" t="s">
        <v>8314</v>
      </c>
      <c r="R3872" t="s">
        <v>8356</v>
      </c>
      <c r="S3872" s="17">
        <f t="shared" si="246"/>
        <v>41793.17219907407</v>
      </c>
      <c r="T3872" s="17">
        <f t="shared" si="247"/>
        <v>41823.17219907407</v>
      </c>
      <c r="U3872">
        <f>MONTH(Table1[[#This Row],[Launched]])</f>
        <v>6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8219</v>
      </c>
      <c r="G3873" t="s">
        <v>8223</v>
      </c>
      <c r="H3873" t="s">
        <v>8245</v>
      </c>
      <c r="I3873" s="8">
        <v>1490809450</v>
      </c>
      <c r="J3873">
        <v>1485629050</v>
      </c>
      <c r="K3873" t="b">
        <v>0</v>
      </c>
      <c r="L3873" s="10">
        <v>3</v>
      </c>
      <c r="M3873" t="b">
        <v>0</v>
      </c>
      <c r="N3873" t="s">
        <v>8303</v>
      </c>
      <c r="O3873" s="11">
        <f t="shared" si="244"/>
        <v>3</v>
      </c>
      <c r="P3873" s="12">
        <f t="shared" si="245"/>
        <v>13</v>
      </c>
      <c r="Q3873" s="14" t="s">
        <v>8314</v>
      </c>
      <c r="R3873" t="s">
        <v>8356</v>
      </c>
      <c r="S3873" s="17">
        <f t="shared" si="246"/>
        <v>42763.780671296292</v>
      </c>
      <c r="T3873" s="17">
        <f t="shared" si="247"/>
        <v>42823.739004629635</v>
      </c>
      <c r="U3873">
        <f>MONTH(Table1[[#This Row],[Launched]])</f>
        <v>1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8219</v>
      </c>
      <c r="G3874" t="s">
        <v>8223</v>
      </c>
      <c r="H3874" t="s">
        <v>8245</v>
      </c>
      <c r="I3874" s="8">
        <v>1439522996</v>
      </c>
      <c r="J3874">
        <v>1435202996</v>
      </c>
      <c r="K3874" t="b">
        <v>0</v>
      </c>
      <c r="L3874" s="10">
        <v>0</v>
      </c>
      <c r="M3874" t="b">
        <v>0</v>
      </c>
      <c r="N3874" t="s">
        <v>8303</v>
      </c>
      <c r="O3874" s="11">
        <f t="shared" si="244"/>
        <v>0</v>
      </c>
      <c r="P3874" s="12" t="str">
        <f t="shared" si="245"/>
        <v>No Backers</v>
      </c>
      <c r="Q3874" s="14" t="s">
        <v>8314</v>
      </c>
      <c r="R3874" t="s">
        <v>8356</v>
      </c>
      <c r="S3874" s="17">
        <f t="shared" si="246"/>
        <v>42180.145787037036</v>
      </c>
      <c r="T3874" s="17">
        <f t="shared" si="247"/>
        <v>42230.145787037036</v>
      </c>
      <c r="U3874">
        <f>MONTH(Table1[[#This Row],[Launched]])</f>
        <v>6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8219</v>
      </c>
      <c r="G3875" t="s">
        <v>8223</v>
      </c>
      <c r="H3875" t="s">
        <v>8245</v>
      </c>
      <c r="I3875" s="8">
        <v>1444322535</v>
      </c>
      <c r="J3875">
        <v>1441730535</v>
      </c>
      <c r="K3875" t="b">
        <v>0</v>
      </c>
      <c r="L3875" s="10">
        <v>0</v>
      </c>
      <c r="M3875" t="b">
        <v>0</v>
      </c>
      <c r="N3875" t="s">
        <v>8303</v>
      </c>
      <c r="O3875" s="11">
        <f t="shared" si="244"/>
        <v>0</v>
      </c>
      <c r="P3875" s="12" t="str">
        <f t="shared" si="245"/>
        <v>No Backers</v>
      </c>
      <c r="Q3875" s="14" t="s">
        <v>8314</v>
      </c>
      <c r="R3875" t="s">
        <v>8356</v>
      </c>
      <c r="S3875" s="17">
        <f t="shared" si="246"/>
        <v>42255.696006944447</v>
      </c>
      <c r="T3875" s="17">
        <f t="shared" si="247"/>
        <v>42285.696006944447</v>
      </c>
      <c r="U3875">
        <f>MONTH(Table1[[#This Row],[Launched]])</f>
        <v>9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8219</v>
      </c>
      <c r="G3876" t="s">
        <v>8227</v>
      </c>
      <c r="H3876" t="s">
        <v>8249</v>
      </c>
      <c r="I3876" s="8">
        <v>1422061200</v>
      </c>
      <c r="J3876">
        <v>1420244622</v>
      </c>
      <c r="K3876" t="b">
        <v>0</v>
      </c>
      <c r="L3876" s="10">
        <v>0</v>
      </c>
      <c r="M3876" t="b">
        <v>0</v>
      </c>
      <c r="N3876" t="s">
        <v>8303</v>
      </c>
      <c r="O3876" s="11">
        <f t="shared" si="244"/>
        <v>0</v>
      </c>
      <c r="P3876" s="12" t="str">
        <f t="shared" si="245"/>
        <v>No Backers</v>
      </c>
      <c r="Q3876" s="14" t="s">
        <v>8314</v>
      </c>
      <c r="R3876" t="s">
        <v>8356</v>
      </c>
      <c r="S3876" s="17">
        <f t="shared" si="246"/>
        <v>42007.016458333332</v>
      </c>
      <c r="T3876" s="17">
        <f t="shared" si="247"/>
        <v>42028.041666666672</v>
      </c>
      <c r="U3876">
        <f>MONTH(Table1[[#This Row],[Launched]])</f>
        <v>1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8219</v>
      </c>
      <c r="G3877" t="s">
        <v>8231</v>
      </c>
      <c r="H3877" t="s">
        <v>8252</v>
      </c>
      <c r="I3877" s="8">
        <v>1472896800</v>
      </c>
      <c r="J3877">
        <v>1472804365</v>
      </c>
      <c r="K3877" t="b">
        <v>0</v>
      </c>
      <c r="L3877" s="10">
        <v>0</v>
      </c>
      <c r="M3877" t="b">
        <v>0</v>
      </c>
      <c r="N3877" t="s">
        <v>8303</v>
      </c>
      <c r="O3877" s="11">
        <f t="shared" si="244"/>
        <v>0</v>
      </c>
      <c r="P3877" s="12" t="str">
        <f t="shared" si="245"/>
        <v>No Backers</v>
      </c>
      <c r="Q3877" s="14" t="s">
        <v>8314</v>
      </c>
      <c r="R3877" t="s">
        <v>8356</v>
      </c>
      <c r="S3877" s="17">
        <f t="shared" si="246"/>
        <v>42615.346817129626</v>
      </c>
      <c r="T3877" s="17">
        <f t="shared" si="247"/>
        <v>42616.416666666672</v>
      </c>
      <c r="U3877">
        <f>MONTH(Table1[[#This Row],[Launched]])</f>
        <v>9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 s="8">
        <v>1454425128</v>
      </c>
      <c r="J3878">
        <v>1451833128</v>
      </c>
      <c r="K3878" t="b">
        <v>0</v>
      </c>
      <c r="L3878" s="10">
        <v>46</v>
      </c>
      <c r="M3878" t="b">
        <v>0</v>
      </c>
      <c r="N3878" t="s">
        <v>8303</v>
      </c>
      <c r="O3878" s="11">
        <f t="shared" si="244"/>
        <v>53</v>
      </c>
      <c r="P3878" s="12">
        <f t="shared" si="245"/>
        <v>45</v>
      </c>
      <c r="Q3878" s="14" t="s">
        <v>8314</v>
      </c>
      <c r="R3878" t="s">
        <v>8356</v>
      </c>
      <c r="S3878" s="17">
        <f t="shared" si="246"/>
        <v>42372.624166666668</v>
      </c>
      <c r="T3878" s="17">
        <f t="shared" si="247"/>
        <v>42402.624166666668</v>
      </c>
      <c r="U3878">
        <f>MONTH(Table1[[#This Row],[Launched]])</f>
        <v>1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 s="8">
        <v>1481213752</v>
      </c>
      <c r="J3879">
        <v>1478621752</v>
      </c>
      <c r="K3879" t="b">
        <v>0</v>
      </c>
      <c r="L3879" s="10">
        <v>14</v>
      </c>
      <c r="M3879" t="b">
        <v>0</v>
      </c>
      <c r="N3879" t="s">
        <v>8303</v>
      </c>
      <c r="O3879" s="11">
        <f t="shared" si="244"/>
        <v>5</v>
      </c>
      <c r="P3879" s="12">
        <f t="shared" si="245"/>
        <v>89</v>
      </c>
      <c r="Q3879" s="14" t="s">
        <v>8314</v>
      </c>
      <c r="R3879" t="s">
        <v>8356</v>
      </c>
      <c r="S3879" s="17">
        <f t="shared" si="246"/>
        <v>42682.67768518519</v>
      </c>
      <c r="T3879" s="17">
        <f t="shared" si="247"/>
        <v>42712.67768518519</v>
      </c>
      <c r="U3879">
        <f>MONTH(Table1[[#This Row],[Launched]])</f>
        <v>11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8219</v>
      </c>
      <c r="G3880" t="s">
        <v>8223</v>
      </c>
      <c r="H3880" t="s">
        <v>8245</v>
      </c>
      <c r="I3880" s="8">
        <v>1435636740</v>
      </c>
      <c r="J3880">
        <v>1433014746</v>
      </c>
      <c r="K3880" t="b">
        <v>0</v>
      </c>
      <c r="L3880" s="10">
        <v>1</v>
      </c>
      <c r="M3880" t="b">
        <v>0</v>
      </c>
      <c r="N3880" t="s">
        <v>8303</v>
      </c>
      <c r="O3880" s="11">
        <f t="shared" si="244"/>
        <v>0</v>
      </c>
      <c r="P3880" s="12">
        <f t="shared" si="245"/>
        <v>10</v>
      </c>
      <c r="Q3880" s="14" t="s">
        <v>8314</v>
      </c>
      <c r="R3880" t="s">
        <v>8356</v>
      </c>
      <c r="S3880" s="17">
        <f t="shared" si="246"/>
        <v>42154.818819444445</v>
      </c>
      <c r="T3880" s="17">
        <f t="shared" si="247"/>
        <v>42185.165972222225</v>
      </c>
      <c r="U3880">
        <f>MONTH(Table1[[#This Row],[Launched]])</f>
        <v>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8219</v>
      </c>
      <c r="G3881" t="s">
        <v>8224</v>
      </c>
      <c r="H3881" t="s">
        <v>8246</v>
      </c>
      <c r="I3881" s="8">
        <v>1422218396</v>
      </c>
      <c r="J3881">
        <v>1419626396</v>
      </c>
      <c r="K3881" t="b">
        <v>0</v>
      </c>
      <c r="L3881" s="10">
        <v>0</v>
      </c>
      <c r="M3881" t="b">
        <v>0</v>
      </c>
      <c r="N3881" t="s">
        <v>8303</v>
      </c>
      <c r="O3881" s="11">
        <f t="shared" si="244"/>
        <v>0</v>
      </c>
      <c r="P3881" s="12" t="str">
        <f t="shared" si="245"/>
        <v>No Backers</v>
      </c>
      <c r="Q3881" s="14" t="s">
        <v>8314</v>
      </c>
      <c r="R3881" t="s">
        <v>8356</v>
      </c>
      <c r="S3881" s="17">
        <f t="shared" si="246"/>
        <v>41999.861064814817</v>
      </c>
      <c r="T3881" s="17">
        <f t="shared" si="247"/>
        <v>42029.861064814817</v>
      </c>
      <c r="U3881">
        <f>MONTH(Table1[[#This Row],[Launched]])</f>
        <v>12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8219</v>
      </c>
      <c r="G3882" t="s">
        <v>8224</v>
      </c>
      <c r="H3882" t="s">
        <v>8246</v>
      </c>
      <c r="I3882" s="8">
        <v>1406761200</v>
      </c>
      <c r="J3882">
        <v>1403724820</v>
      </c>
      <c r="K3882" t="b">
        <v>0</v>
      </c>
      <c r="L3882" s="10">
        <v>17</v>
      </c>
      <c r="M3882" t="b">
        <v>0</v>
      </c>
      <c r="N3882" t="s">
        <v>8303</v>
      </c>
      <c r="O3882" s="11">
        <f t="shared" si="244"/>
        <v>13</v>
      </c>
      <c r="P3882" s="12">
        <f t="shared" si="245"/>
        <v>58</v>
      </c>
      <c r="Q3882" s="14" t="s">
        <v>8314</v>
      </c>
      <c r="R3882" t="s">
        <v>8356</v>
      </c>
      <c r="S3882" s="17">
        <f t="shared" si="246"/>
        <v>41815.815046296295</v>
      </c>
      <c r="T3882" s="17">
        <f t="shared" si="247"/>
        <v>41850.958333333336</v>
      </c>
      <c r="U3882">
        <f>MONTH(Table1[[#This Row],[Launched]])</f>
        <v>6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8219</v>
      </c>
      <c r="G3883" t="s">
        <v>8223</v>
      </c>
      <c r="H3883" t="s">
        <v>8245</v>
      </c>
      <c r="I3883" s="8">
        <v>1487550399</v>
      </c>
      <c r="J3883">
        <v>1484958399</v>
      </c>
      <c r="K3883" t="b">
        <v>0</v>
      </c>
      <c r="L3883" s="10">
        <v>1</v>
      </c>
      <c r="M3883" t="b">
        <v>0</v>
      </c>
      <c r="N3883" t="s">
        <v>8303</v>
      </c>
      <c r="O3883" s="11">
        <f t="shared" si="244"/>
        <v>5</v>
      </c>
      <c r="P3883" s="12">
        <f t="shared" si="245"/>
        <v>25</v>
      </c>
      <c r="Q3883" s="14" t="s">
        <v>8314</v>
      </c>
      <c r="R3883" t="s">
        <v>8356</v>
      </c>
      <c r="S3883" s="17">
        <f t="shared" si="246"/>
        <v>42756.018506944441</v>
      </c>
      <c r="T3883" s="17">
        <f t="shared" si="247"/>
        <v>42786.018506944441</v>
      </c>
      <c r="U3883">
        <f>MONTH(Table1[[#This Row],[Launched]])</f>
        <v>1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8219</v>
      </c>
      <c r="G3884" t="s">
        <v>8225</v>
      </c>
      <c r="H3884" t="s">
        <v>8247</v>
      </c>
      <c r="I3884" s="8">
        <v>1454281380</v>
      </c>
      <c r="J3884">
        <v>1451950570</v>
      </c>
      <c r="K3884" t="b">
        <v>0</v>
      </c>
      <c r="L3884" s="10">
        <v>0</v>
      </c>
      <c r="M3884" t="b">
        <v>0</v>
      </c>
      <c r="N3884" t="s">
        <v>8303</v>
      </c>
      <c r="O3884" s="11">
        <f t="shared" si="244"/>
        <v>0</v>
      </c>
      <c r="P3884" s="12" t="str">
        <f t="shared" si="245"/>
        <v>No Backers</v>
      </c>
      <c r="Q3884" s="14" t="s">
        <v>8314</v>
      </c>
      <c r="R3884" t="s">
        <v>8356</v>
      </c>
      <c r="S3884" s="17">
        <f t="shared" si="246"/>
        <v>42373.983449074076</v>
      </c>
      <c r="T3884" s="17">
        <f t="shared" si="247"/>
        <v>42400.960416666669</v>
      </c>
      <c r="U3884">
        <f>MONTH(Table1[[#This Row],[Launched]])</f>
        <v>1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8219</v>
      </c>
      <c r="G3885" t="s">
        <v>8224</v>
      </c>
      <c r="H3885" t="s">
        <v>8246</v>
      </c>
      <c r="I3885" s="8">
        <v>1409668069</v>
      </c>
      <c r="J3885">
        <v>1407076069</v>
      </c>
      <c r="K3885" t="b">
        <v>0</v>
      </c>
      <c r="L3885" s="10">
        <v>0</v>
      </c>
      <c r="M3885" t="b">
        <v>0</v>
      </c>
      <c r="N3885" t="s">
        <v>8303</v>
      </c>
      <c r="O3885" s="11">
        <f t="shared" si="244"/>
        <v>0</v>
      </c>
      <c r="P3885" s="12" t="str">
        <f t="shared" si="245"/>
        <v>No Backers</v>
      </c>
      <c r="Q3885" s="14" t="s">
        <v>8314</v>
      </c>
      <c r="R3885" t="s">
        <v>8356</v>
      </c>
      <c r="S3885" s="17">
        <f t="shared" si="246"/>
        <v>41854.602650462963</v>
      </c>
      <c r="T3885" s="17">
        <f t="shared" si="247"/>
        <v>41884.602650462963</v>
      </c>
      <c r="U3885">
        <f>MONTH(Table1[[#This Row],[Launched]])</f>
        <v>8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8219</v>
      </c>
      <c r="G3886" t="s">
        <v>8223</v>
      </c>
      <c r="H3886" t="s">
        <v>8245</v>
      </c>
      <c r="I3886" s="8">
        <v>1427479192</v>
      </c>
      <c r="J3886">
        <v>1425322792</v>
      </c>
      <c r="K3886" t="b">
        <v>0</v>
      </c>
      <c r="L3886" s="10">
        <v>0</v>
      </c>
      <c r="M3886" t="b">
        <v>0</v>
      </c>
      <c r="N3886" t="s">
        <v>8303</v>
      </c>
      <c r="O3886" s="11">
        <f t="shared" si="244"/>
        <v>0</v>
      </c>
      <c r="P3886" s="12" t="str">
        <f t="shared" si="245"/>
        <v>No Backers</v>
      </c>
      <c r="Q3886" s="14" t="s">
        <v>8314</v>
      </c>
      <c r="R3886" t="s">
        <v>8356</v>
      </c>
      <c r="S3886" s="17">
        <f t="shared" si="246"/>
        <v>42065.791574074072</v>
      </c>
      <c r="T3886" s="17">
        <f t="shared" si="247"/>
        <v>42090.749907407408</v>
      </c>
      <c r="U3886">
        <f>MONTH(Table1[[#This Row],[Launched]])</f>
        <v>3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8219</v>
      </c>
      <c r="G3887" t="s">
        <v>8223</v>
      </c>
      <c r="H3887" t="s">
        <v>8245</v>
      </c>
      <c r="I3887" s="8">
        <v>1462834191</v>
      </c>
      <c r="J3887">
        <v>1460242191</v>
      </c>
      <c r="K3887" t="b">
        <v>0</v>
      </c>
      <c r="L3887" s="10">
        <v>0</v>
      </c>
      <c r="M3887" t="b">
        <v>0</v>
      </c>
      <c r="N3887" t="s">
        <v>8303</v>
      </c>
      <c r="O3887" s="11">
        <f t="shared" si="244"/>
        <v>0</v>
      </c>
      <c r="P3887" s="12" t="str">
        <f t="shared" si="245"/>
        <v>No Backers</v>
      </c>
      <c r="Q3887" s="14" t="s">
        <v>8314</v>
      </c>
      <c r="R3887" t="s">
        <v>8356</v>
      </c>
      <c r="S3887" s="17">
        <f t="shared" si="246"/>
        <v>42469.951284722221</v>
      </c>
      <c r="T3887" s="17">
        <f t="shared" si="247"/>
        <v>42499.951284722221</v>
      </c>
      <c r="U3887">
        <f>MONTH(Table1[[#This Row],[Launched]])</f>
        <v>4</v>
      </c>
    </row>
    <row r="3888" spans="1:21" ht="15.6" x14ac:dyDescent="0.3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8219</v>
      </c>
      <c r="G3888" t="s">
        <v>8225</v>
      </c>
      <c r="H3888" t="s">
        <v>8247</v>
      </c>
      <c r="I3888" s="8">
        <v>1418275702</v>
      </c>
      <c r="J3888">
        <v>1415683702</v>
      </c>
      <c r="K3888" t="b">
        <v>0</v>
      </c>
      <c r="L3888" s="10">
        <v>0</v>
      </c>
      <c r="M3888" t="b">
        <v>0</v>
      </c>
      <c r="N3888" t="s">
        <v>8303</v>
      </c>
      <c r="O3888" s="11">
        <f t="shared" si="244"/>
        <v>0</v>
      </c>
      <c r="P3888" s="12" t="str">
        <f t="shared" si="245"/>
        <v>No Backers</v>
      </c>
      <c r="Q3888" s="14" t="s">
        <v>8314</v>
      </c>
      <c r="R3888" t="s">
        <v>8356</v>
      </c>
      <c r="S3888" s="17">
        <f t="shared" si="246"/>
        <v>41954.228032407409</v>
      </c>
      <c r="T3888" s="17">
        <f t="shared" si="247"/>
        <v>41984.228032407409</v>
      </c>
      <c r="U3888">
        <f>MONTH(Table1[[#This Row],[Launched]])</f>
        <v>11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8219</v>
      </c>
      <c r="G3889" t="s">
        <v>8223</v>
      </c>
      <c r="H3889" t="s">
        <v>8245</v>
      </c>
      <c r="I3889" s="8">
        <v>1430517600</v>
      </c>
      <c r="J3889">
        <v>1426538129</v>
      </c>
      <c r="K3889" t="b">
        <v>0</v>
      </c>
      <c r="L3889" s="10">
        <v>2</v>
      </c>
      <c r="M3889" t="b">
        <v>0</v>
      </c>
      <c r="N3889" t="s">
        <v>8303</v>
      </c>
      <c r="O3889" s="11">
        <f t="shared" si="244"/>
        <v>2</v>
      </c>
      <c r="P3889" s="12">
        <f t="shared" si="245"/>
        <v>18</v>
      </c>
      <c r="Q3889" s="14" t="s">
        <v>8314</v>
      </c>
      <c r="R3889" t="s">
        <v>8356</v>
      </c>
      <c r="S3889" s="17">
        <f t="shared" si="246"/>
        <v>42079.857974537037</v>
      </c>
      <c r="T3889" s="17">
        <f t="shared" si="247"/>
        <v>42125.916666666672</v>
      </c>
      <c r="U3889">
        <f>MONTH(Table1[[#This Row],[Launched]])</f>
        <v>3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8220</v>
      </c>
      <c r="G3890" t="s">
        <v>8224</v>
      </c>
      <c r="H3890" t="s">
        <v>8246</v>
      </c>
      <c r="I3890" s="8">
        <v>1488114358</v>
      </c>
      <c r="J3890">
        <v>1485522358</v>
      </c>
      <c r="K3890" t="b">
        <v>0</v>
      </c>
      <c r="L3890" s="10">
        <v>14</v>
      </c>
      <c r="M3890" t="b">
        <v>0</v>
      </c>
      <c r="N3890" t="s">
        <v>8269</v>
      </c>
      <c r="O3890" s="11">
        <f t="shared" si="244"/>
        <v>27</v>
      </c>
      <c r="P3890" s="12">
        <f t="shared" si="245"/>
        <v>39</v>
      </c>
      <c r="Q3890" s="14" t="s">
        <v>8314</v>
      </c>
      <c r="R3890" t="s">
        <v>8315</v>
      </c>
      <c r="S3890" s="17">
        <f t="shared" si="246"/>
        <v>42762.545810185184</v>
      </c>
      <c r="T3890" s="17">
        <f t="shared" si="247"/>
        <v>42792.545810185184</v>
      </c>
      <c r="U3890">
        <f>MONTH(Table1[[#This Row],[Launched]])</f>
        <v>1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8220</v>
      </c>
      <c r="G3891" t="s">
        <v>8223</v>
      </c>
      <c r="H3891" t="s">
        <v>8245</v>
      </c>
      <c r="I3891" s="8">
        <v>1420413960</v>
      </c>
      <c r="J3891">
        <v>1417651630</v>
      </c>
      <c r="K3891" t="b">
        <v>0</v>
      </c>
      <c r="L3891" s="10">
        <v>9</v>
      </c>
      <c r="M3891" t="b">
        <v>0</v>
      </c>
      <c r="N3891" t="s">
        <v>8269</v>
      </c>
      <c r="O3891" s="11">
        <f t="shared" si="244"/>
        <v>1</v>
      </c>
      <c r="P3891" s="12">
        <f t="shared" si="245"/>
        <v>13</v>
      </c>
      <c r="Q3891" s="14" t="s">
        <v>8314</v>
      </c>
      <c r="R3891" t="s">
        <v>8315</v>
      </c>
      <c r="S3891" s="17">
        <f t="shared" si="246"/>
        <v>41977.004976851851</v>
      </c>
      <c r="T3891" s="17">
        <f t="shared" si="247"/>
        <v>42008.976388888885</v>
      </c>
      <c r="U3891">
        <f>MONTH(Table1[[#This Row],[Launched]])</f>
        <v>12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 s="8">
        <v>1439662344</v>
      </c>
      <c r="J3892">
        <v>1434478344</v>
      </c>
      <c r="K3892" t="b">
        <v>0</v>
      </c>
      <c r="L3892" s="10">
        <v>8</v>
      </c>
      <c r="M3892" t="b">
        <v>0</v>
      </c>
      <c r="N3892" t="s">
        <v>8269</v>
      </c>
      <c r="O3892" s="11">
        <f t="shared" si="244"/>
        <v>17</v>
      </c>
      <c r="P3892" s="12">
        <f t="shared" si="245"/>
        <v>316</v>
      </c>
      <c r="Q3892" s="14" t="s">
        <v>8314</v>
      </c>
      <c r="R3892" t="s">
        <v>8315</v>
      </c>
      <c r="S3892" s="17">
        <f t="shared" si="246"/>
        <v>42171.758611111116</v>
      </c>
      <c r="T3892" s="17">
        <f t="shared" si="247"/>
        <v>42231.758611111116</v>
      </c>
      <c r="U3892">
        <f>MONTH(Table1[[#This Row],[Launched]])</f>
        <v>6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8220</v>
      </c>
      <c r="G3893" t="s">
        <v>8223</v>
      </c>
      <c r="H3893" t="s">
        <v>8245</v>
      </c>
      <c r="I3893" s="8">
        <v>1427086740</v>
      </c>
      <c r="J3893">
        <v>1424488244</v>
      </c>
      <c r="K3893" t="b">
        <v>0</v>
      </c>
      <c r="L3893" s="10">
        <v>7</v>
      </c>
      <c r="M3893" t="b">
        <v>0</v>
      </c>
      <c r="N3893" t="s">
        <v>8269</v>
      </c>
      <c r="O3893" s="11">
        <f t="shared" si="244"/>
        <v>33</v>
      </c>
      <c r="P3893" s="12">
        <f t="shared" si="245"/>
        <v>37</v>
      </c>
      <c r="Q3893" s="14" t="s">
        <v>8314</v>
      </c>
      <c r="R3893" t="s">
        <v>8315</v>
      </c>
      <c r="S3893" s="17">
        <f t="shared" si="246"/>
        <v>42056.1324537037</v>
      </c>
      <c r="T3893" s="17">
        <f t="shared" si="247"/>
        <v>42086.207638888889</v>
      </c>
      <c r="U3893">
        <f>MONTH(Table1[[#This Row],[Launched]])</f>
        <v>2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8220</v>
      </c>
      <c r="G3894" t="s">
        <v>8223</v>
      </c>
      <c r="H3894" t="s">
        <v>8245</v>
      </c>
      <c r="I3894" s="8">
        <v>1408863600</v>
      </c>
      <c r="J3894">
        <v>1408203557</v>
      </c>
      <c r="K3894" t="b">
        <v>0</v>
      </c>
      <c r="L3894" s="10">
        <v>0</v>
      </c>
      <c r="M3894" t="b">
        <v>0</v>
      </c>
      <c r="N3894" t="s">
        <v>8269</v>
      </c>
      <c r="O3894" s="11">
        <f t="shared" si="244"/>
        <v>0</v>
      </c>
      <c r="P3894" s="12" t="str">
        <f t="shared" si="245"/>
        <v>No Backers</v>
      </c>
      <c r="Q3894" s="14" t="s">
        <v>8314</v>
      </c>
      <c r="R3894" t="s">
        <v>8315</v>
      </c>
      <c r="S3894" s="17">
        <f t="shared" si="246"/>
        <v>41867.652280092596</v>
      </c>
      <c r="T3894" s="17">
        <f t="shared" si="247"/>
        <v>41875.291666666664</v>
      </c>
      <c r="U3894">
        <f>MONTH(Table1[[#This Row],[Launched]])</f>
        <v>8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 s="8">
        <v>1404194400</v>
      </c>
      <c r="J3895">
        <v>1400600840</v>
      </c>
      <c r="K3895" t="b">
        <v>0</v>
      </c>
      <c r="L3895" s="10">
        <v>84</v>
      </c>
      <c r="M3895" t="b">
        <v>0</v>
      </c>
      <c r="N3895" t="s">
        <v>8269</v>
      </c>
      <c r="O3895" s="11">
        <f t="shared" si="244"/>
        <v>22</v>
      </c>
      <c r="P3895" s="12">
        <f t="shared" si="245"/>
        <v>128</v>
      </c>
      <c r="Q3895" s="14" t="s">
        <v>8314</v>
      </c>
      <c r="R3895" t="s">
        <v>8315</v>
      </c>
      <c r="S3895" s="17">
        <f t="shared" si="246"/>
        <v>41779.657870370371</v>
      </c>
      <c r="T3895" s="17">
        <f t="shared" si="247"/>
        <v>41821.25</v>
      </c>
      <c r="U3895">
        <f>MONTH(Table1[[#This Row],[Launched]])</f>
        <v>5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 s="8">
        <v>1481000340</v>
      </c>
      <c r="J3896">
        <v>1478386812</v>
      </c>
      <c r="K3896" t="b">
        <v>0</v>
      </c>
      <c r="L3896" s="10">
        <v>11</v>
      </c>
      <c r="M3896" t="b">
        <v>0</v>
      </c>
      <c r="N3896" t="s">
        <v>8269</v>
      </c>
      <c r="O3896" s="11">
        <f t="shared" si="244"/>
        <v>3</v>
      </c>
      <c r="P3896" s="12">
        <f t="shared" si="245"/>
        <v>47</v>
      </c>
      <c r="Q3896" s="14" t="s">
        <v>8314</v>
      </c>
      <c r="R3896" t="s">
        <v>8315</v>
      </c>
      <c r="S3896" s="17">
        <f t="shared" si="246"/>
        <v>42679.958472222221</v>
      </c>
      <c r="T3896" s="17">
        <f t="shared" si="247"/>
        <v>42710.207638888889</v>
      </c>
      <c r="U3896">
        <f>MONTH(Table1[[#This Row],[Launched]])</f>
        <v>11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8220</v>
      </c>
      <c r="G3897" t="s">
        <v>8223</v>
      </c>
      <c r="H3897" t="s">
        <v>8245</v>
      </c>
      <c r="I3897" s="8">
        <v>1425103218</v>
      </c>
      <c r="J3897">
        <v>1422424818</v>
      </c>
      <c r="K3897" t="b">
        <v>0</v>
      </c>
      <c r="L3897" s="10">
        <v>1</v>
      </c>
      <c r="M3897" t="b">
        <v>0</v>
      </c>
      <c r="N3897" t="s">
        <v>8269</v>
      </c>
      <c r="O3897" s="11">
        <f t="shared" si="244"/>
        <v>5</v>
      </c>
      <c r="P3897" s="12">
        <f t="shared" si="245"/>
        <v>50</v>
      </c>
      <c r="Q3897" s="14" t="s">
        <v>8314</v>
      </c>
      <c r="R3897" t="s">
        <v>8315</v>
      </c>
      <c r="S3897" s="17">
        <f t="shared" si="246"/>
        <v>42032.250208333338</v>
      </c>
      <c r="T3897" s="17">
        <f t="shared" si="247"/>
        <v>42063.250208333338</v>
      </c>
      <c r="U3897">
        <f>MONTH(Table1[[#This Row],[Launched]])</f>
        <v>1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8220</v>
      </c>
      <c r="G3898" t="s">
        <v>8223</v>
      </c>
      <c r="H3898" t="s">
        <v>8245</v>
      </c>
      <c r="I3898" s="8">
        <v>1402979778</v>
      </c>
      <c r="J3898">
        <v>1401770178</v>
      </c>
      <c r="K3898" t="b">
        <v>0</v>
      </c>
      <c r="L3898" s="10">
        <v>4</v>
      </c>
      <c r="M3898" t="b">
        <v>0</v>
      </c>
      <c r="N3898" t="s">
        <v>8269</v>
      </c>
      <c r="O3898" s="11">
        <f t="shared" si="244"/>
        <v>11</v>
      </c>
      <c r="P3898" s="12">
        <f t="shared" si="245"/>
        <v>43</v>
      </c>
      <c r="Q3898" s="14" t="s">
        <v>8314</v>
      </c>
      <c r="R3898" t="s">
        <v>8315</v>
      </c>
      <c r="S3898" s="17">
        <f t="shared" si="246"/>
        <v>41793.191875000004</v>
      </c>
      <c r="T3898" s="17">
        <f t="shared" si="247"/>
        <v>41807.191875000004</v>
      </c>
      <c r="U3898">
        <f>MONTH(Table1[[#This Row],[Launched]])</f>
        <v>6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8220</v>
      </c>
      <c r="G3899" t="s">
        <v>8227</v>
      </c>
      <c r="H3899" t="s">
        <v>8249</v>
      </c>
      <c r="I3899" s="8">
        <v>1420750683</v>
      </c>
      <c r="J3899">
        <v>1418158683</v>
      </c>
      <c r="K3899" t="b">
        <v>0</v>
      </c>
      <c r="L3899" s="10">
        <v>10</v>
      </c>
      <c r="M3899" t="b">
        <v>0</v>
      </c>
      <c r="N3899" t="s">
        <v>8269</v>
      </c>
      <c r="O3899" s="11">
        <f t="shared" si="244"/>
        <v>18</v>
      </c>
      <c r="P3899" s="12">
        <f t="shared" si="245"/>
        <v>44</v>
      </c>
      <c r="Q3899" s="14" t="s">
        <v>8314</v>
      </c>
      <c r="R3899" t="s">
        <v>8315</v>
      </c>
      <c r="S3899" s="17">
        <f t="shared" si="246"/>
        <v>41982.87364583333</v>
      </c>
      <c r="T3899" s="17">
        <f t="shared" si="247"/>
        <v>42012.87364583333</v>
      </c>
      <c r="U3899">
        <f>MONTH(Table1[[#This Row],[Launched]])</f>
        <v>12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8220</v>
      </c>
      <c r="G3900" t="s">
        <v>8224</v>
      </c>
      <c r="H3900" t="s">
        <v>8246</v>
      </c>
      <c r="I3900" s="8">
        <v>1439827200</v>
      </c>
      <c r="J3900">
        <v>1436355270</v>
      </c>
      <c r="K3900" t="b">
        <v>0</v>
      </c>
      <c r="L3900" s="10">
        <v>16</v>
      </c>
      <c r="M3900" t="b">
        <v>0</v>
      </c>
      <c r="N3900" t="s">
        <v>8269</v>
      </c>
      <c r="O3900" s="11">
        <f t="shared" si="244"/>
        <v>33</v>
      </c>
      <c r="P3900" s="12">
        <f t="shared" si="245"/>
        <v>51</v>
      </c>
      <c r="Q3900" s="14" t="s">
        <v>8314</v>
      </c>
      <c r="R3900" t="s">
        <v>8315</v>
      </c>
      <c r="S3900" s="17">
        <f t="shared" si="246"/>
        <v>42193.482291666667</v>
      </c>
      <c r="T3900" s="17">
        <f t="shared" si="247"/>
        <v>42233.666666666672</v>
      </c>
      <c r="U3900">
        <f>MONTH(Table1[[#This Row],[Launched]])</f>
        <v>7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 s="8">
        <v>1407868561</v>
      </c>
      <c r="J3901">
        <v>1406140561</v>
      </c>
      <c r="K3901" t="b">
        <v>0</v>
      </c>
      <c r="L3901" s="10">
        <v>2</v>
      </c>
      <c r="M3901" t="b">
        <v>0</v>
      </c>
      <c r="N3901" t="s">
        <v>8269</v>
      </c>
      <c r="O3901" s="11">
        <f t="shared" si="244"/>
        <v>1</v>
      </c>
      <c r="P3901" s="12">
        <f t="shared" si="245"/>
        <v>63</v>
      </c>
      <c r="Q3901" s="14" t="s">
        <v>8314</v>
      </c>
      <c r="R3901" t="s">
        <v>8315</v>
      </c>
      <c r="S3901" s="17">
        <f t="shared" si="246"/>
        <v>41843.775011574071</v>
      </c>
      <c r="T3901" s="17">
        <f t="shared" si="247"/>
        <v>41863.775011574071</v>
      </c>
      <c r="U3901">
        <f>MONTH(Table1[[#This Row],[Launched]])</f>
        <v>7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8220</v>
      </c>
      <c r="G3902" t="s">
        <v>8223</v>
      </c>
      <c r="H3902" t="s">
        <v>8245</v>
      </c>
      <c r="I3902" s="8">
        <v>1433988791</v>
      </c>
      <c r="J3902">
        <v>1431396791</v>
      </c>
      <c r="K3902" t="b">
        <v>0</v>
      </c>
      <c r="L3902" s="10">
        <v>5</v>
      </c>
      <c r="M3902" t="b">
        <v>0</v>
      </c>
      <c r="N3902" t="s">
        <v>8269</v>
      </c>
      <c r="O3902" s="11">
        <f t="shared" si="244"/>
        <v>5</v>
      </c>
      <c r="P3902" s="12">
        <f t="shared" si="245"/>
        <v>27</v>
      </c>
      <c r="Q3902" s="14" t="s">
        <v>8314</v>
      </c>
      <c r="R3902" t="s">
        <v>8315</v>
      </c>
      <c r="S3902" s="17">
        <f t="shared" si="246"/>
        <v>42136.092488425929</v>
      </c>
      <c r="T3902" s="17">
        <f t="shared" si="247"/>
        <v>42166.092488425929</v>
      </c>
      <c r="U3902">
        <f>MONTH(Table1[[#This Row],[Launched]])</f>
        <v>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8220</v>
      </c>
      <c r="G3903" t="s">
        <v>8223</v>
      </c>
      <c r="H3903" t="s">
        <v>8245</v>
      </c>
      <c r="I3903" s="8">
        <v>1450554599</v>
      </c>
      <c r="J3903">
        <v>1447098599</v>
      </c>
      <c r="K3903" t="b">
        <v>0</v>
      </c>
      <c r="L3903" s="10">
        <v>1</v>
      </c>
      <c r="M3903" t="b">
        <v>0</v>
      </c>
      <c r="N3903" t="s">
        <v>8269</v>
      </c>
      <c r="O3903" s="11">
        <f t="shared" si="244"/>
        <v>1</v>
      </c>
      <c r="P3903" s="12">
        <f t="shared" si="245"/>
        <v>25</v>
      </c>
      <c r="Q3903" s="14" t="s">
        <v>8314</v>
      </c>
      <c r="R3903" t="s">
        <v>8315</v>
      </c>
      <c r="S3903" s="17">
        <f t="shared" si="246"/>
        <v>42317.826377314821</v>
      </c>
      <c r="T3903" s="17">
        <f t="shared" si="247"/>
        <v>42357.826377314821</v>
      </c>
      <c r="U3903">
        <f>MONTH(Table1[[#This Row],[Launched]])</f>
        <v>11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 s="8">
        <v>1479125642</v>
      </c>
      <c r="J3904">
        <v>1476962042</v>
      </c>
      <c r="K3904" t="b">
        <v>0</v>
      </c>
      <c r="L3904" s="10">
        <v>31</v>
      </c>
      <c r="M3904" t="b">
        <v>0</v>
      </c>
      <c r="N3904" t="s">
        <v>8269</v>
      </c>
      <c r="O3904" s="11">
        <f t="shared" si="244"/>
        <v>49</v>
      </c>
      <c r="P3904" s="12">
        <f t="shared" si="245"/>
        <v>47</v>
      </c>
      <c r="Q3904" s="14" t="s">
        <v>8314</v>
      </c>
      <c r="R3904" t="s">
        <v>8315</v>
      </c>
      <c r="S3904" s="17">
        <f t="shared" si="246"/>
        <v>42663.468078703707</v>
      </c>
      <c r="T3904" s="17">
        <f t="shared" si="247"/>
        <v>42688.509745370371</v>
      </c>
      <c r="U3904">
        <f>MONTH(Table1[[#This Row],[Launched]])</f>
        <v>10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8220</v>
      </c>
      <c r="G3905" t="s">
        <v>8223</v>
      </c>
      <c r="H3905" t="s">
        <v>8245</v>
      </c>
      <c r="I3905" s="8">
        <v>1439581080</v>
      </c>
      <c r="J3905">
        <v>1435709765</v>
      </c>
      <c r="K3905" t="b">
        <v>0</v>
      </c>
      <c r="L3905" s="10">
        <v>0</v>
      </c>
      <c r="M3905" t="b">
        <v>0</v>
      </c>
      <c r="N3905" t="s">
        <v>8269</v>
      </c>
      <c r="O3905" s="11">
        <f t="shared" si="244"/>
        <v>0</v>
      </c>
      <c r="P3905" s="12" t="str">
        <f t="shared" si="245"/>
        <v>No Backers</v>
      </c>
      <c r="Q3905" s="14" t="s">
        <v>8314</v>
      </c>
      <c r="R3905" t="s">
        <v>8315</v>
      </c>
      <c r="S3905" s="17">
        <f t="shared" si="246"/>
        <v>42186.01116898148</v>
      </c>
      <c r="T3905" s="17">
        <f t="shared" si="247"/>
        <v>42230.818055555559</v>
      </c>
      <c r="U3905">
        <f>MONTH(Table1[[#This Row],[Launched]])</f>
        <v>7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8220</v>
      </c>
      <c r="G3906" t="s">
        <v>8223</v>
      </c>
      <c r="H3906" t="s">
        <v>8245</v>
      </c>
      <c r="I3906" s="8">
        <v>1429074240</v>
      </c>
      <c r="J3906">
        <v>1427866200</v>
      </c>
      <c r="K3906" t="b">
        <v>0</v>
      </c>
      <c r="L3906" s="10">
        <v>2</v>
      </c>
      <c r="M3906" t="b">
        <v>0</v>
      </c>
      <c r="N3906" t="s">
        <v>8269</v>
      </c>
      <c r="O3906" s="11">
        <f t="shared" ref="O3906:O3969" si="248">ROUND(E3906/D3906*100,0)</f>
        <v>0</v>
      </c>
      <c r="P3906" s="12">
        <f t="shared" si="245"/>
        <v>2</v>
      </c>
      <c r="Q3906" s="14" t="s">
        <v>8314</v>
      </c>
      <c r="R3906" t="s">
        <v>8315</v>
      </c>
      <c r="S3906" s="17">
        <f t="shared" si="246"/>
        <v>42095.229166666672</v>
      </c>
      <c r="T3906" s="17">
        <f t="shared" si="247"/>
        <v>42109.211111111115</v>
      </c>
      <c r="U3906">
        <f>MONTH(Table1[[#This Row],[Launched]])</f>
        <v>4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8220</v>
      </c>
      <c r="G3907" t="s">
        <v>8224</v>
      </c>
      <c r="H3907" t="s">
        <v>8246</v>
      </c>
      <c r="I3907" s="8">
        <v>1434063600</v>
      </c>
      <c r="J3907">
        <v>1430405903</v>
      </c>
      <c r="K3907" t="b">
        <v>0</v>
      </c>
      <c r="L3907" s="10">
        <v>7</v>
      </c>
      <c r="M3907" t="b">
        <v>0</v>
      </c>
      <c r="N3907" t="s">
        <v>8269</v>
      </c>
      <c r="O3907" s="11">
        <f t="shared" si="248"/>
        <v>12</v>
      </c>
      <c r="P3907" s="12">
        <f t="shared" ref="P3907:P3970" si="249">IFERROR(ROUND(E3907/L3907,),"No Backers")</f>
        <v>25</v>
      </c>
      <c r="Q3907" s="14" t="s">
        <v>8314</v>
      </c>
      <c r="R3907" t="s">
        <v>8315</v>
      </c>
      <c r="S3907" s="17">
        <f t="shared" ref="S3907:S3970" si="250">(((J3907/60)/60)/24)+DATE(1970,1,1)</f>
        <v>42124.623877314814</v>
      </c>
      <c r="T3907" s="17">
        <f t="shared" ref="T3907:T3970" si="251">(((I3907/60)/60)/24)+DATE(1970,1,1)</f>
        <v>42166.958333333328</v>
      </c>
      <c r="U3907">
        <f>MONTH(Table1[[#This Row],[Launched]])</f>
        <v>4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 s="8">
        <v>1435325100</v>
      </c>
      <c r="J3908">
        <v>1432072893</v>
      </c>
      <c r="K3908" t="b">
        <v>0</v>
      </c>
      <c r="L3908" s="10">
        <v>16</v>
      </c>
      <c r="M3908" t="b">
        <v>0</v>
      </c>
      <c r="N3908" t="s">
        <v>8269</v>
      </c>
      <c r="O3908" s="11">
        <f t="shared" si="248"/>
        <v>67</v>
      </c>
      <c r="P3908" s="12">
        <f t="shared" si="249"/>
        <v>63</v>
      </c>
      <c r="Q3908" s="14" t="s">
        <v>8314</v>
      </c>
      <c r="R3908" t="s">
        <v>8315</v>
      </c>
      <c r="S3908" s="17">
        <f t="shared" si="250"/>
        <v>42143.917743055557</v>
      </c>
      <c r="T3908" s="17">
        <f t="shared" si="251"/>
        <v>42181.559027777781</v>
      </c>
      <c r="U3908">
        <f>MONTH(Table1[[#This Row],[Launched]])</f>
        <v>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8220</v>
      </c>
      <c r="G3909" t="s">
        <v>8223</v>
      </c>
      <c r="H3909" t="s">
        <v>8245</v>
      </c>
      <c r="I3909" s="8">
        <v>1414354080</v>
      </c>
      <c r="J3909">
        <v>1411587606</v>
      </c>
      <c r="K3909" t="b">
        <v>0</v>
      </c>
      <c r="L3909" s="10">
        <v>4</v>
      </c>
      <c r="M3909" t="b">
        <v>0</v>
      </c>
      <c r="N3909" t="s">
        <v>8269</v>
      </c>
      <c r="O3909" s="11">
        <f t="shared" si="248"/>
        <v>15</v>
      </c>
      <c r="P3909" s="12">
        <f t="shared" si="249"/>
        <v>38</v>
      </c>
      <c r="Q3909" s="14" t="s">
        <v>8314</v>
      </c>
      <c r="R3909" t="s">
        <v>8315</v>
      </c>
      <c r="S3909" s="17">
        <f t="shared" si="250"/>
        <v>41906.819513888891</v>
      </c>
      <c r="T3909" s="17">
        <f t="shared" si="251"/>
        <v>41938.838888888888</v>
      </c>
      <c r="U3909">
        <f>MONTH(Table1[[#This Row],[Launched]])</f>
        <v>9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8220</v>
      </c>
      <c r="G3910" t="s">
        <v>8223</v>
      </c>
      <c r="H3910" t="s">
        <v>8245</v>
      </c>
      <c r="I3910" s="8">
        <v>1406603696</v>
      </c>
      <c r="J3910">
        <v>1405307696</v>
      </c>
      <c r="K3910" t="b">
        <v>0</v>
      </c>
      <c r="L3910" s="10">
        <v>4</v>
      </c>
      <c r="M3910" t="b">
        <v>0</v>
      </c>
      <c r="N3910" t="s">
        <v>8269</v>
      </c>
      <c r="O3910" s="11">
        <f t="shared" si="248"/>
        <v>9</v>
      </c>
      <c r="P3910" s="12">
        <f t="shared" si="249"/>
        <v>16</v>
      </c>
      <c r="Q3910" s="14" t="s">
        <v>8314</v>
      </c>
      <c r="R3910" t="s">
        <v>8315</v>
      </c>
      <c r="S3910" s="17">
        <f t="shared" si="250"/>
        <v>41834.135370370372</v>
      </c>
      <c r="T3910" s="17">
        <f t="shared" si="251"/>
        <v>41849.135370370372</v>
      </c>
      <c r="U3910">
        <f>MONTH(Table1[[#This Row],[Launched]])</f>
        <v>7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 s="8">
        <v>1410424642</v>
      </c>
      <c r="J3911">
        <v>1407832642</v>
      </c>
      <c r="K3911" t="b">
        <v>0</v>
      </c>
      <c r="L3911" s="10">
        <v>4</v>
      </c>
      <c r="M3911" t="b">
        <v>0</v>
      </c>
      <c r="N3911" t="s">
        <v>8269</v>
      </c>
      <c r="O3911" s="11">
        <f t="shared" si="248"/>
        <v>0</v>
      </c>
      <c r="P3911" s="12">
        <f t="shared" si="249"/>
        <v>34</v>
      </c>
      <c r="Q3911" s="14" t="s">
        <v>8314</v>
      </c>
      <c r="R3911" t="s">
        <v>8315</v>
      </c>
      <c r="S3911" s="17">
        <f t="shared" si="250"/>
        <v>41863.359282407408</v>
      </c>
      <c r="T3911" s="17">
        <f t="shared" si="251"/>
        <v>41893.359282407408</v>
      </c>
      <c r="U3911">
        <f>MONTH(Table1[[#This Row],[Launched]])</f>
        <v>8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8220</v>
      </c>
      <c r="G3912" t="s">
        <v>8223</v>
      </c>
      <c r="H3912" t="s">
        <v>8245</v>
      </c>
      <c r="I3912" s="8">
        <v>1441649397</v>
      </c>
      <c r="J3912">
        <v>1439057397</v>
      </c>
      <c r="K3912" t="b">
        <v>0</v>
      </c>
      <c r="L3912" s="10">
        <v>3</v>
      </c>
      <c r="M3912" t="b">
        <v>0</v>
      </c>
      <c r="N3912" t="s">
        <v>8269</v>
      </c>
      <c r="O3912" s="11">
        <f t="shared" si="248"/>
        <v>3</v>
      </c>
      <c r="P3912" s="12">
        <f t="shared" si="249"/>
        <v>62</v>
      </c>
      <c r="Q3912" s="14" t="s">
        <v>8314</v>
      </c>
      <c r="R3912" t="s">
        <v>8315</v>
      </c>
      <c r="S3912" s="17">
        <f t="shared" si="250"/>
        <v>42224.756909722222</v>
      </c>
      <c r="T3912" s="17">
        <f t="shared" si="251"/>
        <v>42254.756909722222</v>
      </c>
      <c r="U3912">
        <f>MONTH(Table1[[#This Row],[Launched]])</f>
        <v>8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 s="8">
        <v>1417033777</v>
      </c>
      <c r="J3913">
        <v>1414438177</v>
      </c>
      <c r="K3913" t="b">
        <v>0</v>
      </c>
      <c r="L3913" s="10">
        <v>36</v>
      </c>
      <c r="M3913" t="b">
        <v>0</v>
      </c>
      <c r="N3913" t="s">
        <v>8269</v>
      </c>
      <c r="O3913" s="11">
        <f t="shared" si="248"/>
        <v>37</v>
      </c>
      <c r="P3913" s="12">
        <f t="shared" si="249"/>
        <v>83</v>
      </c>
      <c r="Q3913" s="14" t="s">
        <v>8314</v>
      </c>
      <c r="R3913" t="s">
        <v>8315</v>
      </c>
      <c r="S3913" s="17">
        <f t="shared" si="250"/>
        <v>41939.8122337963</v>
      </c>
      <c r="T3913" s="17">
        <f t="shared" si="251"/>
        <v>41969.853900462964</v>
      </c>
      <c r="U3913">
        <f>MONTH(Table1[[#This Row],[Launched]])</f>
        <v>10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8220</v>
      </c>
      <c r="G3914" t="s">
        <v>8223</v>
      </c>
      <c r="H3914" t="s">
        <v>8245</v>
      </c>
      <c r="I3914" s="8">
        <v>1429936500</v>
      </c>
      <c r="J3914">
        <v>1424759330</v>
      </c>
      <c r="K3914" t="b">
        <v>0</v>
      </c>
      <c r="L3914" s="10">
        <v>1</v>
      </c>
      <c r="M3914" t="b">
        <v>0</v>
      </c>
      <c r="N3914" t="s">
        <v>8269</v>
      </c>
      <c r="O3914" s="11">
        <f t="shared" si="248"/>
        <v>0</v>
      </c>
      <c r="P3914" s="12">
        <f t="shared" si="249"/>
        <v>1</v>
      </c>
      <c r="Q3914" s="14" t="s">
        <v>8314</v>
      </c>
      <c r="R3914" t="s">
        <v>8315</v>
      </c>
      <c r="S3914" s="17">
        <f t="shared" si="250"/>
        <v>42059.270023148143</v>
      </c>
      <c r="T3914" s="17">
        <f t="shared" si="251"/>
        <v>42119.190972222219</v>
      </c>
      <c r="U3914">
        <f>MONTH(Table1[[#This Row],[Launched]])</f>
        <v>2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 s="8">
        <v>1448863449</v>
      </c>
      <c r="J3915">
        <v>1446267849</v>
      </c>
      <c r="K3915" t="b">
        <v>0</v>
      </c>
      <c r="L3915" s="10">
        <v>7</v>
      </c>
      <c r="M3915" t="b">
        <v>0</v>
      </c>
      <c r="N3915" t="s">
        <v>8269</v>
      </c>
      <c r="O3915" s="11">
        <f t="shared" si="248"/>
        <v>10</v>
      </c>
      <c r="P3915" s="12">
        <f t="shared" si="249"/>
        <v>143</v>
      </c>
      <c r="Q3915" s="14" t="s">
        <v>8314</v>
      </c>
      <c r="R3915" t="s">
        <v>8315</v>
      </c>
      <c r="S3915" s="17">
        <f t="shared" si="250"/>
        <v>42308.211215277777</v>
      </c>
      <c r="T3915" s="17">
        <f t="shared" si="251"/>
        <v>42338.252881944441</v>
      </c>
      <c r="U3915">
        <f>MONTH(Table1[[#This Row],[Launched]])</f>
        <v>10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8220</v>
      </c>
      <c r="G3916" t="s">
        <v>8224</v>
      </c>
      <c r="H3916" t="s">
        <v>8246</v>
      </c>
      <c r="I3916" s="8">
        <v>1431298740</v>
      </c>
      <c r="J3916">
        <v>1429558756</v>
      </c>
      <c r="K3916" t="b">
        <v>0</v>
      </c>
      <c r="L3916" s="10">
        <v>27</v>
      </c>
      <c r="M3916" t="b">
        <v>0</v>
      </c>
      <c r="N3916" t="s">
        <v>8269</v>
      </c>
      <c r="O3916" s="11">
        <f t="shared" si="248"/>
        <v>36</v>
      </c>
      <c r="P3916" s="12">
        <f t="shared" si="249"/>
        <v>34</v>
      </c>
      <c r="Q3916" s="14" t="s">
        <v>8314</v>
      </c>
      <c r="R3916" t="s">
        <v>8315</v>
      </c>
      <c r="S3916" s="17">
        <f t="shared" si="250"/>
        <v>42114.818935185183</v>
      </c>
      <c r="T3916" s="17">
        <f t="shared" si="251"/>
        <v>42134.957638888889</v>
      </c>
      <c r="U3916">
        <f>MONTH(Table1[[#This Row],[Launched]])</f>
        <v>4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8220</v>
      </c>
      <c r="G3917" t="s">
        <v>8224</v>
      </c>
      <c r="H3917" t="s">
        <v>8246</v>
      </c>
      <c r="I3917" s="8">
        <v>1464824309</v>
      </c>
      <c r="J3917">
        <v>1462232309</v>
      </c>
      <c r="K3917" t="b">
        <v>0</v>
      </c>
      <c r="L3917" s="10">
        <v>1</v>
      </c>
      <c r="M3917" t="b">
        <v>0</v>
      </c>
      <c r="N3917" t="s">
        <v>8269</v>
      </c>
      <c r="O3917" s="11">
        <f t="shared" si="248"/>
        <v>0</v>
      </c>
      <c r="P3917" s="12">
        <f t="shared" si="249"/>
        <v>5</v>
      </c>
      <c r="Q3917" s="14" t="s">
        <v>8314</v>
      </c>
      <c r="R3917" t="s">
        <v>8315</v>
      </c>
      <c r="S3917" s="17">
        <f t="shared" si="250"/>
        <v>42492.98505787037</v>
      </c>
      <c r="T3917" s="17">
        <f t="shared" si="251"/>
        <v>42522.98505787037</v>
      </c>
      <c r="U3917">
        <f>MONTH(Table1[[#This Row],[Launched]])</f>
        <v>5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8220</v>
      </c>
      <c r="G3918" t="s">
        <v>8231</v>
      </c>
      <c r="H3918" t="s">
        <v>8252</v>
      </c>
      <c r="I3918" s="8">
        <v>1464952752</v>
      </c>
      <c r="J3918">
        <v>1462360752</v>
      </c>
      <c r="K3918" t="b">
        <v>0</v>
      </c>
      <c r="L3918" s="10">
        <v>0</v>
      </c>
      <c r="M3918" t="b">
        <v>0</v>
      </c>
      <c r="N3918" t="s">
        <v>8269</v>
      </c>
      <c r="O3918" s="11">
        <f t="shared" si="248"/>
        <v>0</v>
      </c>
      <c r="P3918" s="12" t="str">
        <f t="shared" si="249"/>
        <v>No Backers</v>
      </c>
      <c r="Q3918" s="14" t="s">
        <v>8314</v>
      </c>
      <c r="R3918" t="s">
        <v>8315</v>
      </c>
      <c r="S3918" s="17">
        <f t="shared" si="250"/>
        <v>42494.471666666665</v>
      </c>
      <c r="T3918" s="17">
        <f t="shared" si="251"/>
        <v>42524.471666666665</v>
      </c>
      <c r="U3918">
        <f>MONTH(Table1[[#This Row],[Launched]])</f>
        <v>5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8220</v>
      </c>
      <c r="G3919" t="s">
        <v>8224</v>
      </c>
      <c r="H3919" t="s">
        <v>8246</v>
      </c>
      <c r="I3919" s="8">
        <v>1410439161</v>
      </c>
      <c r="J3919">
        <v>1407847161</v>
      </c>
      <c r="K3919" t="b">
        <v>0</v>
      </c>
      <c r="L3919" s="10">
        <v>1</v>
      </c>
      <c r="M3919" t="b">
        <v>0</v>
      </c>
      <c r="N3919" t="s">
        <v>8269</v>
      </c>
      <c r="O3919" s="11">
        <f t="shared" si="248"/>
        <v>0</v>
      </c>
      <c r="P3919" s="12">
        <f t="shared" si="249"/>
        <v>10</v>
      </c>
      <c r="Q3919" s="14" t="s">
        <v>8314</v>
      </c>
      <c r="R3919" t="s">
        <v>8315</v>
      </c>
      <c r="S3919" s="17">
        <f t="shared" si="250"/>
        <v>41863.527326388888</v>
      </c>
      <c r="T3919" s="17">
        <f t="shared" si="251"/>
        <v>41893.527326388888</v>
      </c>
      <c r="U3919">
        <f>MONTH(Table1[[#This Row],[Launched]])</f>
        <v>8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 s="8">
        <v>1407168000</v>
      </c>
      <c r="J3920">
        <v>1406131023</v>
      </c>
      <c r="K3920" t="b">
        <v>0</v>
      </c>
      <c r="L3920" s="10">
        <v>3</v>
      </c>
      <c r="M3920" t="b">
        <v>0</v>
      </c>
      <c r="N3920" t="s">
        <v>8269</v>
      </c>
      <c r="O3920" s="11">
        <f t="shared" si="248"/>
        <v>0</v>
      </c>
      <c r="P3920" s="12">
        <f t="shared" si="249"/>
        <v>40</v>
      </c>
      <c r="Q3920" s="14" t="s">
        <v>8314</v>
      </c>
      <c r="R3920" t="s">
        <v>8315</v>
      </c>
      <c r="S3920" s="17">
        <f t="shared" si="250"/>
        <v>41843.664618055554</v>
      </c>
      <c r="T3920" s="17">
        <f t="shared" si="251"/>
        <v>41855.666666666664</v>
      </c>
      <c r="U3920">
        <f>MONTH(Table1[[#This Row],[Launched]])</f>
        <v>7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8220</v>
      </c>
      <c r="G3921" t="s">
        <v>8224</v>
      </c>
      <c r="H3921" t="s">
        <v>8246</v>
      </c>
      <c r="I3921" s="8">
        <v>1453075200</v>
      </c>
      <c r="J3921">
        <v>1450628773</v>
      </c>
      <c r="K3921" t="b">
        <v>0</v>
      </c>
      <c r="L3921" s="10">
        <v>3</v>
      </c>
      <c r="M3921" t="b">
        <v>0</v>
      </c>
      <c r="N3921" t="s">
        <v>8269</v>
      </c>
      <c r="O3921" s="11">
        <f t="shared" si="248"/>
        <v>2</v>
      </c>
      <c r="P3921" s="12">
        <f t="shared" si="249"/>
        <v>30</v>
      </c>
      <c r="Q3921" s="14" t="s">
        <v>8314</v>
      </c>
      <c r="R3921" t="s">
        <v>8315</v>
      </c>
      <c r="S3921" s="17">
        <f t="shared" si="250"/>
        <v>42358.684872685189</v>
      </c>
      <c r="T3921" s="17">
        <f t="shared" si="251"/>
        <v>42387</v>
      </c>
      <c r="U3921">
        <f>MONTH(Table1[[#This Row],[Launched]])</f>
        <v>12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8220</v>
      </c>
      <c r="G3922" t="s">
        <v>8224</v>
      </c>
      <c r="H3922" t="s">
        <v>8246</v>
      </c>
      <c r="I3922" s="8">
        <v>1479032260</v>
      </c>
      <c r="J3922">
        <v>1476436660</v>
      </c>
      <c r="K3922" t="b">
        <v>0</v>
      </c>
      <c r="L3922" s="10">
        <v>3</v>
      </c>
      <c r="M3922" t="b">
        <v>0</v>
      </c>
      <c r="N3922" t="s">
        <v>8269</v>
      </c>
      <c r="O3922" s="11">
        <f t="shared" si="248"/>
        <v>5</v>
      </c>
      <c r="P3922" s="12">
        <f t="shared" si="249"/>
        <v>45</v>
      </c>
      <c r="Q3922" s="14" t="s">
        <v>8314</v>
      </c>
      <c r="R3922" t="s">
        <v>8315</v>
      </c>
      <c r="S3922" s="17">
        <f t="shared" si="250"/>
        <v>42657.38726851852</v>
      </c>
      <c r="T3922" s="17">
        <f t="shared" si="251"/>
        <v>42687.428935185191</v>
      </c>
      <c r="U3922">
        <f>MONTH(Table1[[#This Row],[Launched]])</f>
        <v>10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8220</v>
      </c>
      <c r="G3923" t="s">
        <v>8224</v>
      </c>
      <c r="H3923" t="s">
        <v>8246</v>
      </c>
      <c r="I3923" s="8">
        <v>1414346400</v>
      </c>
      <c r="J3923">
        <v>1413291655</v>
      </c>
      <c r="K3923" t="b">
        <v>0</v>
      </c>
      <c r="L3923" s="10">
        <v>0</v>
      </c>
      <c r="M3923" t="b">
        <v>0</v>
      </c>
      <c r="N3923" t="s">
        <v>8269</v>
      </c>
      <c r="O3923" s="11">
        <f t="shared" si="248"/>
        <v>0</v>
      </c>
      <c r="P3923" s="12" t="str">
        <f t="shared" si="249"/>
        <v>No Backers</v>
      </c>
      <c r="Q3923" s="14" t="s">
        <v>8314</v>
      </c>
      <c r="R3923" t="s">
        <v>8315</v>
      </c>
      <c r="S3923" s="17">
        <f t="shared" si="250"/>
        <v>41926.542303240742</v>
      </c>
      <c r="T3923" s="17">
        <f t="shared" si="251"/>
        <v>41938.75</v>
      </c>
      <c r="U3923">
        <f>MONTH(Table1[[#This Row],[Launched]])</f>
        <v>10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8220</v>
      </c>
      <c r="G3924" t="s">
        <v>8223</v>
      </c>
      <c r="H3924" t="s">
        <v>8245</v>
      </c>
      <c r="I3924" s="8">
        <v>1425337200</v>
      </c>
      <c r="J3924">
        <v>1421432810</v>
      </c>
      <c r="K3924" t="b">
        <v>0</v>
      </c>
      <c r="L3924" s="10">
        <v>6</v>
      </c>
      <c r="M3924" t="b">
        <v>0</v>
      </c>
      <c r="N3924" t="s">
        <v>8269</v>
      </c>
      <c r="O3924" s="11">
        <f t="shared" si="248"/>
        <v>8</v>
      </c>
      <c r="P3924" s="12">
        <f t="shared" si="249"/>
        <v>10</v>
      </c>
      <c r="Q3924" s="14" t="s">
        <v>8314</v>
      </c>
      <c r="R3924" t="s">
        <v>8315</v>
      </c>
      <c r="S3924" s="17">
        <f t="shared" si="250"/>
        <v>42020.768634259264</v>
      </c>
      <c r="T3924" s="17">
        <f t="shared" si="251"/>
        <v>42065.958333333328</v>
      </c>
      <c r="U3924">
        <f>MONTH(Table1[[#This Row],[Launched]])</f>
        <v>1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 s="8">
        <v>1428622271</v>
      </c>
      <c r="J3925">
        <v>1426203071</v>
      </c>
      <c r="K3925" t="b">
        <v>0</v>
      </c>
      <c r="L3925" s="10">
        <v>17</v>
      </c>
      <c r="M3925" t="b">
        <v>0</v>
      </c>
      <c r="N3925" t="s">
        <v>8269</v>
      </c>
      <c r="O3925" s="11">
        <f t="shared" si="248"/>
        <v>12</v>
      </c>
      <c r="P3925" s="12">
        <f t="shared" si="249"/>
        <v>81</v>
      </c>
      <c r="Q3925" s="14" t="s">
        <v>8314</v>
      </c>
      <c r="R3925" t="s">
        <v>8315</v>
      </c>
      <c r="S3925" s="17">
        <f t="shared" si="250"/>
        <v>42075.979988425926</v>
      </c>
      <c r="T3925" s="17">
        <f t="shared" si="251"/>
        <v>42103.979988425926</v>
      </c>
      <c r="U3925">
        <f>MONTH(Table1[[#This Row],[Launched]])</f>
        <v>3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 s="8">
        <v>1403823722</v>
      </c>
      <c r="J3926">
        <v>1401231722</v>
      </c>
      <c r="K3926" t="b">
        <v>0</v>
      </c>
      <c r="L3926" s="10">
        <v>40</v>
      </c>
      <c r="M3926" t="b">
        <v>0</v>
      </c>
      <c r="N3926" t="s">
        <v>8269</v>
      </c>
      <c r="O3926" s="11">
        <f t="shared" si="248"/>
        <v>15</v>
      </c>
      <c r="P3926" s="12">
        <f t="shared" si="249"/>
        <v>57</v>
      </c>
      <c r="Q3926" s="14" t="s">
        <v>8314</v>
      </c>
      <c r="R3926" t="s">
        <v>8315</v>
      </c>
      <c r="S3926" s="17">
        <f t="shared" si="250"/>
        <v>41786.959745370368</v>
      </c>
      <c r="T3926" s="17">
        <f t="shared" si="251"/>
        <v>41816.959745370368</v>
      </c>
      <c r="U3926">
        <f>MONTH(Table1[[#This Row],[Launched]])</f>
        <v>5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8220</v>
      </c>
      <c r="G3927" t="s">
        <v>8223</v>
      </c>
      <c r="H3927" t="s">
        <v>8245</v>
      </c>
      <c r="I3927" s="8">
        <v>1406753639</v>
      </c>
      <c r="J3927">
        <v>1404161639</v>
      </c>
      <c r="K3927" t="b">
        <v>0</v>
      </c>
      <c r="L3927" s="10">
        <v>3</v>
      </c>
      <c r="M3927" t="b">
        <v>0</v>
      </c>
      <c r="N3927" t="s">
        <v>8269</v>
      </c>
      <c r="O3927" s="11">
        <f t="shared" si="248"/>
        <v>10</v>
      </c>
      <c r="P3927" s="12">
        <f t="shared" si="249"/>
        <v>5</v>
      </c>
      <c r="Q3927" s="14" t="s">
        <v>8314</v>
      </c>
      <c r="R3927" t="s">
        <v>8315</v>
      </c>
      <c r="S3927" s="17">
        <f t="shared" si="250"/>
        <v>41820.870821759258</v>
      </c>
      <c r="T3927" s="17">
        <f t="shared" si="251"/>
        <v>41850.870821759258</v>
      </c>
      <c r="U3927">
        <f>MONTH(Table1[[#This Row],[Launched]])</f>
        <v>6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8220</v>
      </c>
      <c r="G3928" t="s">
        <v>8225</v>
      </c>
      <c r="H3928" t="s">
        <v>8247</v>
      </c>
      <c r="I3928" s="8">
        <v>1419645748</v>
      </c>
      <c r="J3928">
        <v>1417053748</v>
      </c>
      <c r="K3928" t="b">
        <v>0</v>
      </c>
      <c r="L3928" s="10">
        <v>1</v>
      </c>
      <c r="M3928" t="b">
        <v>0</v>
      </c>
      <c r="N3928" t="s">
        <v>8269</v>
      </c>
      <c r="O3928" s="11">
        <f t="shared" si="248"/>
        <v>0</v>
      </c>
      <c r="P3928" s="12">
        <f t="shared" si="249"/>
        <v>15</v>
      </c>
      <c r="Q3928" s="14" t="s">
        <v>8314</v>
      </c>
      <c r="R3928" t="s">
        <v>8315</v>
      </c>
      <c r="S3928" s="17">
        <f t="shared" si="250"/>
        <v>41970.085046296299</v>
      </c>
      <c r="T3928" s="17">
        <f t="shared" si="251"/>
        <v>42000.085046296299</v>
      </c>
      <c r="U3928">
        <f>MONTH(Table1[[#This Row],[Launched]])</f>
        <v>11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8220</v>
      </c>
      <c r="G3929" t="s">
        <v>8224</v>
      </c>
      <c r="H3929" t="s">
        <v>8246</v>
      </c>
      <c r="I3929" s="8">
        <v>1407565504</v>
      </c>
      <c r="J3929">
        <v>1404973504</v>
      </c>
      <c r="K3929" t="b">
        <v>0</v>
      </c>
      <c r="L3929" s="10">
        <v>2</v>
      </c>
      <c r="M3929" t="b">
        <v>0</v>
      </c>
      <c r="N3929" t="s">
        <v>8269</v>
      </c>
      <c r="O3929" s="11">
        <f t="shared" si="248"/>
        <v>1</v>
      </c>
      <c r="P3929" s="12">
        <f t="shared" si="249"/>
        <v>13</v>
      </c>
      <c r="Q3929" s="14" t="s">
        <v>8314</v>
      </c>
      <c r="R3929" t="s">
        <v>8315</v>
      </c>
      <c r="S3929" s="17">
        <f t="shared" si="250"/>
        <v>41830.267407407409</v>
      </c>
      <c r="T3929" s="17">
        <f t="shared" si="251"/>
        <v>41860.267407407409</v>
      </c>
      <c r="U3929">
        <f>MONTH(Table1[[#This Row],[Launched]])</f>
        <v>7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8220</v>
      </c>
      <c r="G3930" t="s">
        <v>8223</v>
      </c>
      <c r="H3930" t="s">
        <v>8245</v>
      </c>
      <c r="I3930" s="8">
        <v>1444971540</v>
      </c>
      <c r="J3930">
        <v>1442593427</v>
      </c>
      <c r="K3930" t="b">
        <v>0</v>
      </c>
      <c r="L3930" s="10">
        <v>7</v>
      </c>
      <c r="M3930" t="b">
        <v>0</v>
      </c>
      <c r="N3930" t="s">
        <v>8269</v>
      </c>
      <c r="O3930" s="11">
        <f t="shared" si="248"/>
        <v>13</v>
      </c>
      <c r="P3930" s="12">
        <f t="shared" si="249"/>
        <v>93</v>
      </c>
      <c r="Q3930" s="14" t="s">
        <v>8314</v>
      </c>
      <c r="R3930" t="s">
        <v>8315</v>
      </c>
      <c r="S3930" s="17">
        <f t="shared" si="250"/>
        <v>42265.683182870373</v>
      </c>
      <c r="T3930" s="17">
        <f t="shared" si="251"/>
        <v>42293.207638888889</v>
      </c>
      <c r="U3930">
        <f>MONTH(Table1[[#This Row],[Launched]])</f>
        <v>9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 s="8">
        <v>1474228265</v>
      </c>
      <c r="J3931">
        <v>1471636265</v>
      </c>
      <c r="K3931" t="b">
        <v>0</v>
      </c>
      <c r="L3931" s="10">
        <v>14</v>
      </c>
      <c r="M3931" t="b">
        <v>0</v>
      </c>
      <c r="N3931" t="s">
        <v>8269</v>
      </c>
      <c r="O3931" s="11">
        <f t="shared" si="248"/>
        <v>2</v>
      </c>
      <c r="P3931" s="12">
        <f t="shared" si="249"/>
        <v>32</v>
      </c>
      <c r="Q3931" s="14" t="s">
        <v>8314</v>
      </c>
      <c r="R3931" t="s">
        <v>8315</v>
      </c>
      <c r="S3931" s="17">
        <f t="shared" si="250"/>
        <v>42601.827141203699</v>
      </c>
      <c r="T3931" s="17">
        <f t="shared" si="251"/>
        <v>42631.827141203699</v>
      </c>
      <c r="U3931">
        <f>MONTH(Table1[[#This Row],[Launched]])</f>
        <v>8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8220</v>
      </c>
      <c r="G3932" t="s">
        <v>8225</v>
      </c>
      <c r="H3932" t="s">
        <v>8247</v>
      </c>
      <c r="I3932" s="8">
        <v>1459490400</v>
      </c>
      <c r="J3932">
        <v>1457078868</v>
      </c>
      <c r="K3932" t="b">
        <v>0</v>
      </c>
      <c r="L3932" s="10">
        <v>0</v>
      </c>
      <c r="M3932" t="b">
        <v>0</v>
      </c>
      <c r="N3932" t="s">
        <v>8269</v>
      </c>
      <c r="O3932" s="11">
        <f t="shared" si="248"/>
        <v>0</v>
      </c>
      <c r="P3932" s="12" t="str">
        <f t="shared" si="249"/>
        <v>No Backers</v>
      </c>
      <c r="Q3932" s="14" t="s">
        <v>8314</v>
      </c>
      <c r="R3932" t="s">
        <v>8315</v>
      </c>
      <c r="S3932" s="17">
        <f t="shared" si="250"/>
        <v>42433.338749999995</v>
      </c>
      <c r="T3932" s="17">
        <f t="shared" si="251"/>
        <v>42461.25</v>
      </c>
      <c r="U3932">
        <f>MONTH(Table1[[#This Row],[Launched]])</f>
        <v>3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8220</v>
      </c>
      <c r="G3933" t="s">
        <v>8223</v>
      </c>
      <c r="H3933" t="s">
        <v>8245</v>
      </c>
      <c r="I3933" s="8">
        <v>1441510707</v>
      </c>
      <c r="J3933">
        <v>1439350707</v>
      </c>
      <c r="K3933" t="b">
        <v>0</v>
      </c>
      <c r="L3933" s="10">
        <v>0</v>
      </c>
      <c r="M3933" t="b">
        <v>0</v>
      </c>
      <c r="N3933" t="s">
        <v>8269</v>
      </c>
      <c r="O3933" s="11">
        <f t="shared" si="248"/>
        <v>0</v>
      </c>
      <c r="P3933" s="12" t="str">
        <f t="shared" si="249"/>
        <v>No Backers</v>
      </c>
      <c r="Q3933" s="14" t="s">
        <v>8314</v>
      </c>
      <c r="R3933" t="s">
        <v>8315</v>
      </c>
      <c r="S3933" s="17">
        <f t="shared" si="250"/>
        <v>42228.151701388888</v>
      </c>
      <c r="T3933" s="17">
        <f t="shared" si="251"/>
        <v>42253.151701388888</v>
      </c>
      <c r="U3933">
        <f>MONTH(Table1[[#This Row],[Launched]])</f>
        <v>8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8220</v>
      </c>
      <c r="G3934" t="s">
        <v>8223</v>
      </c>
      <c r="H3934" t="s">
        <v>8245</v>
      </c>
      <c r="I3934" s="8">
        <v>1458097364</v>
      </c>
      <c r="J3934">
        <v>1455508964</v>
      </c>
      <c r="K3934" t="b">
        <v>0</v>
      </c>
      <c r="L3934" s="10">
        <v>1</v>
      </c>
      <c r="M3934" t="b">
        <v>0</v>
      </c>
      <c r="N3934" t="s">
        <v>8269</v>
      </c>
      <c r="O3934" s="11">
        <f t="shared" si="248"/>
        <v>0</v>
      </c>
      <c r="P3934" s="12">
        <f t="shared" si="249"/>
        <v>1</v>
      </c>
      <c r="Q3934" s="14" t="s">
        <v>8314</v>
      </c>
      <c r="R3934" t="s">
        <v>8315</v>
      </c>
      <c r="S3934" s="17">
        <f t="shared" si="250"/>
        <v>42415.168564814812</v>
      </c>
      <c r="T3934" s="17">
        <f t="shared" si="251"/>
        <v>42445.126898148148</v>
      </c>
      <c r="U3934">
        <f>MONTH(Table1[[#This Row],[Launched]])</f>
        <v>2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 s="8">
        <v>1468716180</v>
      </c>
      <c r="J3935">
        <v>1466205262</v>
      </c>
      <c r="K3935" t="b">
        <v>0</v>
      </c>
      <c r="L3935" s="10">
        <v>12</v>
      </c>
      <c r="M3935" t="b">
        <v>0</v>
      </c>
      <c r="N3935" t="s">
        <v>8269</v>
      </c>
      <c r="O3935" s="11">
        <f t="shared" si="248"/>
        <v>16</v>
      </c>
      <c r="P3935" s="12">
        <f t="shared" si="249"/>
        <v>92</v>
      </c>
      <c r="Q3935" s="14" t="s">
        <v>8314</v>
      </c>
      <c r="R3935" t="s">
        <v>8315</v>
      </c>
      <c r="S3935" s="17">
        <f t="shared" si="250"/>
        <v>42538.968310185184</v>
      </c>
      <c r="T3935" s="17">
        <f t="shared" si="251"/>
        <v>42568.029861111107</v>
      </c>
      <c r="U3935">
        <f>MONTH(Table1[[#This Row],[Launched]])</f>
        <v>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8220</v>
      </c>
      <c r="G3936" t="s">
        <v>8223</v>
      </c>
      <c r="H3936" t="s">
        <v>8245</v>
      </c>
      <c r="I3936" s="8">
        <v>1443704400</v>
      </c>
      <c r="J3936">
        <v>1439827639</v>
      </c>
      <c r="K3936" t="b">
        <v>0</v>
      </c>
      <c r="L3936" s="10">
        <v>12</v>
      </c>
      <c r="M3936" t="b">
        <v>0</v>
      </c>
      <c r="N3936" t="s">
        <v>8269</v>
      </c>
      <c r="O3936" s="11">
        <f t="shared" si="248"/>
        <v>11</v>
      </c>
      <c r="P3936" s="12">
        <f t="shared" si="249"/>
        <v>46</v>
      </c>
      <c r="Q3936" s="14" t="s">
        <v>8314</v>
      </c>
      <c r="R3936" t="s">
        <v>8315</v>
      </c>
      <c r="S3936" s="17">
        <f t="shared" si="250"/>
        <v>42233.671747685185</v>
      </c>
      <c r="T3936" s="17">
        <f t="shared" si="251"/>
        <v>42278.541666666672</v>
      </c>
      <c r="U3936">
        <f>MONTH(Table1[[#This Row],[Launched]])</f>
        <v>8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 s="8">
        <v>1443973546</v>
      </c>
      <c r="J3937">
        <v>1438789546</v>
      </c>
      <c r="K3937" t="b">
        <v>0</v>
      </c>
      <c r="L3937" s="10">
        <v>23</v>
      </c>
      <c r="M3937" t="b">
        <v>0</v>
      </c>
      <c r="N3937" t="s">
        <v>8269</v>
      </c>
      <c r="O3937" s="11">
        <f t="shared" si="248"/>
        <v>44</v>
      </c>
      <c r="P3937" s="12">
        <f t="shared" si="249"/>
        <v>57</v>
      </c>
      <c r="Q3937" s="14" t="s">
        <v>8314</v>
      </c>
      <c r="R3937" t="s">
        <v>8315</v>
      </c>
      <c r="S3937" s="17">
        <f t="shared" si="250"/>
        <v>42221.656782407401</v>
      </c>
      <c r="T3937" s="17">
        <f t="shared" si="251"/>
        <v>42281.656782407401</v>
      </c>
      <c r="U3937">
        <f>MONTH(Table1[[#This Row],[Launched]])</f>
        <v>8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8220</v>
      </c>
      <c r="G3938" t="s">
        <v>8223</v>
      </c>
      <c r="H3938" t="s">
        <v>8245</v>
      </c>
      <c r="I3938" s="8">
        <v>1480576720</v>
      </c>
      <c r="J3938">
        <v>1477981120</v>
      </c>
      <c r="K3938" t="b">
        <v>0</v>
      </c>
      <c r="L3938" s="10">
        <v>0</v>
      </c>
      <c r="M3938" t="b">
        <v>0</v>
      </c>
      <c r="N3938" t="s">
        <v>8269</v>
      </c>
      <c r="O3938" s="11">
        <f t="shared" si="248"/>
        <v>0</v>
      </c>
      <c r="P3938" s="12" t="str">
        <f t="shared" si="249"/>
        <v>No Backers</v>
      </c>
      <c r="Q3938" s="14" t="s">
        <v>8314</v>
      </c>
      <c r="R3938" t="s">
        <v>8315</v>
      </c>
      <c r="S3938" s="17">
        <f t="shared" si="250"/>
        <v>42675.262962962966</v>
      </c>
      <c r="T3938" s="17">
        <f t="shared" si="251"/>
        <v>42705.304629629631</v>
      </c>
      <c r="U3938">
        <f>MONTH(Table1[[#This Row],[Launched]])</f>
        <v>11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 s="8">
        <v>1468249760</v>
      </c>
      <c r="J3939">
        <v>1465830560</v>
      </c>
      <c r="K3939" t="b">
        <v>0</v>
      </c>
      <c r="L3939" s="10">
        <v>10</v>
      </c>
      <c r="M3939" t="b">
        <v>0</v>
      </c>
      <c r="N3939" t="s">
        <v>8269</v>
      </c>
      <c r="O3939" s="11">
        <f t="shared" si="248"/>
        <v>86</v>
      </c>
      <c r="P3939" s="12">
        <f t="shared" si="249"/>
        <v>249</v>
      </c>
      <c r="Q3939" s="14" t="s">
        <v>8314</v>
      </c>
      <c r="R3939" t="s">
        <v>8315</v>
      </c>
      <c r="S3939" s="17">
        <f t="shared" si="250"/>
        <v>42534.631481481483</v>
      </c>
      <c r="T3939" s="17">
        <f t="shared" si="251"/>
        <v>42562.631481481483</v>
      </c>
      <c r="U3939">
        <f>MONTH(Table1[[#This Row],[Launched]])</f>
        <v>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8220</v>
      </c>
      <c r="G3940" t="s">
        <v>8223</v>
      </c>
      <c r="H3940" t="s">
        <v>8245</v>
      </c>
      <c r="I3940" s="8">
        <v>1435441454</v>
      </c>
      <c r="J3940">
        <v>1432763054</v>
      </c>
      <c r="K3940" t="b">
        <v>0</v>
      </c>
      <c r="L3940" s="10">
        <v>5</v>
      </c>
      <c r="M3940" t="b">
        <v>0</v>
      </c>
      <c r="N3940" t="s">
        <v>8269</v>
      </c>
      <c r="O3940" s="11">
        <f t="shared" si="248"/>
        <v>12</v>
      </c>
      <c r="P3940" s="12">
        <f t="shared" si="249"/>
        <v>79</v>
      </c>
      <c r="Q3940" s="14" t="s">
        <v>8314</v>
      </c>
      <c r="R3940" t="s">
        <v>8315</v>
      </c>
      <c r="S3940" s="17">
        <f t="shared" si="250"/>
        <v>42151.905717592599</v>
      </c>
      <c r="T3940" s="17">
        <f t="shared" si="251"/>
        <v>42182.905717592599</v>
      </c>
      <c r="U3940">
        <f>MONTH(Table1[[#This Row],[Launched]])</f>
        <v>5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8220</v>
      </c>
      <c r="G3941" t="s">
        <v>8225</v>
      </c>
      <c r="H3941" t="s">
        <v>8247</v>
      </c>
      <c r="I3941" s="8">
        <v>1412656200</v>
      </c>
      <c r="J3941">
        <v>1412328979</v>
      </c>
      <c r="K3941" t="b">
        <v>0</v>
      </c>
      <c r="L3941" s="10">
        <v>1</v>
      </c>
      <c r="M3941" t="b">
        <v>0</v>
      </c>
      <c r="N3941" t="s">
        <v>8269</v>
      </c>
      <c r="O3941" s="11">
        <f t="shared" si="248"/>
        <v>0</v>
      </c>
      <c r="P3941" s="12">
        <f t="shared" si="249"/>
        <v>5</v>
      </c>
      <c r="Q3941" s="14" t="s">
        <v>8314</v>
      </c>
      <c r="R3941" t="s">
        <v>8315</v>
      </c>
      <c r="S3941" s="17">
        <f t="shared" si="250"/>
        <v>41915.400219907409</v>
      </c>
      <c r="T3941" s="17">
        <f t="shared" si="251"/>
        <v>41919.1875</v>
      </c>
      <c r="U3941">
        <f>MONTH(Table1[[#This Row],[Launched]])</f>
        <v>10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8220</v>
      </c>
      <c r="G3942" t="s">
        <v>8223</v>
      </c>
      <c r="H3942" t="s">
        <v>8245</v>
      </c>
      <c r="I3942" s="8">
        <v>1420199351</v>
      </c>
      <c r="J3942">
        <v>1416311351</v>
      </c>
      <c r="K3942" t="b">
        <v>0</v>
      </c>
      <c r="L3942" s="10">
        <v>2</v>
      </c>
      <c r="M3942" t="b">
        <v>0</v>
      </c>
      <c r="N3942" t="s">
        <v>8269</v>
      </c>
      <c r="O3942" s="11">
        <f t="shared" si="248"/>
        <v>0</v>
      </c>
      <c r="P3942" s="12">
        <f t="shared" si="249"/>
        <v>6</v>
      </c>
      <c r="Q3942" s="14" t="s">
        <v>8314</v>
      </c>
      <c r="R3942" t="s">
        <v>8315</v>
      </c>
      <c r="S3942" s="17">
        <f t="shared" si="250"/>
        <v>41961.492488425924</v>
      </c>
      <c r="T3942" s="17">
        <f t="shared" si="251"/>
        <v>42006.492488425924</v>
      </c>
      <c r="U3942">
        <f>MONTH(Table1[[#This Row],[Launched]])</f>
        <v>11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8220</v>
      </c>
      <c r="G3943" t="s">
        <v>8223</v>
      </c>
      <c r="H3943" t="s">
        <v>8245</v>
      </c>
      <c r="I3943" s="8">
        <v>1416877200</v>
      </c>
      <c r="J3943">
        <v>1414505137</v>
      </c>
      <c r="K3943" t="b">
        <v>0</v>
      </c>
      <c r="L3943" s="10">
        <v>2</v>
      </c>
      <c r="M3943" t="b">
        <v>0</v>
      </c>
      <c r="N3943" t="s">
        <v>8269</v>
      </c>
      <c r="O3943" s="11">
        <f t="shared" si="248"/>
        <v>1</v>
      </c>
      <c r="P3943" s="12">
        <f t="shared" si="249"/>
        <v>25</v>
      </c>
      <c r="Q3943" s="14" t="s">
        <v>8314</v>
      </c>
      <c r="R3943" t="s">
        <v>8315</v>
      </c>
      <c r="S3943" s="17">
        <f t="shared" si="250"/>
        <v>41940.587233796294</v>
      </c>
      <c r="T3943" s="17">
        <f t="shared" si="251"/>
        <v>41968.041666666672</v>
      </c>
      <c r="U3943">
        <f>MONTH(Table1[[#This Row],[Launched]])</f>
        <v>10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8220</v>
      </c>
      <c r="G3944" t="s">
        <v>8223</v>
      </c>
      <c r="H3944" t="s">
        <v>8245</v>
      </c>
      <c r="I3944" s="8">
        <v>1434490914</v>
      </c>
      <c r="J3944">
        <v>1429306914</v>
      </c>
      <c r="K3944" t="b">
        <v>0</v>
      </c>
      <c r="L3944" s="10">
        <v>0</v>
      </c>
      <c r="M3944" t="b">
        <v>0</v>
      </c>
      <c r="N3944" t="s">
        <v>8269</v>
      </c>
      <c r="O3944" s="11">
        <f t="shared" si="248"/>
        <v>0</v>
      </c>
      <c r="P3944" s="12" t="str">
        <f t="shared" si="249"/>
        <v>No Backers</v>
      </c>
      <c r="Q3944" s="14" t="s">
        <v>8314</v>
      </c>
      <c r="R3944" t="s">
        <v>8315</v>
      </c>
      <c r="S3944" s="17">
        <f t="shared" si="250"/>
        <v>42111.904097222221</v>
      </c>
      <c r="T3944" s="17">
        <f t="shared" si="251"/>
        <v>42171.904097222221</v>
      </c>
      <c r="U3944">
        <f>MONTH(Table1[[#This Row],[Launched]])</f>
        <v>4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 s="8">
        <v>1446483000</v>
      </c>
      <c r="J3945">
        <v>1443811268</v>
      </c>
      <c r="K3945" t="b">
        <v>0</v>
      </c>
      <c r="L3945" s="10">
        <v>13</v>
      </c>
      <c r="M3945" t="b">
        <v>0</v>
      </c>
      <c r="N3945" t="s">
        <v>8269</v>
      </c>
      <c r="O3945" s="11">
        <f t="shared" si="248"/>
        <v>36</v>
      </c>
      <c r="P3945" s="12">
        <f t="shared" si="249"/>
        <v>137</v>
      </c>
      <c r="Q3945" s="14" t="s">
        <v>8314</v>
      </c>
      <c r="R3945" t="s">
        <v>8315</v>
      </c>
      <c r="S3945" s="17">
        <f t="shared" si="250"/>
        <v>42279.778564814813</v>
      </c>
      <c r="T3945" s="17">
        <f t="shared" si="251"/>
        <v>42310.701388888891</v>
      </c>
      <c r="U3945">
        <f>MONTH(Table1[[#This Row],[Launched]])</f>
        <v>10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8220</v>
      </c>
      <c r="G3946" t="s">
        <v>8223</v>
      </c>
      <c r="H3946" t="s">
        <v>8245</v>
      </c>
      <c r="I3946" s="8">
        <v>1440690875</v>
      </c>
      <c r="J3946">
        <v>1438098875</v>
      </c>
      <c r="K3946" t="b">
        <v>0</v>
      </c>
      <c r="L3946" s="10">
        <v>0</v>
      </c>
      <c r="M3946" t="b">
        <v>0</v>
      </c>
      <c r="N3946" t="s">
        <v>8269</v>
      </c>
      <c r="O3946" s="11">
        <f t="shared" si="248"/>
        <v>0</v>
      </c>
      <c r="P3946" s="12" t="str">
        <f t="shared" si="249"/>
        <v>No Backers</v>
      </c>
      <c r="Q3946" s="14" t="s">
        <v>8314</v>
      </c>
      <c r="R3946" t="s">
        <v>8315</v>
      </c>
      <c r="S3946" s="17">
        <f t="shared" si="250"/>
        <v>42213.662905092591</v>
      </c>
      <c r="T3946" s="17">
        <f t="shared" si="251"/>
        <v>42243.662905092591</v>
      </c>
      <c r="U3946">
        <f>MONTH(Table1[[#This Row],[Launched]])</f>
        <v>7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8220</v>
      </c>
      <c r="G3947" t="s">
        <v>8223</v>
      </c>
      <c r="H3947" t="s">
        <v>8245</v>
      </c>
      <c r="I3947" s="8">
        <v>1431717268</v>
      </c>
      <c r="J3947">
        <v>1429125268</v>
      </c>
      <c r="K3947" t="b">
        <v>0</v>
      </c>
      <c r="L3947" s="10">
        <v>1</v>
      </c>
      <c r="M3947" t="b">
        <v>0</v>
      </c>
      <c r="N3947" t="s">
        <v>8269</v>
      </c>
      <c r="O3947" s="11">
        <f t="shared" si="248"/>
        <v>0</v>
      </c>
      <c r="P3947" s="12">
        <f t="shared" si="249"/>
        <v>5</v>
      </c>
      <c r="Q3947" s="14" t="s">
        <v>8314</v>
      </c>
      <c r="R3947" t="s">
        <v>8315</v>
      </c>
      <c r="S3947" s="17">
        <f t="shared" si="250"/>
        <v>42109.801712962959</v>
      </c>
      <c r="T3947" s="17">
        <f t="shared" si="251"/>
        <v>42139.801712962959</v>
      </c>
      <c r="U3947">
        <f>MONTH(Table1[[#This Row],[Launched]])</f>
        <v>4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8220</v>
      </c>
      <c r="G3948" t="s">
        <v>8223</v>
      </c>
      <c r="H3948" t="s">
        <v>8245</v>
      </c>
      <c r="I3948" s="8">
        <v>1425110400</v>
      </c>
      <c r="J3948">
        <v>1422388822</v>
      </c>
      <c r="K3948" t="b">
        <v>0</v>
      </c>
      <c r="L3948" s="10">
        <v>5</v>
      </c>
      <c r="M3948" t="b">
        <v>0</v>
      </c>
      <c r="N3948" t="s">
        <v>8269</v>
      </c>
      <c r="O3948" s="11">
        <f t="shared" si="248"/>
        <v>3</v>
      </c>
      <c r="P3948" s="12">
        <f t="shared" si="249"/>
        <v>39</v>
      </c>
      <c r="Q3948" s="14" t="s">
        <v>8314</v>
      </c>
      <c r="R3948" t="s">
        <v>8315</v>
      </c>
      <c r="S3948" s="17">
        <f t="shared" si="250"/>
        <v>42031.833587962959</v>
      </c>
      <c r="T3948" s="17">
        <f t="shared" si="251"/>
        <v>42063.333333333328</v>
      </c>
      <c r="U3948">
        <f>MONTH(Table1[[#This Row],[Launched]])</f>
        <v>1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8220</v>
      </c>
      <c r="G3949" t="s">
        <v>8223</v>
      </c>
      <c r="H3949" t="s">
        <v>8245</v>
      </c>
      <c r="I3949" s="8">
        <v>1475378744</v>
      </c>
      <c r="J3949">
        <v>1472786744</v>
      </c>
      <c r="K3949" t="b">
        <v>0</v>
      </c>
      <c r="L3949" s="10">
        <v>2</v>
      </c>
      <c r="M3949" t="b">
        <v>0</v>
      </c>
      <c r="N3949" t="s">
        <v>8269</v>
      </c>
      <c r="O3949" s="11">
        <f t="shared" si="248"/>
        <v>3</v>
      </c>
      <c r="P3949" s="12">
        <f t="shared" si="249"/>
        <v>51</v>
      </c>
      <c r="Q3949" s="14" t="s">
        <v>8314</v>
      </c>
      <c r="R3949" t="s">
        <v>8315</v>
      </c>
      <c r="S3949" s="17">
        <f t="shared" si="250"/>
        <v>42615.142870370371</v>
      </c>
      <c r="T3949" s="17">
        <f t="shared" si="251"/>
        <v>42645.142870370371</v>
      </c>
      <c r="U3949">
        <f>MONTH(Table1[[#This Row],[Launched]])</f>
        <v>9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8220</v>
      </c>
      <c r="G3950" t="s">
        <v>8225</v>
      </c>
      <c r="H3950" t="s">
        <v>8247</v>
      </c>
      <c r="I3950" s="8">
        <v>1410076123</v>
      </c>
      <c r="J3950">
        <v>1404892123</v>
      </c>
      <c r="K3950" t="b">
        <v>0</v>
      </c>
      <c r="L3950" s="10">
        <v>0</v>
      </c>
      <c r="M3950" t="b">
        <v>0</v>
      </c>
      <c r="N3950" t="s">
        <v>8269</v>
      </c>
      <c r="O3950" s="11">
        <f t="shared" si="248"/>
        <v>0</v>
      </c>
      <c r="P3950" s="12" t="str">
        <f t="shared" si="249"/>
        <v>No Backers</v>
      </c>
      <c r="Q3950" s="14" t="s">
        <v>8314</v>
      </c>
      <c r="R3950" t="s">
        <v>8315</v>
      </c>
      <c r="S3950" s="17">
        <f t="shared" si="250"/>
        <v>41829.325497685182</v>
      </c>
      <c r="T3950" s="17">
        <f t="shared" si="251"/>
        <v>41889.325497685182</v>
      </c>
      <c r="U3950">
        <f>MONTH(Table1[[#This Row],[Launched]])</f>
        <v>7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 s="8">
        <v>1423623221</v>
      </c>
      <c r="J3951">
        <v>1421031221</v>
      </c>
      <c r="K3951" t="b">
        <v>0</v>
      </c>
      <c r="L3951" s="10">
        <v>32</v>
      </c>
      <c r="M3951" t="b">
        <v>0</v>
      </c>
      <c r="N3951" t="s">
        <v>8269</v>
      </c>
      <c r="O3951" s="11">
        <f t="shared" si="248"/>
        <v>16</v>
      </c>
      <c r="P3951" s="12">
        <f t="shared" si="249"/>
        <v>49</v>
      </c>
      <c r="Q3951" s="14" t="s">
        <v>8314</v>
      </c>
      <c r="R3951" t="s">
        <v>8315</v>
      </c>
      <c r="S3951" s="17">
        <f t="shared" si="250"/>
        <v>42016.120613425926</v>
      </c>
      <c r="T3951" s="17">
        <f t="shared" si="251"/>
        <v>42046.120613425926</v>
      </c>
      <c r="U3951">
        <f>MONTH(Table1[[#This Row],[Launched]])</f>
        <v>1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8220</v>
      </c>
      <c r="G3952" t="s">
        <v>8223</v>
      </c>
      <c r="H3952" t="s">
        <v>8245</v>
      </c>
      <c r="I3952" s="8">
        <v>1460140500</v>
      </c>
      <c r="J3952">
        <v>1457628680</v>
      </c>
      <c r="K3952" t="b">
        <v>0</v>
      </c>
      <c r="L3952" s="10">
        <v>1</v>
      </c>
      <c r="M3952" t="b">
        <v>0</v>
      </c>
      <c r="N3952" t="s">
        <v>8269</v>
      </c>
      <c r="O3952" s="11">
        <f t="shared" si="248"/>
        <v>1</v>
      </c>
      <c r="P3952" s="12">
        <f t="shared" si="249"/>
        <v>25</v>
      </c>
      <c r="Q3952" s="14" t="s">
        <v>8314</v>
      </c>
      <c r="R3952" t="s">
        <v>8315</v>
      </c>
      <c r="S3952" s="17">
        <f t="shared" si="250"/>
        <v>42439.702314814815</v>
      </c>
      <c r="T3952" s="17">
        <f t="shared" si="251"/>
        <v>42468.774305555555</v>
      </c>
      <c r="U3952">
        <f>MONTH(Table1[[#This Row],[Launched]])</f>
        <v>3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8220</v>
      </c>
      <c r="G3953" t="s">
        <v>8240</v>
      </c>
      <c r="H3953" t="s">
        <v>8248</v>
      </c>
      <c r="I3953" s="8">
        <v>1462301342</v>
      </c>
      <c r="J3953">
        <v>1457120942</v>
      </c>
      <c r="K3953" t="b">
        <v>0</v>
      </c>
      <c r="L3953" s="10">
        <v>1</v>
      </c>
      <c r="M3953" t="b">
        <v>0</v>
      </c>
      <c r="N3953" t="s">
        <v>8269</v>
      </c>
      <c r="O3953" s="11">
        <f t="shared" si="248"/>
        <v>0</v>
      </c>
      <c r="P3953" s="12">
        <f t="shared" si="249"/>
        <v>1</v>
      </c>
      <c r="Q3953" s="14" t="s">
        <v>8314</v>
      </c>
      <c r="R3953" t="s">
        <v>8315</v>
      </c>
      <c r="S3953" s="17">
        <f t="shared" si="250"/>
        <v>42433.825717592597</v>
      </c>
      <c r="T3953" s="17">
        <f t="shared" si="251"/>
        <v>42493.784050925926</v>
      </c>
      <c r="U3953">
        <f>MONTH(Table1[[#This Row],[Launched]])</f>
        <v>3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8220</v>
      </c>
      <c r="G3954" t="s">
        <v>8223</v>
      </c>
      <c r="H3954" t="s">
        <v>8245</v>
      </c>
      <c r="I3954" s="8">
        <v>1445885890</v>
      </c>
      <c r="J3954">
        <v>1440701890</v>
      </c>
      <c r="K3954" t="b">
        <v>0</v>
      </c>
      <c r="L3954" s="10">
        <v>1</v>
      </c>
      <c r="M3954" t="b">
        <v>0</v>
      </c>
      <c r="N3954" t="s">
        <v>8269</v>
      </c>
      <c r="O3954" s="11">
        <f t="shared" si="248"/>
        <v>0</v>
      </c>
      <c r="P3954" s="12">
        <f t="shared" si="249"/>
        <v>25</v>
      </c>
      <c r="Q3954" s="14" t="s">
        <v>8314</v>
      </c>
      <c r="R3954" t="s">
        <v>8315</v>
      </c>
      <c r="S3954" s="17">
        <f t="shared" si="250"/>
        <v>42243.790393518517</v>
      </c>
      <c r="T3954" s="17">
        <f t="shared" si="251"/>
        <v>42303.790393518517</v>
      </c>
      <c r="U3954">
        <f>MONTH(Table1[[#This Row],[Launched]])</f>
        <v>8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8220</v>
      </c>
      <c r="G3955" t="s">
        <v>8223</v>
      </c>
      <c r="H3955" t="s">
        <v>8245</v>
      </c>
      <c r="I3955" s="8">
        <v>1469834940</v>
      </c>
      <c r="J3955">
        <v>1467162586</v>
      </c>
      <c r="K3955" t="b">
        <v>0</v>
      </c>
      <c r="L3955" s="10">
        <v>0</v>
      </c>
      <c r="M3955" t="b">
        <v>0</v>
      </c>
      <c r="N3955" t="s">
        <v>8269</v>
      </c>
      <c r="O3955" s="11">
        <f t="shared" si="248"/>
        <v>0</v>
      </c>
      <c r="P3955" s="12" t="str">
        <f t="shared" si="249"/>
        <v>No Backers</v>
      </c>
      <c r="Q3955" s="14" t="s">
        <v>8314</v>
      </c>
      <c r="R3955" t="s">
        <v>8315</v>
      </c>
      <c r="S3955" s="17">
        <f t="shared" si="250"/>
        <v>42550.048449074078</v>
      </c>
      <c r="T3955" s="17">
        <f t="shared" si="251"/>
        <v>42580.978472222225</v>
      </c>
      <c r="U3955">
        <f>MONTH(Table1[[#This Row],[Launched]])</f>
        <v>6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8220</v>
      </c>
      <c r="G3956" t="s">
        <v>8228</v>
      </c>
      <c r="H3956" t="s">
        <v>8250</v>
      </c>
      <c r="I3956" s="8">
        <v>1405352264</v>
      </c>
      <c r="J3956">
        <v>1400168264</v>
      </c>
      <c r="K3956" t="b">
        <v>0</v>
      </c>
      <c r="L3956" s="10">
        <v>0</v>
      </c>
      <c r="M3956" t="b">
        <v>0</v>
      </c>
      <c r="N3956" t="s">
        <v>8269</v>
      </c>
      <c r="O3956" s="11">
        <f t="shared" si="248"/>
        <v>0</v>
      </c>
      <c r="P3956" s="12" t="str">
        <f t="shared" si="249"/>
        <v>No Backers</v>
      </c>
      <c r="Q3956" s="14" t="s">
        <v>8314</v>
      </c>
      <c r="R3956" t="s">
        <v>8315</v>
      </c>
      <c r="S3956" s="17">
        <f t="shared" si="250"/>
        <v>41774.651203703703</v>
      </c>
      <c r="T3956" s="17">
        <f t="shared" si="251"/>
        <v>41834.651203703703</v>
      </c>
      <c r="U3956">
        <f>MONTH(Table1[[#This Row],[Launched]])</f>
        <v>5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8220</v>
      </c>
      <c r="G3957" t="s">
        <v>8223</v>
      </c>
      <c r="H3957" t="s">
        <v>8245</v>
      </c>
      <c r="I3957" s="8">
        <v>1448745741</v>
      </c>
      <c r="J3957">
        <v>1446150141</v>
      </c>
      <c r="K3957" t="b">
        <v>0</v>
      </c>
      <c r="L3957" s="10">
        <v>8</v>
      </c>
      <c r="M3957" t="b">
        <v>0</v>
      </c>
      <c r="N3957" t="s">
        <v>8269</v>
      </c>
      <c r="O3957" s="11">
        <f t="shared" si="248"/>
        <v>24</v>
      </c>
      <c r="P3957" s="12">
        <f t="shared" si="249"/>
        <v>53</v>
      </c>
      <c r="Q3957" s="14" t="s">
        <v>8314</v>
      </c>
      <c r="R3957" t="s">
        <v>8315</v>
      </c>
      <c r="S3957" s="17">
        <f t="shared" si="250"/>
        <v>42306.848854166667</v>
      </c>
      <c r="T3957" s="17">
        <f t="shared" si="251"/>
        <v>42336.890520833331</v>
      </c>
      <c r="U3957">
        <f>MONTH(Table1[[#This Row],[Launched]])</f>
        <v>10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8220</v>
      </c>
      <c r="G3958" t="s">
        <v>8223</v>
      </c>
      <c r="H3958" t="s">
        <v>8245</v>
      </c>
      <c r="I3958" s="8">
        <v>1461543600</v>
      </c>
      <c r="J3958">
        <v>1459203727</v>
      </c>
      <c r="K3958" t="b">
        <v>0</v>
      </c>
      <c r="L3958" s="10">
        <v>0</v>
      </c>
      <c r="M3958" t="b">
        <v>0</v>
      </c>
      <c r="N3958" t="s">
        <v>8269</v>
      </c>
      <c r="O3958" s="11">
        <f t="shared" si="248"/>
        <v>0</v>
      </c>
      <c r="P3958" s="12" t="str">
        <f t="shared" si="249"/>
        <v>No Backers</v>
      </c>
      <c r="Q3958" s="14" t="s">
        <v>8314</v>
      </c>
      <c r="R3958" t="s">
        <v>8315</v>
      </c>
      <c r="S3958" s="17">
        <f t="shared" si="250"/>
        <v>42457.932025462964</v>
      </c>
      <c r="T3958" s="17">
        <f t="shared" si="251"/>
        <v>42485.013888888891</v>
      </c>
      <c r="U3958">
        <f>MONTH(Table1[[#This Row],[Launched]])</f>
        <v>3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8220</v>
      </c>
      <c r="G3959" t="s">
        <v>8223</v>
      </c>
      <c r="H3959" t="s">
        <v>8245</v>
      </c>
      <c r="I3959" s="8">
        <v>1468020354</v>
      </c>
      <c r="J3959">
        <v>1464045954</v>
      </c>
      <c r="K3959" t="b">
        <v>0</v>
      </c>
      <c r="L3959" s="10">
        <v>1</v>
      </c>
      <c r="M3959" t="b">
        <v>0</v>
      </c>
      <c r="N3959" t="s">
        <v>8269</v>
      </c>
      <c r="O3959" s="11">
        <f t="shared" si="248"/>
        <v>0</v>
      </c>
      <c r="P3959" s="12">
        <f t="shared" si="249"/>
        <v>7</v>
      </c>
      <c r="Q3959" s="14" t="s">
        <v>8314</v>
      </c>
      <c r="R3959" t="s">
        <v>8315</v>
      </c>
      <c r="S3959" s="17">
        <f t="shared" si="250"/>
        <v>42513.976319444439</v>
      </c>
      <c r="T3959" s="17">
        <f t="shared" si="251"/>
        <v>42559.976319444439</v>
      </c>
      <c r="U3959">
        <f>MONTH(Table1[[#This Row],[Launched]])</f>
        <v>5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8220</v>
      </c>
      <c r="G3960" t="s">
        <v>8223</v>
      </c>
      <c r="H3960" t="s">
        <v>8245</v>
      </c>
      <c r="I3960" s="8">
        <v>1406988000</v>
      </c>
      <c r="J3960">
        <v>1403822912</v>
      </c>
      <c r="K3960" t="b">
        <v>0</v>
      </c>
      <c r="L3960" s="10">
        <v>16</v>
      </c>
      <c r="M3960" t="b">
        <v>0</v>
      </c>
      <c r="N3960" t="s">
        <v>8269</v>
      </c>
      <c r="O3960" s="11">
        <f t="shared" si="248"/>
        <v>32</v>
      </c>
      <c r="P3960" s="12">
        <f t="shared" si="249"/>
        <v>40</v>
      </c>
      <c r="Q3960" s="14" t="s">
        <v>8314</v>
      </c>
      <c r="R3960" t="s">
        <v>8315</v>
      </c>
      <c r="S3960" s="17">
        <f t="shared" si="250"/>
        <v>41816.950370370374</v>
      </c>
      <c r="T3960" s="17">
        <f t="shared" si="251"/>
        <v>41853.583333333336</v>
      </c>
      <c r="U3960">
        <f>MONTH(Table1[[#This Row],[Launched]])</f>
        <v>6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8220</v>
      </c>
      <c r="G3961" t="s">
        <v>8223</v>
      </c>
      <c r="H3961" t="s">
        <v>8245</v>
      </c>
      <c r="I3961" s="8">
        <v>1411930556</v>
      </c>
      <c r="J3961">
        <v>1409338556</v>
      </c>
      <c r="K3961" t="b">
        <v>0</v>
      </c>
      <c r="L3961" s="10">
        <v>12</v>
      </c>
      <c r="M3961" t="b">
        <v>0</v>
      </c>
      <c r="N3961" t="s">
        <v>8269</v>
      </c>
      <c r="O3961" s="11">
        <f t="shared" si="248"/>
        <v>24</v>
      </c>
      <c r="P3961" s="12">
        <f t="shared" si="249"/>
        <v>24</v>
      </c>
      <c r="Q3961" s="14" t="s">
        <v>8314</v>
      </c>
      <c r="R3961" t="s">
        <v>8315</v>
      </c>
      <c r="S3961" s="17">
        <f t="shared" si="250"/>
        <v>41880.788842592592</v>
      </c>
      <c r="T3961" s="17">
        <f t="shared" si="251"/>
        <v>41910.788842592592</v>
      </c>
      <c r="U3961">
        <f>MONTH(Table1[[#This Row],[Launched]])</f>
        <v>8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8220</v>
      </c>
      <c r="G3962" t="s">
        <v>8223</v>
      </c>
      <c r="H3962" t="s">
        <v>8245</v>
      </c>
      <c r="I3962" s="8">
        <v>1451852256</v>
      </c>
      <c r="J3962">
        <v>1449260256</v>
      </c>
      <c r="K3962" t="b">
        <v>0</v>
      </c>
      <c r="L3962" s="10">
        <v>4</v>
      </c>
      <c r="M3962" t="b">
        <v>0</v>
      </c>
      <c r="N3962" t="s">
        <v>8269</v>
      </c>
      <c r="O3962" s="11">
        <f t="shared" si="248"/>
        <v>2</v>
      </c>
      <c r="P3962" s="12">
        <f t="shared" si="249"/>
        <v>11</v>
      </c>
      <c r="Q3962" s="14" t="s">
        <v>8314</v>
      </c>
      <c r="R3962" t="s">
        <v>8315</v>
      </c>
      <c r="S3962" s="17">
        <f t="shared" si="250"/>
        <v>42342.845555555556</v>
      </c>
      <c r="T3962" s="17">
        <f t="shared" si="251"/>
        <v>42372.845555555556</v>
      </c>
      <c r="U3962">
        <f>MONTH(Table1[[#This Row],[Launched]])</f>
        <v>12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8220</v>
      </c>
      <c r="G3963" t="s">
        <v>8224</v>
      </c>
      <c r="H3963" t="s">
        <v>8246</v>
      </c>
      <c r="I3963" s="8">
        <v>1399584210</v>
      </c>
      <c r="J3963">
        <v>1397683410</v>
      </c>
      <c r="K3963" t="b">
        <v>0</v>
      </c>
      <c r="L3963" s="10">
        <v>2</v>
      </c>
      <c r="M3963" t="b">
        <v>0</v>
      </c>
      <c r="N3963" t="s">
        <v>8269</v>
      </c>
      <c r="O3963" s="11">
        <f t="shared" si="248"/>
        <v>0</v>
      </c>
      <c r="P3963" s="12">
        <f t="shared" si="249"/>
        <v>11</v>
      </c>
      <c r="Q3963" s="14" t="s">
        <v>8314</v>
      </c>
      <c r="R3963" t="s">
        <v>8315</v>
      </c>
      <c r="S3963" s="17">
        <f t="shared" si="250"/>
        <v>41745.891319444447</v>
      </c>
      <c r="T3963" s="17">
        <f t="shared" si="251"/>
        <v>41767.891319444447</v>
      </c>
      <c r="U3963">
        <f>MONTH(Table1[[#This Row],[Launched]])</f>
        <v>4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8220</v>
      </c>
      <c r="G3964" t="s">
        <v>8224</v>
      </c>
      <c r="H3964" t="s">
        <v>8246</v>
      </c>
      <c r="I3964" s="8">
        <v>1448722494</v>
      </c>
      <c r="J3964">
        <v>1446562494</v>
      </c>
      <c r="K3964" t="b">
        <v>0</v>
      </c>
      <c r="L3964" s="10">
        <v>3</v>
      </c>
      <c r="M3964" t="b">
        <v>0</v>
      </c>
      <c r="N3964" t="s">
        <v>8269</v>
      </c>
      <c r="O3964" s="11">
        <f t="shared" si="248"/>
        <v>3</v>
      </c>
      <c r="P3964" s="12">
        <f t="shared" si="249"/>
        <v>15</v>
      </c>
      <c r="Q3964" s="14" t="s">
        <v>8314</v>
      </c>
      <c r="R3964" t="s">
        <v>8315</v>
      </c>
      <c r="S3964" s="17">
        <f t="shared" si="250"/>
        <v>42311.621458333335</v>
      </c>
      <c r="T3964" s="17">
        <f t="shared" si="251"/>
        <v>42336.621458333335</v>
      </c>
      <c r="U3964">
        <f>MONTH(Table1[[#This Row],[Launched]])</f>
        <v>11</v>
      </c>
    </row>
    <row r="3965" spans="1:21" ht="57.6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8220</v>
      </c>
      <c r="G3965" t="s">
        <v>8228</v>
      </c>
      <c r="H3965" t="s">
        <v>8250</v>
      </c>
      <c r="I3965" s="8">
        <v>1447821717</v>
      </c>
      <c r="J3965">
        <v>1445226117</v>
      </c>
      <c r="K3965" t="b">
        <v>0</v>
      </c>
      <c r="L3965" s="10">
        <v>0</v>
      </c>
      <c r="M3965" t="b">
        <v>0</v>
      </c>
      <c r="N3965" t="s">
        <v>8269</v>
      </c>
      <c r="O3965" s="11">
        <f t="shared" si="248"/>
        <v>0</v>
      </c>
      <c r="P3965" s="12" t="str">
        <f t="shared" si="249"/>
        <v>No Backers</v>
      </c>
      <c r="Q3965" s="14" t="s">
        <v>8314</v>
      </c>
      <c r="R3965" t="s">
        <v>8315</v>
      </c>
      <c r="S3965" s="17">
        <f t="shared" si="250"/>
        <v>42296.154131944444</v>
      </c>
      <c r="T3965" s="17">
        <f t="shared" si="251"/>
        <v>42326.195798611108</v>
      </c>
      <c r="U3965">
        <f>MONTH(Table1[[#This Row],[Launched]])</f>
        <v>10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8220</v>
      </c>
      <c r="G3966" t="s">
        <v>8223</v>
      </c>
      <c r="H3966" t="s">
        <v>8245</v>
      </c>
      <c r="I3966" s="8">
        <v>1429460386</v>
      </c>
      <c r="J3966">
        <v>1424279986</v>
      </c>
      <c r="K3966" t="b">
        <v>0</v>
      </c>
      <c r="L3966" s="10">
        <v>3</v>
      </c>
      <c r="M3966" t="b">
        <v>0</v>
      </c>
      <c r="N3966" t="s">
        <v>8269</v>
      </c>
      <c r="O3966" s="11">
        <f t="shared" si="248"/>
        <v>6</v>
      </c>
      <c r="P3966" s="12">
        <f t="shared" si="249"/>
        <v>42</v>
      </c>
      <c r="Q3966" s="14" t="s">
        <v>8314</v>
      </c>
      <c r="R3966" t="s">
        <v>8315</v>
      </c>
      <c r="S3966" s="17">
        <f t="shared" si="250"/>
        <v>42053.722060185188</v>
      </c>
      <c r="T3966" s="17">
        <f t="shared" si="251"/>
        <v>42113.680393518516</v>
      </c>
      <c r="U3966">
        <f>MONTH(Table1[[#This Row],[Launched]])</f>
        <v>2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8220</v>
      </c>
      <c r="G3967" t="s">
        <v>8223</v>
      </c>
      <c r="H3967" t="s">
        <v>8245</v>
      </c>
      <c r="I3967" s="8">
        <v>1460608780</v>
      </c>
      <c r="J3967">
        <v>1455428380</v>
      </c>
      <c r="K3967" t="b">
        <v>0</v>
      </c>
      <c r="L3967" s="10">
        <v>4</v>
      </c>
      <c r="M3967" t="b">
        <v>0</v>
      </c>
      <c r="N3967" t="s">
        <v>8269</v>
      </c>
      <c r="O3967" s="11">
        <f t="shared" si="248"/>
        <v>14</v>
      </c>
      <c r="P3967" s="12">
        <f t="shared" si="249"/>
        <v>71</v>
      </c>
      <c r="Q3967" s="14" t="s">
        <v>8314</v>
      </c>
      <c r="R3967" t="s">
        <v>8315</v>
      </c>
      <c r="S3967" s="17">
        <f t="shared" si="250"/>
        <v>42414.235879629632</v>
      </c>
      <c r="T3967" s="17">
        <f t="shared" si="251"/>
        <v>42474.194212962961</v>
      </c>
      <c r="U3967">
        <f>MONTH(Table1[[#This Row],[Launched]])</f>
        <v>2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8220</v>
      </c>
      <c r="G3968" t="s">
        <v>8223</v>
      </c>
      <c r="H3968" t="s">
        <v>8245</v>
      </c>
      <c r="I3968" s="8">
        <v>1406170740</v>
      </c>
      <c r="J3968">
        <v>1402506278</v>
      </c>
      <c r="K3968" t="b">
        <v>0</v>
      </c>
      <c r="L3968" s="10">
        <v>2</v>
      </c>
      <c r="M3968" t="b">
        <v>0</v>
      </c>
      <c r="N3968" t="s">
        <v>8269</v>
      </c>
      <c r="O3968" s="11">
        <f t="shared" si="248"/>
        <v>1</v>
      </c>
      <c r="P3968" s="12">
        <f t="shared" si="249"/>
        <v>23</v>
      </c>
      <c r="Q3968" s="14" t="s">
        <v>8314</v>
      </c>
      <c r="R3968" t="s">
        <v>8315</v>
      </c>
      <c r="S3968" s="17">
        <f t="shared" si="250"/>
        <v>41801.711550925924</v>
      </c>
      <c r="T3968" s="17">
        <f t="shared" si="251"/>
        <v>41844.124305555553</v>
      </c>
      <c r="U3968">
        <f>MONTH(Table1[[#This Row],[Launched]])</f>
        <v>6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8220</v>
      </c>
      <c r="G3969" t="s">
        <v>8223</v>
      </c>
      <c r="H3969" t="s">
        <v>8245</v>
      </c>
      <c r="I3969" s="8">
        <v>1488783507</v>
      </c>
      <c r="J3969">
        <v>1486191507</v>
      </c>
      <c r="K3969" t="b">
        <v>0</v>
      </c>
      <c r="L3969" s="10">
        <v>10</v>
      </c>
      <c r="M3969" t="b">
        <v>0</v>
      </c>
      <c r="N3969" t="s">
        <v>8269</v>
      </c>
      <c r="O3969" s="11">
        <f t="shared" si="248"/>
        <v>24</v>
      </c>
      <c r="P3969" s="12">
        <f t="shared" si="249"/>
        <v>41</v>
      </c>
      <c r="Q3969" s="14" t="s">
        <v>8314</v>
      </c>
      <c r="R3969" t="s">
        <v>8315</v>
      </c>
      <c r="S3969" s="17">
        <f t="shared" si="250"/>
        <v>42770.290590277778</v>
      </c>
      <c r="T3969" s="17">
        <f t="shared" si="251"/>
        <v>42800.290590277778</v>
      </c>
      <c r="U3969">
        <f>MONTH(Table1[[#This Row],[Launched]])</f>
        <v>2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8220</v>
      </c>
      <c r="G3970" t="s">
        <v>8223</v>
      </c>
      <c r="H3970" t="s">
        <v>8245</v>
      </c>
      <c r="I3970" s="8">
        <v>1463945673</v>
      </c>
      <c r="J3970">
        <v>1458761673</v>
      </c>
      <c r="K3970" t="b">
        <v>0</v>
      </c>
      <c r="L3970" s="10">
        <v>11</v>
      </c>
      <c r="M3970" t="b">
        <v>0</v>
      </c>
      <c r="N3970" t="s">
        <v>8269</v>
      </c>
      <c r="O3970" s="11">
        <f t="shared" ref="O3970:O4033" si="252">ROUND(E3970/D3970*100,0)</f>
        <v>11</v>
      </c>
      <c r="P3970" s="12">
        <f t="shared" si="249"/>
        <v>48</v>
      </c>
      <c r="Q3970" s="14" t="s">
        <v>8314</v>
      </c>
      <c r="R3970" t="s">
        <v>8315</v>
      </c>
      <c r="S3970" s="17">
        <f t="shared" si="250"/>
        <v>42452.815659722226</v>
      </c>
      <c r="T3970" s="17">
        <f t="shared" si="251"/>
        <v>42512.815659722226</v>
      </c>
      <c r="U3970">
        <f>MONTH(Table1[[#This Row],[Launched]])</f>
        <v>3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8220</v>
      </c>
      <c r="G3971" t="s">
        <v>8223</v>
      </c>
      <c r="H3971" t="s">
        <v>8245</v>
      </c>
      <c r="I3971" s="8">
        <v>1472442900</v>
      </c>
      <c r="J3971">
        <v>1471638646</v>
      </c>
      <c r="K3971" t="b">
        <v>0</v>
      </c>
      <c r="L3971" s="10">
        <v>6</v>
      </c>
      <c r="M3971" t="b">
        <v>0</v>
      </c>
      <c r="N3971" t="s">
        <v>8269</v>
      </c>
      <c r="O3971" s="11">
        <f t="shared" si="252"/>
        <v>7</v>
      </c>
      <c r="P3971" s="12">
        <f t="shared" ref="P3971:P4034" si="253">IFERROR(ROUND(E3971/L3971,),"No Backers")</f>
        <v>35</v>
      </c>
      <c r="Q3971" s="14" t="s">
        <v>8314</v>
      </c>
      <c r="R3971" t="s">
        <v>8315</v>
      </c>
      <c r="S3971" s="17">
        <f t="shared" ref="S3971:S4034" si="254">(((J3971/60)/60)/24)+DATE(1970,1,1)</f>
        <v>42601.854699074072</v>
      </c>
      <c r="T3971" s="17">
        <f t="shared" ref="T3971:T4034" si="255">(((I3971/60)/60)/24)+DATE(1970,1,1)</f>
        <v>42611.163194444445</v>
      </c>
      <c r="U3971">
        <f>MONTH(Table1[[#This Row],[Launched]])</f>
        <v>8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8220</v>
      </c>
      <c r="G3972" t="s">
        <v>8223</v>
      </c>
      <c r="H3972" t="s">
        <v>8245</v>
      </c>
      <c r="I3972" s="8">
        <v>1460925811</v>
      </c>
      <c r="J3972">
        <v>1458333811</v>
      </c>
      <c r="K3972" t="b">
        <v>0</v>
      </c>
      <c r="L3972" s="10">
        <v>2</v>
      </c>
      <c r="M3972" t="b">
        <v>0</v>
      </c>
      <c r="N3972" t="s">
        <v>8269</v>
      </c>
      <c r="O3972" s="11">
        <f t="shared" si="252"/>
        <v>0</v>
      </c>
      <c r="P3972" s="12">
        <f t="shared" si="253"/>
        <v>6</v>
      </c>
      <c r="Q3972" s="14" t="s">
        <v>8314</v>
      </c>
      <c r="R3972" t="s">
        <v>8315</v>
      </c>
      <c r="S3972" s="17">
        <f t="shared" si="254"/>
        <v>42447.863553240735</v>
      </c>
      <c r="T3972" s="17">
        <f t="shared" si="255"/>
        <v>42477.863553240735</v>
      </c>
      <c r="U3972">
        <f>MONTH(Table1[[#This Row],[Launched]])</f>
        <v>3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 s="8">
        <v>1405947126</v>
      </c>
      <c r="J3973">
        <v>1403355126</v>
      </c>
      <c r="K3973" t="b">
        <v>0</v>
      </c>
      <c r="L3973" s="10">
        <v>6</v>
      </c>
      <c r="M3973" t="b">
        <v>0</v>
      </c>
      <c r="N3973" t="s">
        <v>8269</v>
      </c>
      <c r="O3973" s="11">
        <f t="shared" si="252"/>
        <v>1</v>
      </c>
      <c r="P3973" s="12">
        <f t="shared" si="253"/>
        <v>23</v>
      </c>
      <c r="Q3973" s="14" t="s">
        <v>8314</v>
      </c>
      <c r="R3973" t="s">
        <v>8315</v>
      </c>
      <c r="S3973" s="17">
        <f t="shared" si="254"/>
        <v>41811.536180555559</v>
      </c>
      <c r="T3973" s="17">
        <f t="shared" si="255"/>
        <v>41841.536180555559</v>
      </c>
      <c r="U3973">
        <f>MONTH(Table1[[#This Row],[Launched]])</f>
        <v>6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8220</v>
      </c>
      <c r="G3974" t="s">
        <v>8223</v>
      </c>
      <c r="H3974" t="s">
        <v>8245</v>
      </c>
      <c r="I3974" s="8">
        <v>1423186634</v>
      </c>
      <c r="J3974">
        <v>1418002634</v>
      </c>
      <c r="K3974" t="b">
        <v>0</v>
      </c>
      <c r="L3974" s="10">
        <v>8</v>
      </c>
      <c r="M3974" t="b">
        <v>0</v>
      </c>
      <c r="N3974" t="s">
        <v>8269</v>
      </c>
      <c r="O3974" s="11">
        <f t="shared" si="252"/>
        <v>21</v>
      </c>
      <c r="P3974" s="12">
        <f t="shared" si="253"/>
        <v>26</v>
      </c>
      <c r="Q3974" s="14" t="s">
        <v>8314</v>
      </c>
      <c r="R3974" t="s">
        <v>8315</v>
      </c>
      <c r="S3974" s="17">
        <f t="shared" si="254"/>
        <v>41981.067523148144</v>
      </c>
      <c r="T3974" s="17">
        <f t="shared" si="255"/>
        <v>42041.067523148144</v>
      </c>
      <c r="U3974">
        <f>MONTH(Table1[[#This Row],[Launched]])</f>
        <v>12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 s="8">
        <v>1462766400</v>
      </c>
      <c r="J3975">
        <v>1460219110</v>
      </c>
      <c r="K3975" t="b">
        <v>0</v>
      </c>
      <c r="L3975" s="10">
        <v>37</v>
      </c>
      <c r="M3975" t="b">
        <v>0</v>
      </c>
      <c r="N3975" t="s">
        <v>8269</v>
      </c>
      <c r="O3975" s="11">
        <f t="shared" si="252"/>
        <v>78</v>
      </c>
      <c r="P3975" s="12">
        <f t="shared" si="253"/>
        <v>106</v>
      </c>
      <c r="Q3975" s="14" t="s">
        <v>8314</v>
      </c>
      <c r="R3975" t="s">
        <v>8315</v>
      </c>
      <c r="S3975" s="17">
        <f t="shared" si="254"/>
        <v>42469.68414351852</v>
      </c>
      <c r="T3975" s="17">
        <f t="shared" si="255"/>
        <v>42499.166666666672</v>
      </c>
      <c r="U3975">
        <f>MONTH(Table1[[#This Row],[Launched]])</f>
        <v>4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8220</v>
      </c>
      <c r="G3976" t="s">
        <v>8224</v>
      </c>
      <c r="H3976" t="s">
        <v>8246</v>
      </c>
      <c r="I3976" s="8">
        <v>1464872848</v>
      </c>
      <c r="J3976">
        <v>1462280848</v>
      </c>
      <c r="K3976" t="b">
        <v>0</v>
      </c>
      <c r="L3976" s="10">
        <v>11</v>
      </c>
      <c r="M3976" t="b">
        <v>0</v>
      </c>
      <c r="N3976" t="s">
        <v>8269</v>
      </c>
      <c r="O3976" s="11">
        <f t="shared" si="252"/>
        <v>32</v>
      </c>
      <c r="P3976" s="12">
        <f t="shared" si="253"/>
        <v>29</v>
      </c>
      <c r="Q3976" s="14" t="s">
        <v>8314</v>
      </c>
      <c r="R3976" t="s">
        <v>8315</v>
      </c>
      <c r="S3976" s="17">
        <f t="shared" si="254"/>
        <v>42493.546851851846</v>
      </c>
      <c r="T3976" s="17">
        <f t="shared" si="255"/>
        <v>42523.546851851846</v>
      </c>
      <c r="U3976">
        <f>MONTH(Table1[[#This Row],[Launched]])</f>
        <v>5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8220</v>
      </c>
      <c r="G3977" t="s">
        <v>8223</v>
      </c>
      <c r="H3977" t="s">
        <v>8245</v>
      </c>
      <c r="I3977" s="8">
        <v>1468442898</v>
      </c>
      <c r="J3977">
        <v>1465850898</v>
      </c>
      <c r="K3977" t="b">
        <v>0</v>
      </c>
      <c r="L3977" s="10">
        <v>0</v>
      </c>
      <c r="M3977" t="b">
        <v>0</v>
      </c>
      <c r="N3977" t="s">
        <v>8269</v>
      </c>
      <c r="O3977" s="11">
        <f t="shared" si="252"/>
        <v>0</v>
      </c>
      <c r="P3977" s="12" t="str">
        <f t="shared" si="253"/>
        <v>No Backers</v>
      </c>
      <c r="Q3977" s="14" t="s">
        <v>8314</v>
      </c>
      <c r="R3977" t="s">
        <v>8315</v>
      </c>
      <c r="S3977" s="17">
        <f t="shared" si="254"/>
        <v>42534.866875</v>
      </c>
      <c r="T3977" s="17">
        <f t="shared" si="255"/>
        <v>42564.866875</v>
      </c>
      <c r="U3977">
        <f>MONTH(Table1[[#This Row],[Launched]])</f>
        <v>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8220</v>
      </c>
      <c r="G3978" t="s">
        <v>8223</v>
      </c>
      <c r="H3978" t="s">
        <v>8245</v>
      </c>
      <c r="I3978" s="8">
        <v>1406876400</v>
      </c>
      <c r="J3978">
        <v>1405024561</v>
      </c>
      <c r="K3978" t="b">
        <v>0</v>
      </c>
      <c r="L3978" s="10">
        <v>10</v>
      </c>
      <c r="M3978" t="b">
        <v>0</v>
      </c>
      <c r="N3978" t="s">
        <v>8269</v>
      </c>
      <c r="O3978" s="11">
        <f t="shared" si="252"/>
        <v>48</v>
      </c>
      <c r="P3978" s="12">
        <f t="shared" si="253"/>
        <v>62</v>
      </c>
      <c r="Q3978" s="14" t="s">
        <v>8314</v>
      </c>
      <c r="R3978" t="s">
        <v>8315</v>
      </c>
      <c r="S3978" s="17">
        <f t="shared" si="254"/>
        <v>41830.858344907407</v>
      </c>
      <c r="T3978" s="17">
        <f t="shared" si="255"/>
        <v>41852.291666666664</v>
      </c>
      <c r="U3978">
        <f>MONTH(Table1[[#This Row],[Launched]])</f>
        <v>7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 s="8">
        <v>1469213732</v>
      </c>
      <c r="J3979">
        <v>1466621732</v>
      </c>
      <c r="K3979" t="b">
        <v>0</v>
      </c>
      <c r="L3979" s="10">
        <v>6</v>
      </c>
      <c r="M3979" t="b">
        <v>0</v>
      </c>
      <c r="N3979" t="s">
        <v>8269</v>
      </c>
      <c r="O3979" s="11">
        <f t="shared" si="252"/>
        <v>1</v>
      </c>
      <c r="P3979" s="12">
        <f t="shared" si="253"/>
        <v>218</v>
      </c>
      <c r="Q3979" s="14" t="s">
        <v>8314</v>
      </c>
      <c r="R3979" t="s">
        <v>8315</v>
      </c>
      <c r="S3979" s="17">
        <f t="shared" si="254"/>
        <v>42543.788564814815</v>
      </c>
      <c r="T3979" s="17">
        <f t="shared" si="255"/>
        <v>42573.788564814815</v>
      </c>
      <c r="U3979">
        <f>MONTH(Table1[[#This Row],[Launched]])</f>
        <v>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8220</v>
      </c>
      <c r="G3980" t="s">
        <v>8223</v>
      </c>
      <c r="H3980" t="s">
        <v>8245</v>
      </c>
      <c r="I3980" s="8">
        <v>1422717953</v>
      </c>
      <c r="J3980">
        <v>1417533953</v>
      </c>
      <c r="K3980" t="b">
        <v>0</v>
      </c>
      <c r="L3980" s="10">
        <v>8</v>
      </c>
      <c r="M3980" t="b">
        <v>0</v>
      </c>
      <c r="N3980" t="s">
        <v>8269</v>
      </c>
      <c r="O3980" s="11">
        <f t="shared" si="252"/>
        <v>11</v>
      </c>
      <c r="P3980" s="12">
        <f t="shared" si="253"/>
        <v>27</v>
      </c>
      <c r="Q3980" s="14" t="s">
        <v>8314</v>
      </c>
      <c r="R3980" t="s">
        <v>8315</v>
      </c>
      <c r="S3980" s="17">
        <f t="shared" si="254"/>
        <v>41975.642974537041</v>
      </c>
      <c r="T3980" s="17">
        <f t="shared" si="255"/>
        <v>42035.642974537041</v>
      </c>
      <c r="U3980">
        <f>MONTH(Table1[[#This Row],[Launched]])</f>
        <v>12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8220</v>
      </c>
      <c r="G3981" t="s">
        <v>8224</v>
      </c>
      <c r="H3981" t="s">
        <v>8246</v>
      </c>
      <c r="I3981" s="8">
        <v>1427659200</v>
      </c>
      <c r="J3981">
        <v>1425678057</v>
      </c>
      <c r="K3981" t="b">
        <v>0</v>
      </c>
      <c r="L3981" s="10">
        <v>6</v>
      </c>
      <c r="M3981" t="b">
        <v>0</v>
      </c>
      <c r="N3981" t="s">
        <v>8269</v>
      </c>
      <c r="O3981" s="11">
        <f t="shared" si="252"/>
        <v>2</v>
      </c>
      <c r="P3981" s="12">
        <f t="shared" si="253"/>
        <v>18</v>
      </c>
      <c r="Q3981" s="14" t="s">
        <v>8314</v>
      </c>
      <c r="R3981" t="s">
        <v>8315</v>
      </c>
      <c r="S3981" s="17">
        <f t="shared" si="254"/>
        <v>42069.903437500005</v>
      </c>
      <c r="T3981" s="17">
        <f t="shared" si="255"/>
        <v>42092.833333333328</v>
      </c>
      <c r="U3981">
        <f>MONTH(Table1[[#This Row],[Launched]])</f>
        <v>3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8220</v>
      </c>
      <c r="G3982" t="s">
        <v>8223</v>
      </c>
      <c r="H3982" t="s">
        <v>8245</v>
      </c>
      <c r="I3982" s="8">
        <v>1404570147</v>
      </c>
      <c r="J3982">
        <v>1401978147</v>
      </c>
      <c r="K3982" t="b">
        <v>0</v>
      </c>
      <c r="L3982" s="10">
        <v>7</v>
      </c>
      <c r="M3982" t="b">
        <v>0</v>
      </c>
      <c r="N3982" t="s">
        <v>8269</v>
      </c>
      <c r="O3982" s="11">
        <f t="shared" si="252"/>
        <v>18</v>
      </c>
      <c r="P3982" s="12">
        <f t="shared" si="253"/>
        <v>64</v>
      </c>
      <c r="Q3982" s="14" t="s">
        <v>8314</v>
      </c>
      <c r="R3982" t="s">
        <v>8315</v>
      </c>
      <c r="S3982" s="17">
        <f t="shared" si="254"/>
        <v>41795.598923611113</v>
      </c>
      <c r="T3982" s="17">
        <f t="shared" si="255"/>
        <v>41825.598923611113</v>
      </c>
      <c r="U3982">
        <f>MONTH(Table1[[#This Row],[Launched]])</f>
        <v>6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 s="8">
        <v>1468729149</v>
      </c>
      <c r="J3983">
        <v>1463545149</v>
      </c>
      <c r="K3983" t="b">
        <v>0</v>
      </c>
      <c r="L3983" s="10">
        <v>7</v>
      </c>
      <c r="M3983" t="b">
        <v>0</v>
      </c>
      <c r="N3983" t="s">
        <v>8269</v>
      </c>
      <c r="O3983" s="11">
        <f t="shared" si="252"/>
        <v>4</v>
      </c>
      <c r="P3983" s="12">
        <f t="shared" si="253"/>
        <v>175</v>
      </c>
      <c r="Q3983" s="14" t="s">
        <v>8314</v>
      </c>
      <c r="R3983" t="s">
        <v>8315</v>
      </c>
      <c r="S3983" s="17">
        <f t="shared" si="254"/>
        <v>42508.179965277777</v>
      </c>
      <c r="T3983" s="17">
        <f t="shared" si="255"/>
        <v>42568.179965277777</v>
      </c>
      <c r="U3983">
        <f>MONTH(Table1[[#This Row],[Launched]])</f>
        <v>5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8220</v>
      </c>
      <c r="G3984" t="s">
        <v>8224</v>
      </c>
      <c r="H3984" t="s">
        <v>8246</v>
      </c>
      <c r="I3984" s="8">
        <v>1436297180</v>
      </c>
      <c r="J3984">
        <v>1431113180</v>
      </c>
      <c r="K3984" t="b">
        <v>0</v>
      </c>
      <c r="L3984" s="10">
        <v>5</v>
      </c>
      <c r="M3984" t="b">
        <v>0</v>
      </c>
      <c r="N3984" t="s">
        <v>8269</v>
      </c>
      <c r="O3984" s="11">
        <f t="shared" si="252"/>
        <v>20</v>
      </c>
      <c r="P3984" s="12">
        <f t="shared" si="253"/>
        <v>34</v>
      </c>
      <c r="Q3984" s="14" t="s">
        <v>8314</v>
      </c>
      <c r="R3984" t="s">
        <v>8315</v>
      </c>
      <c r="S3984" s="17">
        <f t="shared" si="254"/>
        <v>42132.809953703705</v>
      </c>
      <c r="T3984" s="17">
        <f t="shared" si="255"/>
        <v>42192.809953703705</v>
      </c>
      <c r="U3984">
        <f>MONTH(Table1[[#This Row],[Launched]])</f>
        <v>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 s="8">
        <v>1400569140</v>
      </c>
      <c r="J3985">
        <v>1397854356</v>
      </c>
      <c r="K3985" t="b">
        <v>0</v>
      </c>
      <c r="L3985" s="10">
        <v>46</v>
      </c>
      <c r="M3985" t="b">
        <v>0</v>
      </c>
      <c r="N3985" t="s">
        <v>8269</v>
      </c>
      <c r="O3985" s="11">
        <f t="shared" si="252"/>
        <v>35</v>
      </c>
      <c r="P3985" s="12">
        <f t="shared" si="253"/>
        <v>84</v>
      </c>
      <c r="Q3985" s="14" t="s">
        <v>8314</v>
      </c>
      <c r="R3985" t="s">
        <v>8315</v>
      </c>
      <c r="S3985" s="17">
        <f t="shared" si="254"/>
        <v>41747.86986111111</v>
      </c>
      <c r="T3985" s="17">
        <f t="shared" si="255"/>
        <v>41779.290972222225</v>
      </c>
      <c r="U3985">
        <f>MONTH(Table1[[#This Row],[Launched]])</f>
        <v>4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8220</v>
      </c>
      <c r="G3986" t="s">
        <v>8224</v>
      </c>
      <c r="H3986" t="s">
        <v>8246</v>
      </c>
      <c r="I3986" s="8">
        <v>1415404800</v>
      </c>
      <c r="J3986">
        <v>1412809644</v>
      </c>
      <c r="K3986" t="b">
        <v>0</v>
      </c>
      <c r="L3986" s="10">
        <v>10</v>
      </c>
      <c r="M3986" t="b">
        <v>0</v>
      </c>
      <c r="N3986" t="s">
        <v>8269</v>
      </c>
      <c r="O3986" s="11">
        <f t="shared" si="252"/>
        <v>6</v>
      </c>
      <c r="P3986" s="12">
        <f t="shared" si="253"/>
        <v>10</v>
      </c>
      <c r="Q3986" s="14" t="s">
        <v>8314</v>
      </c>
      <c r="R3986" t="s">
        <v>8315</v>
      </c>
      <c r="S3986" s="17">
        <f t="shared" si="254"/>
        <v>41920.963472222218</v>
      </c>
      <c r="T3986" s="17">
        <f t="shared" si="255"/>
        <v>41951</v>
      </c>
      <c r="U3986">
        <f>MONTH(Table1[[#This Row],[Launched]])</f>
        <v>10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8220</v>
      </c>
      <c r="G3987" t="s">
        <v>8223</v>
      </c>
      <c r="H3987" t="s">
        <v>8245</v>
      </c>
      <c r="I3987" s="8">
        <v>1456002300</v>
      </c>
      <c r="J3987">
        <v>1454173120</v>
      </c>
      <c r="K3987" t="b">
        <v>0</v>
      </c>
      <c r="L3987" s="10">
        <v>19</v>
      </c>
      <c r="M3987" t="b">
        <v>0</v>
      </c>
      <c r="N3987" t="s">
        <v>8269</v>
      </c>
      <c r="O3987" s="11">
        <f t="shared" si="252"/>
        <v>32</v>
      </c>
      <c r="P3987" s="12">
        <f t="shared" si="253"/>
        <v>34</v>
      </c>
      <c r="Q3987" s="14" t="s">
        <v>8314</v>
      </c>
      <c r="R3987" t="s">
        <v>8315</v>
      </c>
      <c r="S3987" s="17">
        <f t="shared" si="254"/>
        <v>42399.707407407404</v>
      </c>
      <c r="T3987" s="17">
        <f t="shared" si="255"/>
        <v>42420.878472222219</v>
      </c>
      <c r="U3987">
        <f>MONTH(Table1[[#This Row],[Launched]])</f>
        <v>1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8220</v>
      </c>
      <c r="G3988" t="s">
        <v>8224</v>
      </c>
      <c r="H3988" t="s">
        <v>8246</v>
      </c>
      <c r="I3988" s="8">
        <v>1462539840</v>
      </c>
      <c r="J3988">
        <v>1460034594</v>
      </c>
      <c r="K3988" t="b">
        <v>0</v>
      </c>
      <c r="L3988" s="10">
        <v>13</v>
      </c>
      <c r="M3988" t="b">
        <v>0</v>
      </c>
      <c r="N3988" t="s">
        <v>8269</v>
      </c>
      <c r="O3988" s="11">
        <f t="shared" si="252"/>
        <v>10</v>
      </c>
      <c r="P3988" s="12">
        <f t="shared" si="253"/>
        <v>38</v>
      </c>
      <c r="Q3988" s="14" t="s">
        <v>8314</v>
      </c>
      <c r="R3988" t="s">
        <v>8315</v>
      </c>
      <c r="S3988" s="17">
        <f t="shared" si="254"/>
        <v>42467.548541666663</v>
      </c>
      <c r="T3988" s="17">
        <f t="shared" si="255"/>
        <v>42496.544444444444</v>
      </c>
      <c r="U3988">
        <f>MONTH(Table1[[#This Row],[Launched]])</f>
        <v>4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8220</v>
      </c>
      <c r="G3989" t="s">
        <v>8224</v>
      </c>
      <c r="H3989" t="s">
        <v>8246</v>
      </c>
      <c r="I3989" s="8">
        <v>1400278290</v>
      </c>
      <c r="J3989">
        <v>1399414290</v>
      </c>
      <c r="K3989" t="b">
        <v>0</v>
      </c>
      <c r="L3989" s="10">
        <v>13</v>
      </c>
      <c r="M3989" t="b">
        <v>0</v>
      </c>
      <c r="N3989" t="s">
        <v>8269</v>
      </c>
      <c r="O3989" s="11">
        <f t="shared" si="252"/>
        <v>38</v>
      </c>
      <c r="P3989" s="12">
        <f t="shared" si="253"/>
        <v>12</v>
      </c>
      <c r="Q3989" s="14" t="s">
        <v>8314</v>
      </c>
      <c r="R3989" t="s">
        <v>8315</v>
      </c>
      <c r="S3989" s="17">
        <f t="shared" si="254"/>
        <v>41765.92465277778</v>
      </c>
      <c r="T3989" s="17">
        <f t="shared" si="255"/>
        <v>41775.92465277778</v>
      </c>
      <c r="U3989">
        <f>MONTH(Table1[[#This Row],[Launched]])</f>
        <v>5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8220</v>
      </c>
      <c r="G3990" t="s">
        <v>8223</v>
      </c>
      <c r="H3990" t="s">
        <v>8245</v>
      </c>
      <c r="I3990" s="8">
        <v>1440813413</v>
      </c>
      <c r="J3990">
        <v>1439517413</v>
      </c>
      <c r="K3990" t="b">
        <v>0</v>
      </c>
      <c r="L3990" s="10">
        <v>4</v>
      </c>
      <c r="M3990" t="b">
        <v>0</v>
      </c>
      <c r="N3990" t="s">
        <v>8269</v>
      </c>
      <c r="O3990" s="11">
        <f t="shared" si="252"/>
        <v>2</v>
      </c>
      <c r="P3990" s="12">
        <f t="shared" si="253"/>
        <v>8</v>
      </c>
      <c r="Q3990" s="14" t="s">
        <v>8314</v>
      </c>
      <c r="R3990" t="s">
        <v>8315</v>
      </c>
      <c r="S3990" s="17">
        <f t="shared" si="254"/>
        <v>42230.08116898148</v>
      </c>
      <c r="T3990" s="17">
        <f t="shared" si="255"/>
        <v>42245.08116898148</v>
      </c>
      <c r="U3990">
        <f>MONTH(Table1[[#This Row],[Launched]])</f>
        <v>8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8220</v>
      </c>
      <c r="G3991" t="s">
        <v>8223</v>
      </c>
      <c r="H3991" t="s">
        <v>8245</v>
      </c>
      <c r="I3991" s="8">
        <v>1447009181</v>
      </c>
      <c r="J3991">
        <v>1444413581</v>
      </c>
      <c r="K3991" t="b">
        <v>0</v>
      </c>
      <c r="L3991" s="10">
        <v>0</v>
      </c>
      <c r="M3991" t="b">
        <v>0</v>
      </c>
      <c r="N3991" t="s">
        <v>8269</v>
      </c>
      <c r="O3991" s="11">
        <f t="shared" si="252"/>
        <v>0</v>
      </c>
      <c r="P3991" s="12" t="str">
        <f t="shared" si="253"/>
        <v>No Backers</v>
      </c>
      <c r="Q3991" s="14" t="s">
        <v>8314</v>
      </c>
      <c r="R3991" t="s">
        <v>8315</v>
      </c>
      <c r="S3991" s="17">
        <f t="shared" si="254"/>
        <v>42286.749780092592</v>
      </c>
      <c r="T3991" s="17">
        <f t="shared" si="255"/>
        <v>42316.791446759264</v>
      </c>
      <c r="U3991">
        <f>MONTH(Table1[[#This Row],[Launched]])</f>
        <v>10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8220</v>
      </c>
      <c r="G3992" t="s">
        <v>8224</v>
      </c>
      <c r="H3992" t="s">
        <v>8246</v>
      </c>
      <c r="I3992" s="8">
        <v>1456934893</v>
      </c>
      <c r="J3992">
        <v>1454342893</v>
      </c>
      <c r="K3992" t="b">
        <v>0</v>
      </c>
      <c r="L3992" s="10">
        <v>3</v>
      </c>
      <c r="M3992" t="b">
        <v>0</v>
      </c>
      <c r="N3992" t="s">
        <v>8269</v>
      </c>
      <c r="O3992" s="11">
        <f t="shared" si="252"/>
        <v>4</v>
      </c>
      <c r="P3992" s="12">
        <f t="shared" si="253"/>
        <v>23</v>
      </c>
      <c r="Q3992" s="14" t="s">
        <v>8314</v>
      </c>
      <c r="R3992" t="s">
        <v>8315</v>
      </c>
      <c r="S3992" s="17">
        <f t="shared" si="254"/>
        <v>42401.672372685185</v>
      </c>
      <c r="T3992" s="17">
        <f t="shared" si="255"/>
        <v>42431.672372685185</v>
      </c>
      <c r="U3992">
        <f>MONTH(Table1[[#This Row],[Launched]])</f>
        <v>2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8220</v>
      </c>
      <c r="G3993" t="s">
        <v>8223</v>
      </c>
      <c r="H3993" t="s">
        <v>8245</v>
      </c>
      <c r="I3993" s="8">
        <v>1433086082</v>
      </c>
      <c r="J3993">
        <v>1430494082</v>
      </c>
      <c r="K3993" t="b">
        <v>0</v>
      </c>
      <c r="L3993" s="10">
        <v>1</v>
      </c>
      <c r="M3993" t="b">
        <v>0</v>
      </c>
      <c r="N3993" t="s">
        <v>8269</v>
      </c>
      <c r="O3993" s="11">
        <f t="shared" si="252"/>
        <v>20</v>
      </c>
      <c r="P3993" s="12">
        <f t="shared" si="253"/>
        <v>100</v>
      </c>
      <c r="Q3993" s="14" t="s">
        <v>8314</v>
      </c>
      <c r="R3993" t="s">
        <v>8315</v>
      </c>
      <c r="S3993" s="17">
        <f t="shared" si="254"/>
        <v>42125.644467592589</v>
      </c>
      <c r="T3993" s="17">
        <f t="shared" si="255"/>
        <v>42155.644467592589</v>
      </c>
      <c r="U3993">
        <f>MONTH(Table1[[#This Row],[Launched]])</f>
        <v>5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 s="8">
        <v>1449876859</v>
      </c>
      <c r="J3994">
        <v>1444689259</v>
      </c>
      <c r="K3994" t="b">
        <v>0</v>
      </c>
      <c r="L3994" s="10">
        <v>9</v>
      </c>
      <c r="M3994" t="b">
        <v>0</v>
      </c>
      <c r="N3994" t="s">
        <v>8269</v>
      </c>
      <c r="O3994" s="11">
        <f t="shared" si="252"/>
        <v>5</v>
      </c>
      <c r="P3994" s="12">
        <f t="shared" si="253"/>
        <v>60</v>
      </c>
      <c r="Q3994" s="14" t="s">
        <v>8314</v>
      </c>
      <c r="R3994" t="s">
        <v>8315</v>
      </c>
      <c r="S3994" s="17">
        <f t="shared" si="254"/>
        <v>42289.94049768518</v>
      </c>
      <c r="T3994" s="17">
        <f t="shared" si="255"/>
        <v>42349.982164351852</v>
      </c>
      <c r="U3994">
        <f>MONTH(Table1[[#This Row],[Launched]])</f>
        <v>10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8220</v>
      </c>
      <c r="G3995" t="s">
        <v>8223</v>
      </c>
      <c r="H3995" t="s">
        <v>8245</v>
      </c>
      <c r="I3995" s="8">
        <v>1431549912</v>
      </c>
      <c r="J3995">
        <v>1428957912</v>
      </c>
      <c r="K3995" t="b">
        <v>0</v>
      </c>
      <c r="L3995" s="10">
        <v>1</v>
      </c>
      <c r="M3995" t="b">
        <v>0</v>
      </c>
      <c r="N3995" t="s">
        <v>8269</v>
      </c>
      <c r="O3995" s="11">
        <f t="shared" si="252"/>
        <v>0</v>
      </c>
      <c r="P3995" s="12">
        <f t="shared" si="253"/>
        <v>3</v>
      </c>
      <c r="Q3995" s="14" t="s">
        <v>8314</v>
      </c>
      <c r="R3995" t="s">
        <v>8315</v>
      </c>
      <c r="S3995" s="17">
        <f t="shared" si="254"/>
        <v>42107.864722222221</v>
      </c>
      <c r="T3995" s="17">
        <f t="shared" si="255"/>
        <v>42137.864722222221</v>
      </c>
      <c r="U3995">
        <f>MONTH(Table1[[#This Row],[Launched]])</f>
        <v>4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8220</v>
      </c>
      <c r="G3996" t="s">
        <v>8223</v>
      </c>
      <c r="H3996" t="s">
        <v>8245</v>
      </c>
      <c r="I3996" s="8">
        <v>1405761690</v>
      </c>
      <c r="J3996">
        <v>1403169690</v>
      </c>
      <c r="K3996" t="b">
        <v>0</v>
      </c>
      <c r="L3996" s="10">
        <v>1</v>
      </c>
      <c r="M3996" t="b">
        <v>0</v>
      </c>
      <c r="N3996" t="s">
        <v>8269</v>
      </c>
      <c r="O3996" s="11">
        <f t="shared" si="252"/>
        <v>0</v>
      </c>
      <c r="P3996" s="12">
        <f t="shared" si="253"/>
        <v>5</v>
      </c>
      <c r="Q3996" s="14" t="s">
        <v>8314</v>
      </c>
      <c r="R3996" t="s">
        <v>8315</v>
      </c>
      <c r="S3996" s="17">
        <f t="shared" si="254"/>
        <v>41809.389930555553</v>
      </c>
      <c r="T3996" s="17">
        <f t="shared" si="255"/>
        <v>41839.389930555553</v>
      </c>
      <c r="U3996">
        <f>MONTH(Table1[[#This Row],[Launched]])</f>
        <v>6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8220</v>
      </c>
      <c r="G3997" t="s">
        <v>8224</v>
      </c>
      <c r="H3997" t="s">
        <v>8246</v>
      </c>
      <c r="I3997" s="8">
        <v>1423913220</v>
      </c>
      <c r="J3997">
        <v>1421339077</v>
      </c>
      <c r="K3997" t="b">
        <v>0</v>
      </c>
      <c r="L3997" s="10">
        <v>4</v>
      </c>
      <c r="M3997" t="b">
        <v>0</v>
      </c>
      <c r="N3997" t="s">
        <v>8269</v>
      </c>
      <c r="O3997" s="11">
        <f t="shared" si="252"/>
        <v>35</v>
      </c>
      <c r="P3997" s="12">
        <f t="shared" si="253"/>
        <v>18</v>
      </c>
      <c r="Q3997" s="14" t="s">
        <v>8314</v>
      </c>
      <c r="R3997" t="s">
        <v>8315</v>
      </c>
      <c r="S3997" s="17">
        <f t="shared" si="254"/>
        <v>42019.683761574073</v>
      </c>
      <c r="T3997" s="17">
        <f t="shared" si="255"/>
        <v>42049.477083333331</v>
      </c>
      <c r="U3997">
        <f>MONTH(Table1[[#This Row],[Launched]])</f>
        <v>1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8220</v>
      </c>
      <c r="G3998" t="s">
        <v>8223</v>
      </c>
      <c r="H3998" t="s">
        <v>8245</v>
      </c>
      <c r="I3998" s="8">
        <v>1416499440</v>
      </c>
      <c r="J3998">
        <v>1415341464</v>
      </c>
      <c r="K3998" t="b">
        <v>0</v>
      </c>
      <c r="L3998" s="10">
        <v>17</v>
      </c>
      <c r="M3998" t="b">
        <v>0</v>
      </c>
      <c r="N3998" t="s">
        <v>8269</v>
      </c>
      <c r="O3998" s="11">
        <f t="shared" si="252"/>
        <v>17</v>
      </c>
      <c r="P3998" s="12">
        <f t="shared" si="253"/>
        <v>29</v>
      </c>
      <c r="Q3998" s="14" t="s">
        <v>8314</v>
      </c>
      <c r="R3998" t="s">
        <v>8315</v>
      </c>
      <c r="S3998" s="17">
        <f t="shared" si="254"/>
        <v>41950.26694444444</v>
      </c>
      <c r="T3998" s="17">
        <f t="shared" si="255"/>
        <v>41963.669444444444</v>
      </c>
      <c r="U3998">
        <f>MONTH(Table1[[#This Row],[Launched]])</f>
        <v>11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8220</v>
      </c>
      <c r="G3999" t="s">
        <v>8224</v>
      </c>
      <c r="H3999" t="s">
        <v>8246</v>
      </c>
      <c r="I3999" s="8">
        <v>1428222221</v>
      </c>
      <c r="J3999">
        <v>1425633821</v>
      </c>
      <c r="K3999" t="b">
        <v>0</v>
      </c>
      <c r="L3999" s="10">
        <v>0</v>
      </c>
      <c r="M3999" t="b">
        <v>0</v>
      </c>
      <c r="N3999" t="s">
        <v>8269</v>
      </c>
      <c r="O3999" s="11">
        <f t="shared" si="252"/>
        <v>0</v>
      </c>
      <c r="P3999" s="12" t="str">
        <f t="shared" si="253"/>
        <v>No Backers</v>
      </c>
      <c r="Q3999" s="14" t="s">
        <v>8314</v>
      </c>
      <c r="R3999" t="s">
        <v>8315</v>
      </c>
      <c r="S3999" s="17">
        <f t="shared" si="254"/>
        <v>42069.391446759255</v>
      </c>
      <c r="T3999" s="17">
        <f t="shared" si="255"/>
        <v>42099.349780092598</v>
      </c>
      <c r="U3999">
        <f>MONTH(Table1[[#This Row],[Launched]])</f>
        <v>3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8220</v>
      </c>
      <c r="G4000" t="s">
        <v>8223</v>
      </c>
      <c r="H4000" t="s">
        <v>8245</v>
      </c>
      <c r="I4000" s="8">
        <v>1427580426</v>
      </c>
      <c r="J4000">
        <v>1424992026</v>
      </c>
      <c r="K4000" t="b">
        <v>0</v>
      </c>
      <c r="L4000" s="10">
        <v>12</v>
      </c>
      <c r="M4000" t="b">
        <v>0</v>
      </c>
      <c r="N4000" t="s">
        <v>8269</v>
      </c>
      <c r="O4000" s="11">
        <f t="shared" si="252"/>
        <v>57</v>
      </c>
      <c r="P4000" s="12">
        <f t="shared" si="253"/>
        <v>60</v>
      </c>
      <c r="Q4000" s="14" t="s">
        <v>8314</v>
      </c>
      <c r="R4000" t="s">
        <v>8315</v>
      </c>
      <c r="S4000" s="17">
        <f t="shared" si="254"/>
        <v>42061.963263888887</v>
      </c>
      <c r="T4000" s="17">
        <f t="shared" si="255"/>
        <v>42091.921597222223</v>
      </c>
      <c r="U4000">
        <f>MONTH(Table1[[#This Row],[Launched]])</f>
        <v>2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 s="8">
        <v>1409514709</v>
      </c>
      <c r="J4001">
        <v>1406058798</v>
      </c>
      <c r="K4001" t="b">
        <v>0</v>
      </c>
      <c r="L4001" s="10">
        <v>14</v>
      </c>
      <c r="M4001" t="b">
        <v>0</v>
      </c>
      <c r="N4001" t="s">
        <v>8269</v>
      </c>
      <c r="O4001" s="11">
        <f t="shared" si="252"/>
        <v>17</v>
      </c>
      <c r="P4001" s="12">
        <f t="shared" si="253"/>
        <v>83</v>
      </c>
      <c r="Q4001" s="14" t="s">
        <v>8314</v>
      </c>
      <c r="R4001" t="s">
        <v>8315</v>
      </c>
      <c r="S4001" s="17">
        <f t="shared" si="254"/>
        <v>41842.828680555554</v>
      </c>
      <c r="T4001" s="17">
        <f t="shared" si="255"/>
        <v>41882.827650462961</v>
      </c>
      <c r="U4001">
        <f>MONTH(Table1[[#This Row],[Launched]])</f>
        <v>7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8220</v>
      </c>
      <c r="G4002" t="s">
        <v>8223</v>
      </c>
      <c r="H4002" t="s">
        <v>8245</v>
      </c>
      <c r="I4002" s="8">
        <v>1462631358</v>
      </c>
      <c r="J4002">
        <v>1457450958</v>
      </c>
      <c r="K4002" t="b">
        <v>0</v>
      </c>
      <c r="L4002" s="10">
        <v>1</v>
      </c>
      <c r="M4002" t="b">
        <v>0</v>
      </c>
      <c r="N4002" t="s">
        <v>8269</v>
      </c>
      <c r="O4002" s="11">
        <f t="shared" si="252"/>
        <v>0</v>
      </c>
      <c r="P4002" s="12">
        <f t="shared" si="253"/>
        <v>10</v>
      </c>
      <c r="Q4002" s="14" t="s">
        <v>8314</v>
      </c>
      <c r="R4002" t="s">
        <v>8315</v>
      </c>
      <c r="S4002" s="17">
        <f t="shared" si="254"/>
        <v>42437.64534722222</v>
      </c>
      <c r="T4002" s="17">
        <f t="shared" si="255"/>
        <v>42497.603680555556</v>
      </c>
      <c r="U4002">
        <f>MONTH(Table1[[#This Row],[Launched]])</f>
        <v>3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8220</v>
      </c>
      <c r="G4003" t="s">
        <v>8224</v>
      </c>
      <c r="H4003" t="s">
        <v>8246</v>
      </c>
      <c r="I4003" s="8">
        <v>1488394800</v>
      </c>
      <c r="J4003">
        <v>1486681708</v>
      </c>
      <c r="K4003" t="b">
        <v>0</v>
      </c>
      <c r="L4003" s="10">
        <v>14</v>
      </c>
      <c r="M4003" t="b">
        <v>0</v>
      </c>
      <c r="N4003" t="s">
        <v>8269</v>
      </c>
      <c r="O4003" s="11">
        <f t="shared" si="252"/>
        <v>38</v>
      </c>
      <c r="P4003" s="12">
        <f t="shared" si="253"/>
        <v>32</v>
      </c>
      <c r="Q4003" s="14" t="s">
        <v>8314</v>
      </c>
      <c r="R4003" t="s">
        <v>8315</v>
      </c>
      <c r="S4003" s="17">
        <f t="shared" si="254"/>
        <v>42775.964212962965</v>
      </c>
      <c r="T4003" s="17">
        <f t="shared" si="255"/>
        <v>42795.791666666672</v>
      </c>
      <c r="U4003">
        <f>MONTH(Table1[[#This Row],[Launched]])</f>
        <v>2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8220</v>
      </c>
      <c r="G4004" t="s">
        <v>8223</v>
      </c>
      <c r="H4004" t="s">
        <v>8245</v>
      </c>
      <c r="I4004" s="8">
        <v>1411779761</v>
      </c>
      <c r="J4004">
        <v>1409187761</v>
      </c>
      <c r="K4004" t="b">
        <v>0</v>
      </c>
      <c r="L4004" s="10">
        <v>4</v>
      </c>
      <c r="M4004" t="b">
        <v>0</v>
      </c>
      <c r="N4004" t="s">
        <v>8269</v>
      </c>
      <c r="O4004" s="11">
        <f t="shared" si="252"/>
        <v>2</v>
      </c>
      <c r="P4004" s="12">
        <f t="shared" si="253"/>
        <v>6</v>
      </c>
      <c r="Q4004" s="14" t="s">
        <v>8314</v>
      </c>
      <c r="R4004" t="s">
        <v>8315</v>
      </c>
      <c r="S4004" s="17">
        <f t="shared" si="254"/>
        <v>41879.043530092589</v>
      </c>
      <c r="T4004" s="17">
        <f t="shared" si="255"/>
        <v>41909.043530092589</v>
      </c>
      <c r="U4004">
        <f>MONTH(Table1[[#This Row],[Launched]])</f>
        <v>8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8220</v>
      </c>
      <c r="G4005" t="s">
        <v>8223</v>
      </c>
      <c r="H4005" t="s">
        <v>8245</v>
      </c>
      <c r="I4005" s="8">
        <v>1424009147</v>
      </c>
      <c r="J4005">
        <v>1421417147</v>
      </c>
      <c r="K4005" t="b">
        <v>0</v>
      </c>
      <c r="L4005" s="10">
        <v>2</v>
      </c>
      <c r="M4005" t="b">
        <v>0</v>
      </c>
      <c r="N4005" t="s">
        <v>8269</v>
      </c>
      <c r="O4005" s="11">
        <f t="shared" si="252"/>
        <v>10</v>
      </c>
      <c r="P4005" s="12">
        <f t="shared" si="253"/>
        <v>101</v>
      </c>
      <c r="Q4005" s="14" t="s">
        <v>8314</v>
      </c>
      <c r="R4005" t="s">
        <v>8315</v>
      </c>
      <c r="S4005" s="17">
        <f t="shared" si="254"/>
        <v>42020.587349537032</v>
      </c>
      <c r="T4005" s="17">
        <f t="shared" si="255"/>
        <v>42050.587349537032</v>
      </c>
      <c r="U4005">
        <f>MONTH(Table1[[#This Row],[Launched]])</f>
        <v>1</v>
      </c>
    </row>
    <row r="4006" spans="1:21" ht="15.6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8220</v>
      </c>
      <c r="G4006" t="s">
        <v>8223</v>
      </c>
      <c r="H4006" t="s">
        <v>8245</v>
      </c>
      <c r="I4006" s="8">
        <v>1412740457</v>
      </c>
      <c r="J4006">
        <v>1410148457</v>
      </c>
      <c r="K4006" t="b">
        <v>0</v>
      </c>
      <c r="L4006" s="10">
        <v>1</v>
      </c>
      <c r="M4006" t="b">
        <v>0</v>
      </c>
      <c r="N4006" t="s">
        <v>8269</v>
      </c>
      <c r="O4006" s="11">
        <f t="shared" si="252"/>
        <v>0</v>
      </c>
      <c r="P4006" s="12">
        <f t="shared" si="253"/>
        <v>1</v>
      </c>
      <c r="Q4006" s="14" t="s">
        <v>8314</v>
      </c>
      <c r="R4006" t="s">
        <v>8315</v>
      </c>
      <c r="S4006" s="17">
        <f t="shared" si="254"/>
        <v>41890.16269675926</v>
      </c>
      <c r="T4006" s="17">
        <f t="shared" si="255"/>
        <v>41920.16269675926</v>
      </c>
      <c r="U4006">
        <f>MONTH(Table1[[#This Row],[Launched]])</f>
        <v>9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8220</v>
      </c>
      <c r="G4007" t="s">
        <v>8223</v>
      </c>
      <c r="H4007" t="s">
        <v>8245</v>
      </c>
      <c r="I4007" s="8">
        <v>1413832985</v>
      </c>
      <c r="J4007">
        <v>1408648985</v>
      </c>
      <c r="K4007" t="b">
        <v>0</v>
      </c>
      <c r="L4007" s="10">
        <v>2</v>
      </c>
      <c r="M4007" t="b">
        <v>0</v>
      </c>
      <c r="N4007" t="s">
        <v>8269</v>
      </c>
      <c r="O4007" s="11">
        <f t="shared" si="252"/>
        <v>1</v>
      </c>
      <c r="P4007" s="12">
        <f t="shared" si="253"/>
        <v>20</v>
      </c>
      <c r="Q4007" s="14" t="s">
        <v>8314</v>
      </c>
      <c r="R4007" t="s">
        <v>8315</v>
      </c>
      <c r="S4007" s="17">
        <f t="shared" si="254"/>
        <v>41872.807696759257</v>
      </c>
      <c r="T4007" s="17">
        <f t="shared" si="255"/>
        <v>41932.807696759257</v>
      </c>
      <c r="U4007">
        <f>MONTH(Table1[[#This Row],[Launched]])</f>
        <v>8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8220</v>
      </c>
      <c r="G4008" t="s">
        <v>8223</v>
      </c>
      <c r="H4008" t="s">
        <v>8245</v>
      </c>
      <c r="I4008" s="8">
        <v>1455647587</v>
      </c>
      <c r="J4008">
        <v>1453487587</v>
      </c>
      <c r="K4008" t="b">
        <v>0</v>
      </c>
      <c r="L4008" s="10">
        <v>1</v>
      </c>
      <c r="M4008" t="b">
        <v>0</v>
      </c>
      <c r="N4008" t="s">
        <v>8269</v>
      </c>
      <c r="O4008" s="11">
        <f t="shared" si="252"/>
        <v>0</v>
      </c>
      <c r="P4008" s="12">
        <f t="shared" si="253"/>
        <v>2</v>
      </c>
      <c r="Q4008" s="14" t="s">
        <v>8314</v>
      </c>
      <c r="R4008" t="s">
        <v>8315</v>
      </c>
      <c r="S4008" s="17">
        <f t="shared" si="254"/>
        <v>42391.772997685184</v>
      </c>
      <c r="T4008" s="17">
        <f t="shared" si="255"/>
        <v>42416.772997685184</v>
      </c>
      <c r="U4008">
        <f>MONTH(Table1[[#This Row],[Launched]])</f>
        <v>1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8220</v>
      </c>
      <c r="G4009" t="s">
        <v>8223</v>
      </c>
      <c r="H4009" t="s">
        <v>8245</v>
      </c>
      <c r="I4009" s="8">
        <v>1409070480</v>
      </c>
      <c r="J4009">
        <v>1406572381</v>
      </c>
      <c r="K4009" t="b">
        <v>0</v>
      </c>
      <c r="L4009" s="10">
        <v>1</v>
      </c>
      <c r="M4009" t="b">
        <v>0</v>
      </c>
      <c r="N4009" t="s">
        <v>8269</v>
      </c>
      <c r="O4009" s="11">
        <f t="shared" si="252"/>
        <v>0</v>
      </c>
      <c r="P4009" s="12">
        <f t="shared" si="253"/>
        <v>5</v>
      </c>
      <c r="Q4009" s="14" t="s">
        <v>8314</v>
      </c>
      <c r="R4009" t="s">
        <v>8315</v>
      </c>
      <c r="S4009" s="17">
        <f t="shared" si="254"/>
        <v>41848.772928240738</v>
      </c>
      <c r="T4009" s="17">
        <f t="shared" si="255"/>
        <v>41877.686111111114</v>
      </c>
      <c r="U4009">
        <f>MONTH(Table1[[#This Row],[Launched]])</f>
        <v>7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8220</v>
      </c>
      <c r="G4010" t="s">
        <v>8224</v>
      </c>
      <c r="H4010" t="s">
        <v>8246</v>
      </c>
      <c r="I4010" s="8">
        <v>1437606507</v>
      </c>
      <c r="J4010">
        <v>1435014507</v>
      </c>
      <c r="K4010" t="b">
        <v>0</v>
      </c>
      <c r="L4010" s="10">
        <v>4</v>
      </c>
      <c r="M4010" t="b">
        <v>0</v>
      </c>
      <c r="N4010" t="s">
        <v>8269</v>
      </c>
      <c r="O4010" s="11">
        <f t="shared" si="252"/>
        <v>6</v>
      </c>
      <c r="P4010" s="12">
        <f t="shared" si="253"/>
        <v>15</v>
      </c>
      <c r="Q4010" s="14" t="s">
        <v>8314</v>
      </c>
      <c r="R4010" t="s">
        <v>8315</v>
      </c>
      <c r="S4010" s="17">
        <f t="shared" si="254"/>
        <v>42177.964201388888</v>
      </c>
      <c r="T4010" s="17">
        <f t="shared" si="255"/>
        <v>42207.964201388888</v>
      </c>
      <c r="U4010">
        <f>MONTH(Table1[[#This Row],[Launched]])</f>
        <v>6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8220</v>
      </c>
      <c r="G4011" t="s">
        <v>8224</v>
      </c>
      <c r="H4011" t="s">
        <v>8246</v>
      </c>
      <c r="I4011" s="8">
        <v>1410281360</v>
      </c>
      <c r="J4011">
        <v>1406825360</v>
      </c>
      <c r="K4011" t="b">
        <v>0</v>
      </c>
      <c r="L4011" s="10">
        <v>3</v>
      </c>
      <c r="M4011" t="b">
        <v>0</v>
      </c>
      <c r="N4011" t="s">
        <v>8269</v>
      </c>
      <c r="O4011" s="11">
        <f t="shared" si="252"/>
        <v>4</v>
      </c>
      <c r="P4011" s="12">
        <f t="shared" si="253"/>
        <v>25</v>
      </c>
      <c r="Q4011" s="14" t="s">
        <v>8314</v>
      </c>
      <c r="R4011" t="s">
        <v>8315</v>
      </c>
      <c r="S4011" s="17">
        <f t="shared" si="254"/>
        <v>41851.700925925928</v>
      </c>
      <c r="T4011" s="17">
        <f t="shared" si="255"/>
        <v>41891.700925925928</v>
      </c>
      <c r="U4011">
        <f>MONTH(Table1[[#This Row],[Launched]])</f>
        <v>7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 s="8">
        <v>1414348166</v>
      </c>
      <c r="J4012">
        <v>1412879366</v>
      </c>
      <c r="K4012" t="b">
        <v>0</v>
      </c>
      <c r="L4012" s="10">
        <v>38</v>
      </c>
      <c r="M4012" t="b">
        <v>0</v>
      </c>
      <c r="N4012" t="s">
        <v>8269</v>
      </c>
      <c r="O4012" s="11">
        <f t="shared" si="252"/>
        <v>24</v>
      </c>
      <c r="P4012" s="12">
        <f t="shared" si="253"/>
        <v>46</v>
      </c>
      <c r="Q4012" s="14" t="s">
        <v>8314</v>
      </c>
      <c r="R4012" t="s">
        <v>8315</v>
      </c>
      <c r="S4012" s="17">
        <f t="shared" si="254"/>
        <v>41921.770439814813</v>
      </c>
      <c r="T4012" s="17">
        <f t="shared" si="255"/>
        <v>41938.770439814813</v>
      </c>
      <c r="U4012">
        <f>MONTH(Table1[[#This Row],[Launched]])</f>
        <v>10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8220</v>
      </c>
      <c r="G4013" t="s">
        <v>8224</v>
      </c>
      <c r="H4013" t="s">
        <v>8246</v>
      </c>
      <c r="I4013" s="8">
        <v>1422450278</v>
      </c>
      <c r="J4013">
        <v>1419858278</v>
      </c>
      <c r="K4013" t="b">
        <v>0</v>
      </c>
      <c r="L4013" s="10">
        <v>4</v>
      </c>
      <c r="M4013" t="b">
        <v>0</v>
      </c>
      <c r="N4013" t="s">
        <v>8269</v>
      </c>
      <c r="O4013" s="11">
        <f t="shared" si="252"/>
        <v>8</v>
      </c>
      <c r="P4013" s="12">
        <f t="shared" si="253"/>
        <v>5</v>
      </c>
      <c r="Q4013" s="14" t="s">
        <v>8314</v>
      </c>
      <c r="R4013" t="s">
        <v>8315</v>
      </c>
      <c r="S4013" s="17">
        <f t="shared" si="254"/>
        <v>42002.54488425926</v>
      </c>
      <c r="T4013" s="17">
        <f t="shared" si="255"/>
        <v>42032.54488425926</v>
      </c>
      <c r="U4013">
        <f>MONTH(Table1[[#This Row],[Launched]])</f>
        <v>12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8220</v>
      </c>
      <c r="G4014" t="s">
        <v>8224</v>
      </c>
      <c r="H4014" t="s">
        <v>8246</v>
      </c>
      <c r="I4014" s="8">
        <v>1430571849</v>
      </c>
      <c r="J4014">
        <v>1427979849</v>
      </c>
      <c r="K4014" t="b">
        <v>0</v>
      </c>
      <c r="L4014" s="10">
        <v>0</v>
      </c>
      <c r="M4014" t="b">
        <v>0</v>
      </c>
      <c r="N4014" t="s">
        <v>8269</v>
      </c>
      <c r="O4014" s="11">
        <f t="shared" si="252"/>
        <v>0</v>
      </c>
      <c r="P4014" s="12" t="str">
        <f t="shared" si="253"/>
        <v>No Backers</v>
      </c>
      <c r="Q4014" s="14" t="s">
        <v>8314</v>
      </c>
      <c r="R4014" t="s">
        <v>8315</v>
      </c>
      <c r="S4014" s="17">
        <f t="shared" si="254"/>
        <v>42096.544548611113</v>
      </c>
      <c r="T4014" s="17">
        <f t="shared" si="255"/>
        <v>42126.544548611113</v>
      </c>
      <c r="U4014">
        <f>MONTH(Table1[[#This Row],[Launched]])</f>
        <v>4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8220</v>
      </c>
      <c r="G4015" t="s">
        <v>8223</v>
      </c>
      <c r="H4015" t="s">
        <v>8245</v>
      </c>
      <c r="I4015" s="8">
        <v>1424070823</v>
      </c>
      <c r="J4015">
        <v>1421478823</v>
      </c>
      <c r="K4015" t="b">
        <v>0</v>
      </c>
      <c r="L4015" s="10">
        <v>2</v>
      </c>
      <c r="M4015" t="b">
        <v>0</v>
      </c>
      <c r="N4015" t="s">
        <v>8269</v>
      </c>
      <c r="O4015" s="11">
        <f t="shared" si="252"/>
        <v>1</v>
      </c>
      <c r="P4015" s="12">
        <f t="shared" si="253"/>
        <v>13</v>
      </c>
      <c r="Q4015" s="14" t="s">
        <v>8314</v>
      </c>
      <c r="R4015" t="s">
        <v>8315</v>
      </c>
      <c r="S4015" s="17">
        <f t="shared" si="254"/>
        <v>42021.301192129627</v>
      </c>
      <c r="T4015" s="17">
        <f t="shared" si="255"/>
        <v>42051.301192129627</v>
      </c>
      <c r="U4015">
        <f>MONTH(Table1[[#This Row],[Launched]])</f>
        <v>1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8220</v>
      </c>
      <c r="G4016" t="s">
        <v>8223</v>
      </c>
      <c r="H4016" t="s">
        <v>8245</v>
      </c>
      <c r="I4016" s="8">
        <v>1457157269</v>
      </c>
      <c r="J4016">
        <v>1455861269</v>
      </c>
      <c r="K4016" t="b">
        <v>0</v>
      </c>
      <c r="L4016" s="10">
        <v>0</v>
      </c>
      <c r="M4016" t="b">
        <v>0</v>
      </c>
      <c r="N4016" t="s">
        <v>8269</v>
      </c>
      <c r="O4016" s="11">
        <f t="shared" si="252"/>
        <v>0</v>
      </c>
      <c r="P4016" s="12" t="str">
        <f t="shared" si="253"/>
        <v>No Backers</v>
      </c>
      <c r="Q4016" s="14" t="s">
        <v>8314</v>
      </c>
      <c r="R4016" t="s">
        <v>8315</v>
      </c>
      <c r="S4016" s="17">
        <f t="shared" si="254"/>
        <v>42419.246168981481</v>
      </c>
      <c r="T4016" s="17">
        <f t="shared" si="255"/>
        <v>42434.246168981481</v>
      </c>
      <c r="U4016">
        <f>MONTH(Table1[[#This Row],[Launched]])</f>
        <v>2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8220</v>
      </c>
      <c r="G4017" t="s">
        <v>8223</v>
      </c>
      <c r="H4017" t="s">
        <v>8245</v>
      </c>
      <c r="I4017" s="8">
        <v>1437331463</v>
      </c>
      <c r="J4017">
        <v>1434739463</v>
      </c>
      <c r="K4017" t="b">
        <v>0</v>
      </c>
      <c r="L4017" s="10">
        <v>1</v>
      </c>
      <c r="M4017" t="b">
        <v>0</v>
      </c>
      <c r="N4017" t="s">
        <v>8269</v>
      </c>
      <c r="O4017" s="11">
        <f t="shared" si="252"/>
        <v>0</v>
      </c>
      <c r="P4017" s="12">
        <f t="shared" si="253"/>
        <v>1</v>
      </c>
      <c r="Q4017" s="14" t="s">
        <v>8314</v>
      </c>
      <c r="R4017" t="s">
        <v>8315</v>
      </c>
      <c r="S4017" s="17">
        <f t="shared" si="254"/>
        <v>42174.780821759254</v>
      </c>
      <c r="T4017" s="17">
        <f t="shared" si="255"/>
        <v>42204.780821759254</v>
      </c>
      <c r="U4017">
        <f>MONTH(Table1[[#This Row],[Launched]])</f>
        <v>6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8220</v>
      </c>
      <c r="G4018" t="s">
        <v>8224</v>
      </c>
      <c r="H4018" t="s">
        <v>8246</v>
      </c>
      <c r="I4018" s="8">
        <v>1410987400</v>
      </c>
      <c r="J4018">
        <v>1408395400</v>
      </c>
      <c r="K4018" t="b">
        <v>0</v>
      </c>
      <c r="L4018" s="10">
        <v>7</v>
      </c>
      <c r="M4018" t="b">
        <v>0</v>
      </c>
      <c r="N4018" t="s">
        <v>8269</v>
      </c>
      <c r="O4018" s="11">
        <f t="shared" si="252"/>
        <v>14</v>
      </c>
      <c r="P4018" s="12">
        <f t="shared" si="253"/>
        <v>10</v>
      </c>
      <c r="Q4018" s="14" t="s">
        <v>8314</v>
      </c>
      <c r="R4018" t="s">
        <v>8315</v>
      </c>
      <c r="S4018" s="17">
        <f t="shared" si="254"/>
        <v>41869.872685185182</v>
      </c>
      <c r="T4018" s="17">
        <f t="shared" si="255"/>
        <v>41899.872685185182</v>
      </c>
      <c r="U4018">
        <f>MONTH(Table1[[#This Row],[Launched]])</f>
        <v>8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 s="8">
        <v>1409846874</v>
      </c>
      <c r="J4019">
        <v>1407254874</v>
      </c>
      <c r="K4019" t="b">
        <v>0</v>
      </c>
      <c r="L4019" s="10">
        <v>2</v>
      </c>
      <c r="M4019" t="b">
        <v>0</v>
      </c>
      <c r="N4019" t="s">
        <v>8269</v>
      </c>
      <c r="O4019" s="11">
        <f t="shared" si="252"/>
        <v>1</v>
      </c>
      <c r="P4019" s="12">
        <f t="shared" si="253"/>
        <v>53</v>
      </c>
      <c r="Q4019" s="14" t="s">
        <v>8314</v>
      </c>
      <c r="R4019" t="s">
        <v>8315</v>
      </c>
      <c r="S4019" s="17">
        <f t="shared" si="254"/>
        <v>41856.672152777777</v>
      </c>
      <c r="T4019" s="17">
        <f t="shared" si="255"/>
        <v>41886.672152777777</v>
      </c>
      <c r="U4019">
        <f>MONTH(Table1[[#This Row],[Launched]])</f>
        <v>8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8220</v>
      </c>
      <c r="G4020" t="s">
        <v>8224</v>
      </c>
      <c r="H4020" t="s">
        <v>8246</v>
      </c>
      <c r="I4020" s="8">
        <v>1475877108</v>
      </c>
      <c r="J4020">
        <v>1473285108</v>
      </c>
      <c r="K4020" t="b">
        <v>0</v>
      </c>
      <c r="L4020" s="10">
        <v>4</v>
      </c>
      <c r="M4020" t="b">
        <v>0</v>
      </c>
      <c r="N4020" t="s">
        <v>8269</v>
      </c>
      <c r="O4020" s="11">
        <f t="shared" si="252"/>
        <v>9</v>
      </c>
      <c r="P4020" s="12">
        <f t="shared" si="253"/>
        <v>33</v>
      </c>
      <c r="Q4020" s="14" t="s">
        <v>8314</v>
      </c>
      <c r="R4020" t="s">
        <v>8315</v>
      </c>
      <c r="S4020" s="17">
        <f t="shared" si="254"/>
        <v>42620.91097222222</v>
      </c>
      <c r="T4020" s="17">
        <f t="shared" si="255"/>
        <v>42650.91097222222</v>
      </c>
      <c r="U4020">
        <f>MONTH(Table1[[#This Row],[Launched]])</f>
        <v>9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8220</v>
      </c>
      <c r="G4021" t="s">
        <v>8223</v>
      </c>
      <c r="H4021" t="s">
        <v>8245</v>
      </c>
      <c r="I4021" s="8">
        <v>1460737680</v>
      </c>
      <c r="J4021">
        <v>1455725596</v>
      </c>
      <c r="K4021" t="b">
        <v>0</v>
      </c>
      <c r="L4021" s="10">
        <v>4</v>
      </c>
      <c r="M4021" t="b">
        <v>0</v>
      </c>
      <c r="N4021" t="s">
        <v>8269</v>
      </c>
      <c r="O4021" s="11">
        <f t="shared" si="252"/>
        <v>1</v>
      </c>
      <c r="P4021" s="12">
        <f t="shared" si="253"/>
        <v>7</v>
      </c>
      <c r="Q4021" s="14" t="s">
        <v>8314</v>
      </c>
      <c r="R4021" t="s">
        <v>8315</v>
      </c>
      <c r="S4021" s="17">
        <f t="shared" si="254"/>
        <v>42417.675879629634</v>
      </c>
      <c r="T4021" s="17">
        <f t="shared" si="255"/>
        <v>42475.686111111107</v>
      </c>
      <c r="U4021">
        <f>MONTH(Table1[[#This Row],[Launched]])</f>
        <v>2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8220</v>
      </c>
      <c r="G4022" t="s">
        <v>8223</v>
      </c>
      <c r="H4022" t="s">
        <v>8245</v>
      </c>
      <c r="I4022" s="8">
        <v>1427168099</v>
      </c>
      <c r="J4022">
        <v>1424579699</v>
      </c>
      <c r="K4022" t="b">
        <v>0</v>
      </c>
      <c r="L4022" s="10">
        <v>3</v>
      </c>
      <c r="M4022" t="b">
        <v>0</v>
      </c>
      <c r="N4022" t="s">
        <v>8269</v>
      </c>
      <c r="O4022" s="11">
        <f t="shared" si="252"/>
        <v>17</v>
      </c>
      <c r="P4022" s="12">
        <f t="shared" si="253"/>
        <v>33</v>
      </c>
      <c r="Q4022" s="14" t="s">
        <v>8314</v>
      </c>
      <c r="R4022" t="s">
        <v>8315</v>
      </c>
      <c r="S4022" s="17">
        <f t="shared" si="254"/>
        <v>42057.190960648149</v>
      </c>
      <c r="T4022" s="17">
        <f t="shared" si="255"/>
        <v>42087.149293981478</v>
      </c>
      <c r="U4022">
        <f>MONTH(Table1[[#This Row],[Launched]])</f>
        <v>2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 s="8">
        <v>1414360358</v>
      </c>
      <c r="J4023">
        <v>1409176358</v>
      </c>
      <c r="K4023" t="b">
        <v>0</v>
      </c>
      <c r="L4023" s="10">
        <v>2</v>
      </c>
      <c r="M4023" t="b">
        <v>0</v>
      </c>
      <c r="N4023" t="s">
        <v>8269</v>
      </c>
      <c r="O4023" s="11">
        <f t="shared" si="252"/>
        <v>1</v>
      </c>
      <c r="P4023" s="12">
        <f t="shared" si="253"/>
        <v>63</v>
      </c>
      <c r="Q4023" s="14" t="s">
        <v>8314</v>
      </c>
      <c r="R4023" t="s">
        <v>8315</v>
      </c>
      <c r="S4023" s="17">
        <f t="shared" si="254"/>
        <v>41878.911550925928</v>
      </c>
      <c r="T4023" s="17">
        <f t="shared" si="255"/>
        <v>41938.911550925928</v>
      </c>
      <c r="U4023">
        <f>MONTH(Table1[[#This Row],[Launched]])</f>
        <v>8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 s="8">
        <v>1422759240</v>
      </c>
      <c r="J4024">
        <v>1418824867</v>
      </c>
      <c r="K4024" t="b">
        <v>0</v>
      </c>
      <c r="L4024" s="10">
        <v>197</v>
      </c>
      <c r="M4024" t="b">
        <v>0</v>
      </c>
      <c r="N4024" t="s">
        <v>8269</v>
      </c>
      <c r="O4024" s="11">
        <f t="shared" si="252"/>
        <v>70</v>
      </c>
      <c r="P4024" s="12">
        <f t="shared" si="253"/>
        <v>64</v>
      </c>
      <c r="Q4024" s="14" t="s">
        <v>8314</v>
      </c>
      <c r="R4024" t="s">
        <v>8315</v>
      </c>
      <c r="S4024" s="17">
        <f t="shared" si="254"/>
        <v>41990.584108796291</v>
      </c>
      <c r="T4024" s="17">
        <f t="shared" si="255"/>
        <v>42036.120833333334</v>
      </c>
      <c r="U4024">
        <f>MONTH(Table1[[#This Row],[Launched]])</f>
        <v>12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8220</v>
      </c>
      <c r="G4025" t="s">
        <v>8223</v>
      </c>
      <c r="H4025" t="s">
        <v>8245</v>
      </c>
      <c r="I4025" s="8">
        <v>1458860363</v>
      </c>
      <c r="J4025">
        <v>1454975963</v>
      </c>
      <c r="K4025" t="b">
        <v>0</v>
      </c>
      <c r="L4025" s="10">
        <v>0</v>
      </c>
      <c r="M4025" t="b">
        <v>0</v>
      </c>
      <c r="N4025" t="s">
        <v>8269</v>
      </c>
      <c r="O4025" s="11">
        <f t="shared" si="252"/>
        <v>0</v>
      </c>
      <c r="P4025" s="12" t="str">
        <f t="shared" si="253"/>
        <v>No Backers</v>
      </c>
      <c r="Q4025" s="14" t="s">
        <v>8314</v>
      </c>
      <c r="R4025" t="s">
        <v>8315</v>
      </c>
      <c r="S4025" s="17">
        <f t="shared" si="254"/>
        <v>42408.999571759254</v>
      </c>
      <c r="T4025" s="17">
        <f t="shared" si="255"/>
        <v>42453.957905092597</v>
      </c>
      <c r="U4025">
        <f>MONTH(Table1[[#This Row],[Launched]])</f>
        <v>2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8220</v>
      </c>
      <c r="G4026" t="s">
        <v>8223</v>
      </c>
      <c r="H4026" t="s">
        <v>8245</v>
      </c>
      <c r="I4026" s="8">
        <v>1441037097</v>
      </c>
      <c r="J4026">
        <v>1438445097</v>
      </c>
      <c r="K4026" t="b">
        <v>0</v>
      </c>
      <c r="L4026" s="10">
        <v>1</v>
      </c>
      <c r="M4026" t="b">
        <v>0</v>
      </c>
      <c r="N4026" t="s">
        <v>8269</v>
      </c>
      <c r="O4026" s="11">
        <f t="shared" si="252"/>
        <v>1</v>
      </c>
      <c r="P4026" s="12">
        <f t="shared" si="253"/>
        <v>10</v>
      </c>
      <c r="Q4026" s="14" t="s">
        <v>8314</v>
      </c>
      <c r="R4026" t="s">
        <v>8315</v>
      </c>
      <c r="S4026" s="17">
        <f t="shared" si="254"/>
        <v>42217.670104166667</v>
      </c>
      <c r="T4026" s="17">
        <f t="shared" si="255"/>
        <v>42247.670104166667</v>
      </c>
      <c r="U4026">
        <f>MONTH(Table1[[#This Row],[Launched]])</f>
        <v>8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8220</v>
      </c>
      <c r="G4027" t="s">
        <v>8229</v>
      </c>
      <c r="H4027" t="s">
        <v>8248</v>
      </c>
      <c r="I4027" s="8">
        <v>1437889336</v>
      </c>
      <c r="J4027">
        <v>1432705336</v>
      </c>
      <c r="K4027" t="b">
        <v>0</v>
      </c>
      <c r="L4027" s="10">
        <v>4</v>
      </c>
      <c r="M4027" t="b">
        <v>0</v>
      </c>
      <c r="N4027" t="s">
        <v>8269</v>
      </c>
      <c r="O4027" s="11">
        <f t="shared" si="252"/>
        <v>5</v>
      </c>
      <c r="P4027" s="12">
        <f t="shared" si="253"/>
        <v>63</v>
      </c>
      <c r="Q4027" s="14" t="s">
        <v>8314</v>
      </c>
      <c r="R4027" t="s">
        <v>8315</v>
      </c>
      <c r="S4027" s="17">
        <f t="shared" si="254"/>
        <v>42151.237685185188</v>
      </c>
      <c r="T4027" s="17">
        <f t="shared" si="255"/>
        <v>42211.237685185188</v>
      </c>
      <c r="U4027">
        <f>MONTH(Table1[[#This Row],[Launched]])</f>
        <v>5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8220</v>
      </c>
      <c r="G4028" t="s">
        <v>8223</v>
      </c>
      <c r="H4028" t="s">
        <v>8245</v>
      </c>
      <c r="I4028" s="8">
        <v>1449247439</v>
      </c>
      <c r="J4028">
        <v>1444059839</v>
      </c>
      <c r="K4028" t="b">
        <v>0</v>
      </c>
      <c r="L4028" s="10">
        <v>0</v>
      </c>
      <c r="M4028" t="b">
        <v>0</v>
      </c>
      <c r="N4028" t="s">
        <v>8269</v>
      </c>
      <c r="O4028" s="11">
        <f t="shared" si="252"/>
        <v>0</v>
      </c>
      <c r="P4028" s="12" t="str">
        <f t="shared" si="253"/>
        <v>No Backers</v>
      </c>
      <c r="Q4028" s="14" t="s">
        <v>8314</v>
      </c>
      <c r="R4028" t="s">
        <v>8315</v>
      </c>
      <c r="S4028" s="17">
        <f t="shared" si="254"/>
        <v>42282.655543981484</v>
      </c>
      <c r="T4028" s="17">
        <f t="shared" si="255"/>
        <v>42342.697210648148</v>
      </c>
      <c r="U4028">
        <f>MONTH(Table1[[#This Row],[Launched]])</f>
        <v>10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8220</v>
      </c>
      <c r="G4029" t="s">
        <v>8223</v>
      </c>
      <c r="H4029" t="s">
        <v>8245</v>
      </c>
      <c r="I4029" s="8">
        <v>1487811600</v>
      </c>
      <c r="J4029">
        <v>1486077481</v>
      </c>
      <c r="K4029" t="b">
        <v>0</v>
      </c>
      <c r="L4029" s="10">
        <v>7</v>
      </c>
      <c r="M4029" t="b">
        <v>0</v>
      </c>
      <c r="N4029" t="s">
        <v>8269</v>
      </c>
      <c r="O4029" s="11">
        <f t="shared" si="252"/>
        <v>7</v>
      </c>
      <c r="P4029" s="12">
        <f t="shared" si="253"/>
        <v>31</v>
      </c>
      <c r="Q4029" s="14" t="s">
        <v>8314</v>
      </c>
      <c r="R4029" t="s">
        <v>8315</v>
      </c>
      <c r="S4029" s="17">
        <f t="shared" si="254"/>
        <v>42768.97084490741</v>
      </c>
      <c r="T4029" s="17">
        <f t="shared" si="255"/>
        <v>42789.041666666672</v>
      </c>
      <c r="U4029">
        <f>MONTH(Table1[[#This Row],[Launched]])</f>
        <v>2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8220</v>
      </c>
      <c r="G4030" t="s">
        <v>8223</v>
      </c>
      <c r="H4030" t="s">
        <v>8245</v>
      </c>
      <c r="I4030" s="8">
        <v>1402007500</v>
      </c>
      <c r="J4030">
        <v>1399415500</v>
      </c>
      <c r="K4030" t="b">
        <v>0</v>
      </c>
      <c r="L4030" s="10">
        <v>11</v>
      </c>
      <c r="M4030" t="b">
        <v>0</v>
      </c>
      <c r="N4030" t="s">
        <v>8269</v>
      </c>
      <c r="O4030" s="11">
        <f t="shared" si="252"/>
        <v>28</v>
      </c>
      <c r="P4030" s="12">
        <f t="shared" si="253"/>
        <v>51</v>
      </c>
      <c r="Q4030" s="14" t="s">
        <v>8314</v>
      </c>
      <c r="R4030" t="s">
        <v>8315</v>
      </c>
      <c r="S4030" s="17">
        <f t="shared" si="254"/>
        <v>41765.938657407409</v>
      </c>
      <c r="T4030" s="17">
        <f t="shared" si="255"/>
        <v>41795.938657407409</v>
      </c>
      <c r="U4030">
        <f>MONTH(Table1[[#This Row],[Launched]])</f>
        <v>5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8220</v>
      </c>
      <c r="G4031" t="s">
        <v>8223</v>
      </c>
      <c r="H4031" t="s">
        <v>8245</v>
      </c>
      <c r="I4031" s="8">
        <v>1450053370</v>
      </c>
      <c r="J4031">
        <v>1447461370</v>
      </c>
      <c r="K4031" t="b">
        <v>0</v>
      </c>
      <c r="L4031" s="10">
        <v>0</v>
      </c>
      <c r="M4031" t="b">
        <v>0</v>
      </c>
      <c r="N4031" t="s">
        <v>8269</v>
      </c>
      <c r="O4031" s="11">
        <f t="shared" si="252"/>
        <v>0</v>
      </c>
      <c r="P4031" s="12" t="str">
        <f t="shared" si="253"/>
        <v>No Backers</v>
      </c>
      <c r="Q4031" s="14" t="s">
        <v>8314</v>
      </c>
      <c r="R4031" t="s">
        <v>8315</v>
      </c>
      <c r="S4031" s="17">
        <f t="shared" si="254"/>
        <v>42322.025115740747</v>
      </c>
      <c r="T4031" s="17">
        <f t="shared" si="255"/>
        <v>42352.025115740747</v>
      </c>
      <c r="U4031">
        <f>MONTH(Table1[[#This Row],[Launched]])</f>
        <v>11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8220</v>
      </c>
      <c r="G4032" t="s">
        <v>8223</v>
      </c>
      <c r="H4032" t="s">
        <v>8245</v>
      </c>
      <c r="I4032" s="8">
        <v>1454525340</v>
      </c>
      <c r="J4032">
        <v>1452008599</v>
      </c>
      <c r="K4032" t="b">
        <v>0</v>
      </c>
      <c r="L4032" s="10">
        <v>6</v>
      </c>
      <c r="M4032" t="b">
        <v>0</v>
      </c>
      <c r="N4032" t="s">
        <v>8269</v>
      </c>
      <c r="O4032" s="11">
        <f t="shared" si="252"/>
        <v>16</v>
      </c>
      <c r="P4032" s="12">
        <f t="shared" si="253"/>
        <v>67</v>
      </c>
      <c r="Q4032" s="14" t="s">
        <v>8314</v>
      </c>
      <c r="R4032" t="s">
        <v>8315</v>
      </c>
      <c r="S4032" s="17">
        <f t="shared" si="254"/>
        <v>42374.655081018514</v>
      </c>
      <c r="T4032" s="17">
        <f t="shared" si="255"/>
        <v>42403.784027777772</v>
      </c>
      <c r="U4032">
        <f>MONTH(Table1[[#This Row],[Launched]])</f>
        <v>1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8220</v>
      </c>
      <c r="G4033" t="s">
        <v>8223</v>
      </c>
      <c r="H4033" t="s">
        <v>8245</v>
      </c>
      <c r="I4033" s="8">
        <v>1418914964</v>
      </c>
      <c r="J4033">
        <v>1414591364</v>
      </c>
      <c r="K4033" t="b">
        <v>0</v>
      </c>
      <c r="L4033" s="10">
        <v>0</v>
      </c>
      <c r="M4033" t="b">
        <v>0</v>
      </c>
      <c r="N4033" t="s">
        <v>8269</v>
      </c>
      <c r="O4033" s="11">
        <f t="shared" si="252"/>
        <v>0</v>
      </c>
      <c r="P4033" s="12" t="str">
        <f t="shared" si="253"/>
        <v>No Backers</v>
      </c>
      <c r="Q4033" s="14" t="s">
        <v>8314</v>
      </c>
      <c r="R4033" t="s">
        <v>8315</v>
      </c>
      <c r="S4033" s="17">
        <f t="shared" si="254"/>
        <v>41941.585231481484</v>
      </c>
      <c r="T4033" s="17">
        <f t="shared" si="255"/>
        <v>41991.626898148148</v>
      </c>
      <c r="U4033">
        <f>MONTH(Table1[[#This Row],[Launched]])</f>
        <v>10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8220</v>
      </c>
      <c r="G4034" t="s">
        <v>8223</v>
      </c>
      <c r="H4034" t="s">
        <v>8245</v>
      </c>
      <c r="I4034" s="8">
        <v>1450211116</v>
      </c>
      <c r="J4034">
        <v>1445023516</v>
      </c>
      <c r="K4034" t="b">
        <v>0</v>
      </c>
      <c r="L4034" s="10">
        <v>7</v>
      </c>
      <c r="M4034" t="b">
        <v>0</v>
      </c>
      <c r="N4034" t="s">
        <v>8269</v>
      </c>
      <c r="O4034" s="11">
        <f t="shared" ref="O4034:O4097" si="256">ROUND(E4034/D4034*100,0)</f>
        <v>7</v>
      </c>
      <c r="P4034" s="12">
        <f t="shared" si="253"/>
        <v>59</v>
      </c>
      <c r="Q4034" s="14" t="s">
        <v>8314</v>
      </c>
      <c r="R4034" t="s">
        <v>8315</v>
      </c>
      <c r="S4034" s="17">
        <f t="shared" si="254"/>
        <v>42293.809212962966</v>
      </c>
      <c r="T4034" s="17">
        <f t="shared" si="255"/>
        <v>42353.85087962963</v>
      </c>
      <c r="U4034">
        <f>MONTH(Table1[[#This Row],[Launched]])</f>
        <v>10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 s="8">
        <v>1475398800</v>
      </c>
      <c r="J4035">
        <v>1472711224</v>
      </c>
      <c r="K4035" t="b">
        <v>0</v>
      </c>
      <c r="L4035" s="10">
        <v>94</v>
      </c>
      <c r="M4035" t="b">
        <v>0</v>
      </c>
      <c r="N4035" t="s">
        <v>8269</v>
      </c>
      <c r="O4035" s="11">
        <f t="shared" si="256"/>
        <v>26</v>
      </c>
      <c r="P4035" s="12">
        <f t="shared" ref="P4035:P4098" si="257">IFERROR(ROUND(E4035/L4035,),"No Backers")</f>
        <v>65</v>
      </c>
      <c r="Q4035" s="14" t="s">
        <v>8314</v>
      </c>
      <c r="R4035" t="s">
        <v>8315</v>
      </c>
      <c r="S4035" s="17">
        <f t="shared" ref="S4035:S4098" si="258">(((J4035/60)/60)/24)+DATE(1970,1,1)</f>
        <v>42614.268796296295</v>
      </c>
      <c r="T4035" s="17">
        <f t="shared" ref="T4035:T4098" si="259">(((I4035/60)/60)/24)+DATE(1970,1,1)</f>
        <v>42645.375</v>
      </c>
      <c r="U4035">
        <f>MONTH(Table1[[#This Row],[Launched]])</f>
        <v>9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 s="8">
        <v>1428097450</v>
      </c>
      <c r="J4036">
        <v>1425509050</v>
      </c>
      <c r="K4036" t="b">
        <v>0</v>
      </c>
      <c r="L4036" s="10">
        <v>2</v>
      </c>
      <c r="M4036" t="b">
        <v>0</v>
      </c>
      <c r="N4036" t="s">
        <v>8269</v>
      </c>
      <c r="O4036" s="11">
        <f t="shared" si="256"/>
        <v>1</v>
      </c>
      <c r="P4036" s="12">
        <f t="shared" si="257"/>
        <v>100</v>
      </c>
      <c r="Q4036" s="14" t="s">
        <v>8314</v>
      </c>
      <c r="R4036" t="s">
        <v>8315</v>
      </c>
      <c r="S4036" s="17">
        <f t="shared" si="258"/>
        <v>42067.947337962964</v>
      </c>
      <c r="T4036" s="17">
        <f t="shared" si="259"/>
        <v>42097.905671296292</v>
      </c>
      <c r="U4036">
        <f>MONTH(Table1[[#This Row],[Launched]])</f>
        <v>3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 s="8">
        <v>1413925887</v>
      </c>
      <c r="J4037">
        <v>1411333887</v>
      </c>
      <c r="K4037" t="b">
        <v>0</v>
      </c>
      <c r="L4037" s="10">
        <v>25</v>
      </c>
      <c r="M4037" t="b">
        <v>0</v>
      </c>
      <c r="N4037" t="s">
        <v>8269</v>
      </c>
      <c r="O4037" s="11">
        <f t="shared" si="256"/>
        <v>37</v>
      </c>
      <c r="P4037" s="12">
        <f t="shared" si="257"/>
        <v>147</v>
      </c>
      <c r="Q4037" s="14" t="s">
        <v>8314</v>
      </c>
      <c r="R4037" t="s">
        <v>8315</v>
      </c>
      <c r="S4037" s="17">
        <f t="shared" si="258"/>
        <v>41903.882951388885</v>
      </c>
      <c r="T4037" s="17">
        <f t="shared" si="259"/>
        <v>41933.882951388885</v>
      </c>
      <c r="U4037">
        <f>MONTH(Table1[[#This Row],[Launched]])</f>
        <v>9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 s="8">
        <v>1404253800</v>
      </c>
      <c r="J4038">
        <v>1402784964</v>
      </c>
      <c r="K4038" t="b">
        <v>0</v>
      </c>
      <c r="L4038" s="10">
        <v>17</v>
      </c>
      <c r="M4038" t="b">
        <v>0</v>
      </c>
      <c r="N4038" t="s">
        <v>8269</v>
      </c>
      <c r="O4038" s="11">
        <f t="shared" si="256"/>
        <v>47</v>
      </c>
      <c r="P4038" s="12">
        <f t="shared" si="257"/>
        <v>166</v>
      </c>
      <c r="Q4038" s="14" t="s">
        <v>8314</v>
      </c>
      <c r="R4038" t="s">
        <v>8315</v>
      </c>
      <c r="S4038" s="17">
        <f t="shared" si="258"/>
        <v>41804.937083333331</v>
      </c>
      <c r="T4038" s="17">
        <f t="shared" si="259"/>
        <v>41821.9375</v>
      </c>
      <c r="U4038">
        <f>MONTH(Table1[[#This Row],[Launched]])</f>
        <v>6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8220</v>
      </c>
      <c r="G4039" t="s">
        <v>8223</v>
      </c>
      <c r="H4039" t="s">
        <v>8245</v>
      </c>
      <c r="I4039" s="8">
        <v>1464099900</v>
      </c>
      <c r="J4039">
        <v>1462585315</v>
      </c>
      <c r="K4039" t="b">
        <v>0</v>
      </c>
      <c r="L4039" s="10">
        <v>2</v>
      </c>
      <c r="M4039" t="b">
        <v>0</v>
      </c>
      <c r="N4039" t="s">
        <v>8269</v>
      </c>
      <c r="O4039" s="11">
        <f t="shared" si="256"/>
        <v>11</v>
      </c>
      <c r="P4039" s="12">
        <f t="shared" si="257"/>
        <v>40</v>
      </c>
      <c r="Q4039" s="14" t="s">
        <v>8314</v>
      </c>
      <c r="R4039" t="s">
        <v>8315</v>
      </c>
      <c r="S4039" s="17">
        <f t="shared" si="258"/>
        <v>42497.070775462969</v>
      </c>
      <c r="T4039" s="17">
        <f t="shared" si="259"/>
        <v>42514.600694444445</v>
      </c>
      <c r="U4039">
        <f>MONTH(Table1[[#This Row],[Launched]])</f>
        <v>5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8220</v>
      </c>
      <c r="G4040" t="s">
        <v>8223</v>
      </c>
      <c r="H4040" t="s">
        <v>8245</v>
      </c>
      <c r="I4040" s="8">
        <v>1413573010</v>
      </c>
      <c r="J4040">
        <v>1408389010</v>
      </c>
      <c r="K4040" t="b">
        <v>0</v>
      </c>
      <c r="L4040" s="10">
        <v>4</v>
      </c>
      <c r="M4040" t="b">
        <v>0</v>
      </c>
      <c r="N4040" t="s">
        <v>8269</v>
      </c>
      <c r="O4040" s="11">
        <f t="shared" si="256"/>
        <v>12</v>
      </c>
      <c r="P4040" s="12">
        <f t="shared" si="257"/>
        <v>75</v>
      </c>
      <c r="Q4040" s="14" t="s">
        <v>8314</v>
      </c>
      <c r="R4040" t="s">
        <v>8315</v>
      </c>
      <c r="S4040" s="17">
        <f t="shared" si="258"/>
        <v>41869.798726851855</v>
      </c>
      <c r="T4040" s="17">
        <f t="shared" si="259"/>
        <v>41929.798726851855</v>
      </c>
      <c r="U4040">
        <f>MONTH(Table1[[#This Row],[Launched]])</f>
        <v>8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8220</v>
      </c>
      <c r="G4041" t="s">
        <v>8223</v>
      </c>
      <c r="H4041" t="s">
        <v>8245</v>
      </c>
      <c r="I4041" s="8">
        <v>1448949540</v>
      </c>
      <c r="J4041">
        <v>1446048367</v>
      </c>
      <c r="K4041" t="b">
        <v>0</v>
      </c>
      <c r="L4041" s="10">
        <v>5</v>
      </c>
      <c r="M4041" t="b">
        <v>0</v>
      </c>
      <c r="N4041" t="s">
        <v>8269</v>
      </c>
      <c r="O4041" s="11">
        <f t="shared" si="256"/>
        <v>60</v>
      </c>
      <c r="P4041" s="12">
        <f t="shared" si="257"/>
        <v>60</v>
      </c>
      <c r="Q4041" s="14" t="s">
        <v>8314</v>
      </c>
      <c r="R4041" t="s">
        <v>8315</v>
      </c>
      <c r="S4041" s="17">
        <f t="shared" si="258"/>
        <v>42305.670914351853</v>
      </c>
      <c r="T4041" s="17">
        <f t="shared" si="259"/>
        <v>42339.249305555553</v>
      </c>
      <c r="U4041">
        <f>MONTH(Table1[[#This Row],[Launched]])</f>
        <v>10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 s="8">
        <v>1437188400</v>
      </c>
      <c r="J4042">
        <v>1432100004</v>
      </c>
      <c r="K4042" t="b">
        <v>0</v>
      </c>
      <c r="L4042" s="10">
        <v>2</v>
      </c>
      <c r="M4042" t="b">
        <v>0</v>
      </c>
      <c r="N4042" t="s">
        <v>8269</v>
      </c>
      <c r="O4042" s="11">
        <f t="shared" si="256"/>
        <v>31</v>
      </c>
      <c r="P4042" s="12">
        <f t="shared" si="257"/>
        <v>1250</v>
      </c>
      <c r="Q4042" s="14" t="s">
        <v>8314</v>
      </c>
      <c r="R4042" t="s">
        <v>8315</v>
      </c>
      <c r="S4042" s="17">
        <f t="shared" si="258"/>
        <v>42144.231527777782</v>
      </c>
      <c r="T4042" s="17">
        <f t="shared" si="259"/>
        <v>42203.125</v>
      </c>
      <c r="U4042">
        <f>MONTH(Table1[[#This Row],[Launched]])</f>
        <v>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8220</v>
      </c>
      <c r="G4043" t="s">
        <v>8224</v>
      </c>
      <c r="H4043" t="s">
        <v>8246</v>
      </c>
      <c r="I4043" s="8">
        <v>1473160954</v>
      </c>
      <c r="J4043">
        <v>1467976954</v>
      </c>
      <c r="K4043" t="b">
        <v>0</v>
      </c>
      <c r="L4043" s="10">
        <v>2</v>
      </c>
      <c r="M4043" t="b">
        <v>0</v>
      </c>
      <c r="N4043" t="s">
        <v>8269</v>
      </c>
      <c r="O4043" s="11">
        <f t="shared" si="256"/>
        <v>0</v>
      </c>
      <c r="P4043" s="12">
        <f t="shared" si="257"/>
        <v>11</v>
      </c>
      <c r="Q4043" s="14" t="s">
        <v>8314</v>
      </c>
      <c r="R4043" t="s">
        <v>8315</v>
      </c>
      <c r="S4043" s="17">
        <f t="shared" si="258"/>
        <v>42559.474004629628</v>
      </c>
      <c r="T4043" s="17">
        <f t="shared" si="259"/>
        <v>42619.474004629628</v>
      </c>
      <c r="U4043">
        <f>MONTH(Table1[[#This Row],[Launched]])</f>
        <v>7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8220</v>
      </c>
      <c r="G4044" t="s">
        <v>8223</v>
      </c>
      <c r="H4044" t="s">
        <v>8245</v>
      </c>
      <c r="I4044" s="8">
        <v>1421781360</v>
      </c>
      <c r="J4044">
        <v>1419213664</v>
      </c>
      <c r="K4044" t="b">
        <v>0</v>
      </c>
      <c r="L4044" s="10">
        <v>3</v>
      </c>
      <c r="M4044" t="b">
        <v>0</v>
      </c>
      <c r="N4044" t="s">
        <v>8269</v>
      </c>
      <c r="O4044" s="11">
        <f t="shared" si="256"/>
        <v>0</v>
      </c>
      <c r="P4044" s="12">
        <f t="shared" si="257"/>
        <v>7</v>
      </c>
      <c r="Q4044" s="14" t="s">
        <v>8314</v>
      </c>
      <c r="R4044" t="s">
        <v>8315</v>
      </c>
      <c r="S4044" s="17">
        <f t="shared" si="258"/>
        <v>41995.084074074075</v>
      </c>
      <c r="T4044" s="17">
        <f t="shared" si="259"/>
        <v>42024.802777777775</v>
      </c>
      <c r="U4044">
        <f>MONTH(Table1[[#This Row],[Launched]])</f>
        <v>12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8220</v>
      </c>
      <c r="G4045" t="s">
        <v>8228</v>
      </c>
      <c r="H4045" t="s">
        <v>8250</v>
      </c>
      <c r="I4045" s="8">
        <v>1416524325</v>
      </c>
      <c r="J4045">
        <v>1415228325</v>
      </c>
      <c r="K4045" t="b">
        <v>0</v>
      </c>
      <c r="L4045" s="10">
        <v>0</v>
      </c>
      <c r="M4045" t="b">
        <v>0</v>
      </c>
      <c r="N4045" t="s">
        <v>8269</v>
      </c>
      <c r="O4045" s="11">
        <f t="shared" si="256"/>
        <v>0</v>
      </c>
      <c r="P4045" s="12" t="str">
        <f t="shared" si="257"/>
        <v>No Backers</v>
      </c>
      <c r="Q4045" s="14" t="s">
        <v>8314</v>
      </c>
      <c r="R4045" t="s">
        <v>8315</v>
      </c>
      <c r="S4045" s="17">
        <f t="shared" si="258"/>
        <v>41948.957465277781</v>
      </c>
      <c r="T4045" s="17">
        <f t="shared" si="259"/>
        <v>41963.957465277781</v>
      </c>
      <c r="U4045">
        <f>MONTH(Table1[[#This Row],[Launched]])</f>
        <v>11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8220</v>
      </c>
      <c r="G4046" t="s">
        <v>8223</v>
      </c>
      <c r="H4046" t="s">
        <v>8245</v>
      </c>
      <c r="I4046" s="8">
        <v>1428642000</v>
      </c>
      <c r="J4046">
        <v>1426050982</v>
      </c>
      <c r="K4046" t="b">
        <v>0</v>
      </c>
      <c r="L4046" s="10">
        <v>4</v>
      </c>
      <c r="M4046" t="b">
        <v>0</v>
      </c>
      <c r="N4046" t="s">
        <v>8269</v>
      </c>
      <c r="O4046" s="11">
        <f t="shared" si="256"/>
        <v>38</v>
      </c>
      <c r="P4046" s="12">
        <f t="shared" si="257"/>
        <v>56</v>
      </c>
      <c r="Q4046" s="14" t="s">
        <v>8314</v>
      </c>
      <c r="R4046" t="s">
        <v>8315</v>
      </c>
      <c r="S4046" s="17">
        <f t="shared" si="258"/>
        <v>42074.219699074078</v>
      </c>
      <c r="T4046" s="17">
        <f t="shared" si="259"/>
        <v>42104.208333333328</v>
      </c>
      <c r="U4046">
        <f>MONTH(Table1[[#This Row],[Launched]])</f>
        <v>3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8220</v>
      </c>
      <c r="G4047" t="s">
        <v>8225</v>
      </c>
      <c r="H4047" t="s">
        <v>8247</v>
      </c>
      <c r="I4047" s="8">
        <v>1408596589</v>
      </c>
      <c r="J4047">
        <v>1406004589</v>
      </c>
      <c r="K4047" t="b">
        <v>0</v>
      </c>
      <c r="L4047" s="10">
        <v>1</v>
      </c>
      <c r="M4047" t="b">
        <v>0</v>
      </c>
      <c r="N4047" t="s">
        <v>8269</v>
      </c>
      <c r="O4047" s="11">
        <f t="shared" si="256"/>
        <v>0</v>
      </c>
      <c r="P4047" s="12">
        <f t="shared" si="257"/>
        <v>1</v>
      </c>
      <c r="Q4047" s="14" t="s">
        <v>8314</v>
      </c>
      <c r="R4047" t="s">
        <v>8315</v>
      </c>
      <c r="S4047" s="17">
        <f t="shared" si="258"/>
        <v>41842.201261574075</v>
      </c>
      <c r="T4047" s="17">
        <f t="shared" si="259"/>
        <v>41872.201261574075</v>
      </c>
      <c r="U4047">
        <f>MONTH(Table1[[#This Row],[Launched]])</f>
        <v>7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8220</v>
      </c>
      <c r="G4048" t="s">
        <v>8223</v>
      </c>
      <c r="H4048" t="s">
        <v>8245</v>
      </c>
      <c r="I4048" s="8">
        <v>1413992210</v>
      </c>
      <c r="J4048">
        <v>1411400210</v>
      </c>
      <c r="K4048" t="b">
        <v>0</v>
      </c>
      <c r="L4048" s="10">
        <v>12</v>
      </c>
      <c r="M4048" t="b">
        <v>0</v>
      </c>
      <c r="N4048" t="s">
        <v>8269</v>
      </c>
      <c r="O4048" s="11">
        <f t="shared" si="256"/>
        <v>8</v>
      </c>
      <c r="P4048" s="12">
        <f t="shared" si="257"/>
        <v>38</v>
      </c>
      <c r="Q4048" s="14" t="s">
        <v>8314</v>
      </c>
      <c r="R4048" t="s">
        <v>8315</v>
      </c>
      <c r="S4048" s="17">
        <f t="shared" si="258"/>
        <v>41904.650578703702</v>
      </c>
      <c r="T4048" s="17">
        <f t="shared" si="259"/>
        <v>41934.650578703702</v>
      </c>
      <c r="U4048">
        <f>MONTH(Table1[[#This Row],[Launched]])</f>
        <v>9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8220</v>
      </c>
      <c r="G4049" t="s">
        <v>8223</v>
      </c>
      <c r="H4049" t="s">
        <v>8245</v>
      </c>
      <c r="I4049" s="8">
        <v>1420938000</v>
      </c>
      <c r="J4049">
        <v>1418862743</v>
      </c>
      <c r="K4049" t="b">
        <v>0</v>
      </c>
      <c r="L4049" s="10">
        <v>4</v>
      </c>
      <c r="M4049" t="b">
        <v>0</v>
      </c>
      <c r="N4049" t="s">
        <v>8269</v>
      </c>
      <c r="O4049" s="11">
        <f t="shared" si="256"/>
        <v>2</v>
      </c>
      <c r="P4049" s="12">
        <f t="shared" si="257"/>
        <v>28</v>
      </c>
      <c r="Q4049" s="14" t="s">
        <v>8314</v>
      </c>
      <c r="R4049" t="s">
        <v>8315</v>
      </c>
      <c r="S4049" s="17">
        <f t="shared" si="258"/>
        <v>41991.022488425922</v>
      </c>
      <c r="T4049" s="17">
        <f t="shared" si="259"/>
        <v>42015.041666666672</v>
      </c>
      <c r="U4049">
        <f>MONTH(Table1[[#This Row],[Launched]])</f>
        <v>12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 s="8">
        <v>1460373187</v>
      </c>
      <c r="J4050">
        <v>1457352787</v>
      </c>
      <c r="K4050" t="b">
        <v>0</v>
      </c>
      <c r="L4050" s="10">
        <v>91</v>
      </c>
      <c r="M4050" t="b">
        <v>0</v>
      </c>
      <c r="N4050" t="s">
        <v>8269</v>
      </c>
      <c r="O4050" s="11">
        <f t="shared" si="256"/>
        <v>18</v>
      </c>
      <c r="P4050" s="12">
        <f t="shared" si="257"/>
        <v>33</v>
      </c>
      <c r="Q4050" s="14" t="s">
        <v>8314</v>
      </c>
      <c r="R4050" t="s">
        <v>8315</v>
      </c>
      <c r="S4050" s="17">
        <f t="shared" si="258"/>
        <v>42436.509108796294</v>
      </c>
      <c r="T4050" s="17">
        <f t="shared" si="259"/>
        <v>42471.467442129629</v>
      </c>
      <c r="U4050">
        <f>MONTH(Table1[[#This Row],[Launched]])</f>
        <v>3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8220</v>
      </c>
      <c r="G4051" t="s">
        <v>8223</v>
      </c>
      <c r="H4051" t="s">
        <v>8245</v>
      </c>
      <c r="I4051" s="8">
        <v>1436914815</v>
      </c>
      <c r="J4051">
        <v>1434322815</v>
      </c>
      <c r="K4051" t="b">
        <v>0</v>
      </c>
      <c r="L4051" s="10">
        <v>1</v>
      </c>
      <c r="M4051" t="b">
        <v>0</v>
      </c>
      <c r="N4051" t="s">
        <v>8269</v>
      </c>
      <c r="O4051" s="11">
        <f t="shared" si="256"/>
        <v>0</v>
      </c>
      <c r="P4051" s="12">
        <f t="shared" si="257"/>
        <v>16</v>
      </c>
      <c r="Q4051" s="14" t="s">
        <v>8314</v>
      </c>
      <c r="R4051" t="s">
        <v>8315</v>
      </c>
      <c r="S4051" s="17">
        <f t="shared" si="258"/>
        <v>42169.958506944444</v>
      </c>
      <c r="T4051" s="17">
        <f t="shared" si="259"/>
        <v>42199.958506944444</v>
      </c>
      <c r="U4051">
        <f>MONTH(Table1[[#This Row],[Launched]])</f>
        <v>6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8220</v>
      </c>
      <c r="G4052" t="s">
        <v>8223</v>
      </c>
      <c r="H4052" t="s">
        <v>8245</v>
      </c>
      <c r="I4052" s="8">
        <v>1414077391</v>
      </c>
      <c r="J4052">
        <v>1411485391</v>
      </c>
      <c r="K4052" t="b">
        <v>0</v>
      </c>
      <c r="L4052" s="10">
        <v>1</v>
      </c>
      <c r="M4052" t="b">
        <v>0</v>
      </c>
      <c r="N4052" t="s">
        <v>8269</v>
      </c>
      <c r="O4052" s="11">
        <f t="shared" si="256"/>
        <v>0</v>
      </c>
      <c r="P4052" s="12">
        <f t="shared" si="257"/>
        <v>1</v>
      </c>
      <c r="Q4052" s="14" t="s">
        <v>8314</v>
      </c>
      <c r="R4052" t="s">
        <v>8315</v>
      </c>
      <c r="S4052" s="17">
        <f t="shared" si="258"/>
        <v>41905.636469907404</v>
      </c>
      <c r="T4052" s="17">
        <f t="shared" si="259"/>
        <v>41935.636469907404</v>
      </c>
      <c r="U4052">
        <f>MONTH(Table1[[#This Row],[Launched]])</f>
        <v>9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8220</v>
      </c>
      <c r="G4053" t="s">
        <v>8223</v>
      </c>
      <c r="H4053" t="s">
        <v>8245</v>
      </c>
      <c r="I4053" s="8">
        <v>1399618380</v>
      </c>
      <c r="J4053">
        <v>1399058797</v>
      </c>
      <c r="K4053" t="b">
        <v>0</v>
      </c>
      <c r="L4053" s="10">
        <v>0</v>
      </c>
      <c r="M4053" t="b">
        <v>0</v>
      </c>
      <c r="N4053" t="s">
        <v>8269</v>
      </c>
      <c r="O4053" s="11">
        <f t="shared" si="256"/>
        <v>0</v>
      </c>
      <c r="P4053" s="12" t="str">
        <f t="shared" si="257"/>
        <v>No Backers</v>
      </c>
      <c r="Q4053" s="14" t="s">
        <v>8314</v>
      </c>
      <c r="R4053" t="s">
        <v>8315</v>
      </c>
      <c r="S4053" s="17">
        <f t="shared" si="258"/>
        <v>41761.810150462967</v>
      </c>
      <c r="T4053" s="17">
        <f t="shared" si="259"/>
        <v>41768.286805555559</v>
      </c>
      <c r="U4053">
        <f>MONTH(Table1[[#This Row],[Launched]])</f>
        <v>5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 s="8">
        <v>1413234316</v>
      </c>
      <c r="J4054">
        <v>1408050316</v>
      </c>
      <c r="K4054" t="b">
        <v>0</v>
      </c>
      <c r="L4054" s="10">
        <v>13</v>
      </c>
      <c r="M4054" t="b">
        <v>0</v>
      </c>
      <c r="N4054" t="s">
        <v>8269</v>
      </c>
      <c r="O4054" s="11">
        <f t="shared" si="256"/>
        <v>38</v>
      </c>
      <c r="P4054" s="12">
        <f t="shared" si="257"/>
        <v>87</v>
      </c>
      <c r="Q4054" s="14" t="s">
        <v>8314</v>
      </c>
      <c r="R4054" t="s">
        <v>8315</v>
      </c>
      <c r="S4054" s="17">
        <f t="shared" si="258"/>
        <v>41865.878657407404</v>
      </c>
      <c r="T4054" s="17">
        <f t="shared" si="259"/>
        <v>41925.878657407404</v>
      </c>
      <c r="U4054">
        <f>MONTH(Table1[[#This Row],[Launched]])</f>
        <v>8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8220</v>
      </c>
      <c r="G4055" t="s">
        <v>8224</v>
      </c>
      <c r="H4055" t="s">
        <v>8246</v>
      </c>
      <c r="I4055" s="8">
        <v>1416081600</v>
      </c>
      <c r="J4055">
        <v>1413477228</v>
      </c>
      <c r="K4055" t="b">
        <v>0</v>
      </c>
      <c r="L4055" s="10">
        <v>2</v>
      </c>
      <c r="M4055" t="b">
        <v>0</v>
      </c>
      <c r="N4055" t="s">
        <v>8269</v>
      </c>
      <c r="O4055" s="11">
        <f t="shared" si="256"/>
        <v>22</v>
      </c>
      <c r="P4055" s="12">
        <f t="shared" si="257"/>
        <v>55</v>
      </c>
      <c r="Q4055" s="14" t="s">
        <v>8314</v>
      </c>
      <c r="R4055" t="s">
        <v>8315</v>
      </c>
      <c r="S4055" s="17">
        <f t="shared" si="258"/>
        <v>41928.690138888887</v>
      </c>
      <c r="T4055" s="17">
        <f t="shared" si="259"/>
        <v>41958.833333333328</v>
      </c>
      <c r="U4055">
        <f>MONTH(Table1[[#This Row],[Launched]])</f>
        <v>10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8220</v>
      </c>
      <c r="G4056" t="s">
        <v>8223</v>
      </c>
      <c r="H4056" t="s">
        <v>8245</v>
      </c>
      <c r="I4056" s="8">
        <v>1475294400</v>
      </c>
      <c r="J4056">
        <v>1472674285</v>
      </c>
      <c r="K4056" t="b">
        <v>0</v>
      </c>
      <c r="L4056" s="10">
        <v>0</v>
      </c>
      <c r="M4056" t="b">
        <v>0</v>
      </c>
      <c r="N4056" t="s">
        <v>8269</v>
      </c>
      <c r="O4056" s="11">
        <f t="shared" si="256"/>
        <v>0</v>
      </c>
      <c r="P4056" s="12" t="str">
        <f t="shared" si="257"/>
        <v>No Backers</v>
      </c>
      <c r="Q4056" s="14" t="s">
        <v>8314</v>
      </c>
      <c r="R4056" t="s">
        <v>8315</v>
      </c>
      <c r="S4056" s="17">
        <f t="shared" si="258"/>
        <v>42613.841261574074</v>
      </c>
      <c r="T4056" s="17">
        <f t="shared" si="259"/>
        <v>42644.166666666672</v>
      </c>
      <c r="U4056">
        <f>MONTH(Table1[[#This Row],[Launched]])</f>
        <v>8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8220</v>
      </c>
      <c r="G4057" t="s">
        <v>8224</v>
      </c>
      <c r="H4057" t="s">
        <v>8246</v>
      </c>
      <c r="I4057" s="8">
        <v>1403192031</v>
      </c>
      <c r="J4057">
        <v>1400600031</v>
      </c>
      <c r="K4057" t="b">
        <v>0</v>
      </c>
      <c r="L4057" s="10">
        <v>21</v>
      </c>
      <c r="M4057" t="b">
        <v>0</v>
      </c>
      <c r="N4057" t="s">
        <v>8269</v>
      </c>
      <c r="O4057" s="11">
        <f t="shared" si="256"/>
        <v>18</v>
      </c>
      <c r="P4057" s="12">
        <f t="shared" si="257"/>
        <v>42</v>
      </c>
      <c r="Q4057" s="14" t="s">
        <v>8314</v>
      </c>
      <c r="R4057" t="s">
        <v>8315</v>
      </c>
      <c r="S4057" s="17">
        <f t="shared" si="258"/>
        <v>41779.648506944446</v>
      </c>
      <c r="T4057" s="17">
        <f t="shared" si="259"/>
        <v>41809.648506944446</v>
      </c>
      <c r="U4057">
        <f>MONTH(Table1[[#This Row],[Launched]])</f>
        <v>5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8220</v>
      </c>
      <c r="G4058" t="s">
        <v>8223</v>
      </c>
      <c r="H4058" t="s">
        <v>8245</v>
      </c>
      <c r="I4058" s="8">
        <v>1467575940</v>
      </c>
      <c r="J4058">
        <v>1465856639</v>
      </c>
      <c r="K4058" t="b">
        <v>0</v>
      </c>
      <c r="L4058" s="10">
        <v>9</v>
      </c>
      <c r="M4058" t="b">
        <v>0</v>
      </c>
      <c r="N4058" t="s">
        <v>8269</v>
      </c>
      <c r="O4058" s="11">
        <f t="shared" si="256"/>
        <v>53</v>
      </c>
      <c r="P4058" s="12">
        <f t="shared" si="257"/>
        <v>88</v>
      </c>
      <c r="Q4058" s="14" t="s">
        <v>8314</v>
      </c>
      <c r="R4058" t="s">
        <v>8315</v>
      </c>
      <c r="S4058" s="17">
        <f t="shared" si="258"/>
        <v>42534.933321759265</v>
      </c>
      <c r="T4058" s="17">
        <f t="shared" si="259"/>
        <v>42554.832638888889</v>
      </c>
      <c r="U4058">
        <f>MONTH(Table1[[#This Row],[Launched]])</f>
        <v>6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8220</v>
      </c>
      <c r="G4059" t="s">
        <v>8224</v>
      </c>
      <c r="H4059" t="s">
        <v>8246</v>
      </c>
      <c r="I4059" s="8">
        <v>1448492400</v>
      </c>
      <c r="J4059">
        <v>1446506080</v>
      </c>
      <c r="K4059" t="b">
        <v>0</v>
      </c>
      <c r="L4059" s="10">
        <v>6</v>
      </c>
      <c r="M4059" t="b">
        <v>0</v>
      </c>
      <c r="N4059" t="s">
        <v>8269</v>
      </c>
      <c r="O4059" s="11">
        <f t="shared" si="256"/>
        <v>22</v>
      </c>
      <c r="P4059" s="12">
        <f t="shared" si="257"/>
        <v>129</v>
      </c>
      <c r="Q4059" s="14" t="s">
        <v>8314</v>
      </c>
      <c r="R4059" t="s">
        <v>8315</v>
      </c>
      <c r="S4059" s="17">
        <f t="shared" si="258"/>
        <v>42310.968518518523</v>
      </c>
      <c r="T4059" s="17">
        <f t="shared" si="259"/>
        <v>42333.958333333328</v>
      </c>
      <c r="U4059">
        <f>MONTH(Table1[[#This Row],[Launched]])</f>
        <v>11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8220</v>
      </c>
      <c r="G4060" t="s">
        <v>8223</v>
      </c>
      <c r="H4060" t="s">
        <v>8245</v>
      </c>
      <c r="I4060" s="8">
        <v>1459483140</v>
      </c>
      <c r="J4060">
        <v>1458178044</v>
      </c>
      <c r="K4060" t="b">
        <v>0</v>
      </c>
      <c r="L4060" s="10">
        <v>4</v>
      </c>
      <c r="M4060" t="b">
        <v>0</v>
      </c>
      <c r="N4060" t="s">
        <v>8269</v>
      </c>
      <c r="O4060" s="11">
        <f t="shared" si="256"/>
        <v>3</v>
      </c>
      <c r="P4060" s="12">
        <f t="shared" si="257"/>
        <v>24</v>
      </c>
      <c r="Q4060" s="14" t="s">
        <v>8314</v>
      </c>
      <c r="R4060" t="s">
        <v>8315</v>
      </c>
      <c r="S4060" s="17">
        <f t="shared" si="258"/>
        <v>42446.060694444444</v>
      </c>
      <c r="T4060" s="17">
        <f t="shared" si="259"/>
        <v>42461.165972222225</v>
      </c>
      <c r="U4060">
        <f>MONTH(Table1[[#This Row],[Launched]])</f>
        <v>3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 s="8">
        <v>1410836400</v>
      </c>
      <c r="J4061">
        <v>1408116152</v>
      </c>
      <c r="K4061" t="b">
        <v>0</v>
      </c>
      <c r="L4061" s="10">
        <v>7</v>
      </c>
      <c r="M4061" t="b">
        <v>0</v>
      </c>
      <c r="N4061" t="s">
        <v>8269</v>
      </c>
      <c r="O4061" s="11">
        <f t="shared" si="256"/>
        <v>3</v>
      </c>
      <c r="P4061" s="12">
        <f t="shared" si="257"/>
        <v>36</v>
      </c>
      <c r="Q4061" s="14" t="s">
        <v>8314</v>
      </c>
      <c r="R4061" t="s">
        <v>8315</v>
      </c>
      <c r="S4061" s="17">
        <f t="shared" si="258"/>
        <v>41866.640648148146</v>
      </c>
      <c r="T4061" s="17">
        <f t="shared" si="259"/>
        <v>41898.125</v>
      </c>
      <c r="U4061">
        <f>MONTH(Table1[[#This Row],[Launched]])</f>
        <v>8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 s="8">
        <v>1403539200</v>
      </c>
      <c r="J4062">
        <v>1400604056</v>
      </c>
      <c r="K4062" t="b">
        <v>0</v>
      </c>
      <c r="L4062" s="10">
        <v>5</v>
      </c>
      <c r="M4062" t="b">
        <v>0</v>
      </c>
      <c r="N4062" t="s">
        <v>8269</v>
      </c>
      <c r="O4062" s="11">
        <f t="shared" si="256"/>
        <v>3</v>
      </c>
      <c r="P4062" s="12">
        <f t="shared" si="257"/>
        <v>57</v>
      </c>
      <c r="Q4062" s="14" t="s">
        <v>8314</v>
      </c>
      <c r="R4062" t="s">
        <v>8315</v>
      </c>
      <c r="S4062" s="17">
        <f t="shared" si="258"/>
        <v>41779.695092592592</v>
      </c>
      <c r="T4062" s="17">
        <f t="shared" si="259"/>
        <v>41813.666666666664</v>
      </c>
      <c r="U4062">
        <f>MONTH(Table1[[#This Row],[Launched]])</f>
        <v>5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8220</v>
      </c>
      <c r="G4063" t="s">
        <v>8223</v>
      </c>
      <c r="H4063" t="s">
        <v>8245</v>
      </c>
      <c r="I4063" s="8">
        <v>1461205423</v>
      </c>
      <c r="J4063">
        <v>1456025023</v>
      </c>
      <c r="K4063" t="b">
        <v>0</v>
      </c>
      <c r="L4063" s="10">
        <v>0</v>
      </c>
      <c r="M4063" t="b">
        <v>0</v>
      </c>
      <c r="N4063" t="s">
        <v>8269</v>
      </c>
      <c r="O4063" s="11">
        <f t="shared" si="256"/>
        <v>0</v>
      </c>
      <c r="P4063" s="12" t="str">
        <f t="shared" si="257"/>
        <v>No Backers</v>
      </c>
      <c r="Q4063" s="14" t="s">
        <v>8314</v>
      </c>
      <c r="R4063" t="s">
        <v>8315</v>
      </c>
      <c r="S4063" s="17">
        <f t="shared" si="258"/>
        <v>42421.141469907408</v>
      </c>
      <c r="T4063" s="17">
        <f t="shared" si="259"/>
        <v>42481.099803240737</v>
      </c>
      <c r="U4063">
        <f>MONTH(Table1[[#This Row],[Launched]])</f>
        <v>2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 s="8">
        <v>1467481468</v>
      </c>
      <c r="J4064">
        <v>1464889468</v>
      </c>
      <c r="K4064" t="b">
        <v>0</v>
      </c>
      <c r="L4064" s="10">
        <v>3</v>
      </c>
      <c r="M4064" t="b">
        <v>0</v>
      </c>
      <c r="N4064" t="s">
        <v>8269</v>
      </c>
      <c r="O4064" s="11">
        <f t="shared" si="256"/>
        <v>2</v>
      </c>
      <c r="P4064" s="12">
        <f t="shared" si="257"/>
        <v>163</v>
      </c>
      <c r="Q4064" s="14" t="s">
        <v>8314</v>
      </c>
      <c r="R4064" t="s">
        <v>8315</v>
      </c>
      <c r="S4064" s="17">
        <f t="shared" si="258"/>
        <v>42523.739212962959</v>
      </c>
      <c r="T4064" s="17">
        <f t="shared" si="259"/>
        <v>42553.739212962959</v>
      </c>
      <c r="U4064">
        <f>MONTH(Table1[[#This Row],[Launched]])</f>
        <v>6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8220</v>
      </c>
      <c r="G4065" t="s">
        <v>8224</v>
      </c>
      <c r="H4065" t="s">
        <v>8246</v>
      </c>
      <c r="I4065" s="8">
        <v>1403886084</v>
      </c>
      <c r="J4065">
        <v>1401294084</v>
      </c>
      <c r="K4065" t="b">
        <v>0</v>
      </c>
      <c r="L4065" s="10">
        <v>9</v>
      </c>
      <c r="M4065" t="b">
        <v>0</v>
      </c>
      <c r="N4065" t="s">
        <v>8269</v>
      </c>
      <c r="O4065" s="11">
        <f t="shared" si="256"/>
        <v>1</v>
      </c>
      <c r="P4065" s="12">
        <f t="shared" si="257"/>
        <v>15</v>
      </c>
      <c r="Q4065" s="14" t="s">
        <v>8314</v>
      </c>
      <c r="R4065" t="s">
        <v>8315</v>
      </c>
      <c r="S4065" s="17">
        <f t="shared" si="258"/>
        <v>41787.681527777779</v>
      </c>
      <c r="T4065" s="17">
        <f t="shared" si="259"/>
        <v>41817.681527777779</v>
      </c>
      <c r="U4065">
        <f>MONTH(Table1[[#This Row],[Launched]])</f>
        <v>5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8220</v>
      </c>
      <c r="G4066" t="s">
        <v>8225</v>
      </c>
      <c r="H4066" t="s">
        <v>8247</v>
      </c>
      <c r="I4066" s="8">
        <v>1430316426</v>
      </c>
      <c r="J4066">
        <v>1427724426</v>
      </c>
      <c r="K4066" t="b">
        <v>0</v>
      </c>
      <c r="L4066" s="10">
        <v>6</v>
      </c>
      <c r="M4066" t="b">
        <v>0</v>
      </c>
      <c r="N4066" t="s">
        <v>8269</v>
      </c>
      <c r="O4066" s="11">
        <f t="shared" si="256"/>
        <v>19</v>
      </c>
      <c r="P4066" s="12">
        <f t="shared" si="257"/>
        <v>64</v>
      </c>
      <c r="Q4066" s="14" t="s">
        <v>8314</v>
      </c>
      <c r="R4066" t="s">
        <v>8315</v>
      </c>
      <c r="S4066" s="17">
        <f t="shared" si="258"/>
        <v>42093.588263888887</v>
      </c>
      <c r="T4066" s="17">
        <f t="shared" si="259"/>
        <v>42123.588263888887</v>
      </c>
      <c r="U4066">
        <f>MONTH(Table1[[#This Row],[Launched]])</f>
        <v>3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8220</v>
      </c>
      <c r="G4067" t="s">
        <v>8223</v>
      </c>
      <c r="H4067" t="s">
        <v>8245</v>
      </c>
      <c r="I4067" s="8">
        <v>1407883811</v>
      </c>
      <c r="J4067">
        <v>1405291811</v>
      </c>
      <c r="K4067" t="b">
        <v>0</v>
      </c>
      <c r="L4067" s="10">
        <v>4</v>
      </c>
      <c r="M4067" t="b">
        <v>0</v>
      </c>
      <c r="N4067" t="s">
        <v>8269</v>
      </c>
      <c r="O4067" s="11">
        <f t="shared" si="256"/>
        <v>1</v>
      </c>
      <c r="P4067" s="12">
        <f t="shared" si="257"/>
        <v>7</v>
      </c>
      <c r="Q4067" s="14" t="s">
        <v>8314</v>
      </c>
      <c r="R4067" t="s">
        <v>8315</v>
      </c>
      <c r="S4067" s="17">
        <f t="shared" si="258"/>
        <v>41833.951516203706</v>
      </c>
      <c r="T4067" s="17">
        <f t="shared" si="259"/>
        <v>41863.951516203706</v>
      </c>
      <c r="U4067">
        <f>MONTH(Table1[[#This Row],[Launched]])</f>
        <v>7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8220</v>
      </c>
      <c r="G4068" t="s">
        <v>8223</v>
      </c>
      <c r="H4068" t="s">
        <v>8245</v>
      </c>
      <c r="I4068" s="8">
        <v>1463619388</v>
      </c>
      <c r="J4068">
        <v>1461027388</v>
      </c>
      <c r="K4068" t="b">
        <v>0</v>
      </c>
      <c r="L4068" s="10">
        <v>1</v>
      </c>
      <c r="M4068" t="b">
        <v>0</v>
      </c>
      <c r="N4068" t="s">
        <v>8269</v>
      </c>
      <c r="O4068" s="11">
        <f t="shared" si="256"/>
        <v>0</v>
      </c>
      <c r="P4068" s="12">
        <f t="shared" si="257"/>
        <v>25</v>
      </c>
      <c r="Q4068" s="14" t="s">
        <v>8314</v>
      </c>
      <c r="R4068" t="s">
        <v>8315</v>
      </c>
      <c r="S4068" s="17">
        <f t="shared" si="258"/>
        <v>42479.039212962962</v>
      </c>
      <c r="T4068" s="17">
        <f t="shared" si="259"/>
        <v>42509.039212962962</v>
      </c>
      <c r="U4068">
        <f>MONTH(Table1[[#This Row],[Launched]])</f>
        <v>4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 s="8">
        <v>1443408550</v>
      </c>
      <c r="J4069">
        <v>1439952550</v>
      </c>
      <c r="K4069" t="b">
        <v>0</v>
      </c>
      <c r="L4069" s="10">
        <v>17</v>
      </c>
      <c r="M4069" t="b">
        <v>0</v>
      </c>
      <c r="N4069" t="s">
        <v>8269</v>
      </c>
      <c r="O4069" s="11">
        <f t="shared" si="256"/>
        <v>61</v>
      </c>
      <c r="P4069" s="12">
        <f t="shared" si="257"/>
        <v>179</v>
      </c>
      <c r="Q4069" s="14" t="s">
        <v>8314</v>
      </c>
      <c r="R4069" t="s">
        <v>8315</v>
      </c>
      <c r="S4069" s="17">
        <f t="shared" si="258"/>
        <v>42235.117476851854</v>
      </c>
      <c r="T4069" s="17">
        <f t="shared" si="259"/>
        <v>42275.117476851854</v>
      </c>
      <c r="U4069">
        <f>MONTH(Table1[[#This Row],[Launched]])</f>
        <v>8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 s="8">
        <v>1484348700</v>
      </c>
      <c r="J4070">
        <v>1481756855</v>
      </c>
      <c r="K4070" t="b">
        <v>0</v>
      </c>
      <c r="L4070" s="10">
        <v>1</v>
      </c>
      <c r="M4070" t="b">
        <v>0</v>
      </c>
      <c r="N4070" t="s">
        <v>8269</v>
      </c>
      <c r="O4070" s="11">
        <f t="shared" si="256"/>
        <v>1</v>
      </c>
      <c r="P4070" s="12">
        <f t="shared" si="257"/>
        <v>35</v>
      </c>
      <c r="Q4070" s="14" t="s">
        <v>8314</v>
      </c>
      <c r="R4070" t="s">
        <v>8315</v>
      </c>
      <c r="S4070" s="17">
        <f t="shared" si="258"/>
        <v>42718.963599537034</v>
      </c>
      <c r="T4070" s="17">
        <f t="shared" si="259"/>
        <v>42748.961805555555</v>
      </c>
      <c r="U4070">
        <f>MONTH(Table1[[#This Row],[Launched]])</f>
        <v>12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8220</v>
      </c>
      <c r="G4071" t="s">
        <v>8224</v>
      </c>
      <c r="H4071" t="s">
        <v>8246</v>
      </c>
      <c r="I4071" s="8">
        <v>1425124800</v>
      </c>
      <c r="J4071">
        <v>1421596356</v>
      </c>
      <c r="K4071" t="b">
        <v>0</v>
      </c>
      <c r="L4071" s="10">
        <v>13</v>
      </c>
      <c r="M4071" t="b">
        <v>0</v>
      </c>
      <c r="N4071" t="s">
        <v>8269</v>
      </c>
      <c r="O4071" s="11">
        <f t="shared" si="256"/>
        <v>34</v>
      </c>
      <c r="P4071" s="12">
        <f t="shared" si="257"/>
        <v>33</v>
      </c>
      <c r="Q4071" s="14" t="s">
        <v>8314</v>
      </c>
      <c r="R4071" t="s">
        <v>8315</v>
      </c>
      <c r="S4071" s="17">
        <f t="shared" si="258"/>
        <v>42022.661527777775</v>
      </c>
      <c r="T4071" s="17">
        <f t="shared" si="259"/>
        <v>42063.5</v>
      </c>
      <c r="U4071">
        <f>MONTH(Table1[[#This Row],[Launched]])</f>
        <v>1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8220</v>
      </c>
      <c r="G4072" t="s">
        <v>8223</v>
      </c>
      <c r="H4072" t="s">
        <v>8245</v>
      </c>
      <c r="I4072" s="8">
        <v>1425178800</v>
      </c>
      <c r="J4072">
        <v>1422374420</v>
      </c>
      <c r="K4072" t="b">
        <v>0</v>
      </c>
      <c r="L4072" s="10">
        <v>6</v>
      </c>
      <c r="M4072" t="b">
        <v>0</v>
      </c>
      <c r="N4072" t="s">
        <v>8269</v>
      </c>
      <c r="O4072" s="11">
        <f t="shared" si="256"/>
        <v>17</v>
      </c>
      <c r="P4072" s="12">
        <f t="shared" si="257"/>
        <v>28</v>
      </c>
      <c r="Q4072" s="14" t="s">
        <v>8314</v>
      </c>
      <c r="R4072" t="s">
        <v>8315</v>
      </c>
      <c r="S4072" s="17">
        <f t="shared" si="258"/>
        <v>42031.666898148149</v>
      </c>
      <c r="T4072" s="17">
        <f t="shared" si="259"/>
        <v>42064.125</v>
      </c>
      <c r="U4072">
        <f>MONTH(Table1[[#This Row],[Launched]])</f>
        <v>1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8220</v>
      </c>
      <c r="G4073" t="s">
        <v>8237</v>
      </c>
      <c r="H4073" t="s">
        <v>8255</v>
      </c>
      <c r="I4073" s="8">
        <v>1482779931</v>
      </c>
      <c r="J4073">
        <v>1480187931</v>
      </c>
      <c r="K4073" t="b">
        <v>0</v>
      </c>
      <c r="L4073" s="10">
        <v>0</v>
      </c>
      <c r="M4073" t="b">
        <v>0</v>
      </c>
      <c r="N4073" t="s">
        <v>8269</v>
      </c>
      <c r="O4073" s="11">
        <f t="shared" si="256"/>
        <v>0</v>
      </c>
      <c r="P4073" s="12" t="str">
        <f t="shared" si="257"/>
        <v>No Backers</v>
      </c>
      <c r="Q4073" s="14" t="s">
        <v>8314</v>
      </c>
      <c r="R4073" t="s">
        <v>8315</v>
      </c>
      <c r="S4073" s="17">
        <f t="shared" si="258"/>
        <v>42700.804756944446</v>
      </c>
      <c r="T4073" s="17">
        <f t="shared" si="259"/>
        <v>42730.804756944446</v>
      </c>
      <c r="U4073">
        <f>MONTH(Table1[[#This Row],[Launched]])</f>
        <v>11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8220</v>
      </c>
      <c r="G4074" t="s">
        <v>8224</v>
      </c>
      <c r="H4074" t="s">
        <v>8246</v>
      </c>
      <c r="I4074" s="8">
        <v>1408646111</v>
      </c>
      <c r="J4074">
        <v>1403462111</v>
      </c>
      <c r="K4074" t="b">
        <v>0</v>
      </c>
      <c r="L4074" s="10">
        <v>2</v>
      </c>
      <c r="M4074" t="b">
        <v>0</v>
      </c>
      <c r="N4074" t="s">
        <v>8269</v>
      </c>
      <c r="O4074" s="11">
        <f t="shared" si="256"/>
        <v>0</v>
      </c>
      <c r="P4074" s="12">
        <f t="shared" si="257"/>
        <v>2</v>
      </c>
      <c r="Q4074" s="14" t="s">
        <v>8314</v>
      </c>
      <c r="R4074" t="s">
        <v>8315</v>
      </c>
      <c r="S4074" s="17">
        <f t="shared" si="258"/>
        <v>41812.77443287037</v>
      </c>
      <c r="T4074" s="17">
        <f t="shared" si="259"/>
        <v>41872.77443287037</v>
      </c>
      <c r="U4074">
        <f>MONTH(Table1[[#This Row],[Launched]])</f>
        <v>6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8220</v>
      </c>
      <c r="G4075" t="s">
        <v>8223</v>
      </c>
      <c r="H4075" t="s">
        <v>8245</v>
      </c>
      <c r="I4075" s="8">
        <v>1431144000</v>
      </c>
      <c r="J4075">
        <v>1426407426</v>
      </c>
      <c r="K4075" t="b">
        <v>0</v>
      </c>
      <c r="L4075" s="10">
        <v>2</v>
      </c>
      <c r="M4075" t="b">
        <v>0</v>
      </c>
      <c r="N4075" t="s">
        <v>8269</v>
      </c>
      <c r="O4075" s="11">
        <f t="shared" si="256"/>
        <v>1</v>
      </c>
      <c r="P4075" s="12">
        <f t="shared" si="257"/>
        <v>19</v>
      </c>
      <c r="Q4075" s="14" t="s">
        <v>8314</v>
      </c>
      <c r="R4075" t="s">
        <v>8315</v>
      </c>
      <c r="S4075" s="17">
        <f t="shared" si="258"/>
        <v>42078.34520833334</v>
      </c>
      <c r="T4075" s="17">
        <f t="shared" si="259"/>
        <v>42133.166666666672</v>
      </c>
      <c r="U4075">
        <f>MONTH(Table1[[#This Row],[Launched]])</f>
        <v>3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8220</v>
      </c>
      <c r="G4076" t="s">
        <v>8224</v>
      </c>
      <c r="H4076" t="s">
        <v>8246</v>
      </c>
      <c r="I4076" s="8">
        <v>1446732975</v>
      </c>
      <c r="J4076">
        <v>1444137375</v>
      </c>
      <c r="K4076" t="b">
        <v>0</v>
      </c>
      <c r="L4076" s="10">
        <v>21</v>
      </c>
      <c r="M4076" t="b">
        <v>0</v>
      </c>
      <c r="N4076" t="s">
        <v>8269</v>
      </c>
      <c r="O4076" s="11">
        <f t="shared" si="256"/>
        <v>27</v>
      </c>
      <c r="P4076" s="12">
        <f t="shared" si="257"/>
        <v>35</v>
      </c>
      <c r="Q4076" s="14" t="s">
        <v>8314</v>
      </c>
      <c r="R4076" t="s">
        <v>8315</v>
      </c>
      <c r="S4076" s="17">
        <f t="shared" si="258"/>
        <v>42283.552951388891</v>
      </c>
      <c r="T4076" s="17">
        <f t="shared" si="259"/>
        <v>42313.594618055555</v>
      </c>
      <c r="U4076">
        <f>MONTH(Table1[[#This Row],[Launched]])</f>
        <v>10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8220</v>
      </c>
      <c r="G4077" t="s">
        <v>8224</v>
      </c>
      <c r="H4077" t="s">
        <v>8246</v>
      </c>
      <c r="I4077" s="8">
        <v>1404149280</v>
      </c>
      <c r="J4077">
        <v>1400547969</v>
      </c>
      <c r="K4077" t="b">
        <v>0</v>
      </c>
      <c r="L4077" s="10">
        <v>13</v>
      </c>
      <c r="M4077" t="b">
        <v>0</v>
      </c>
      <c r="N4077" t="s">
        <v>8269</v>
      </c>
      <c r="O4077" s="11">
        <f t="shared" si="256"/>
        <v>29</v>
      </c>
      <c r="P4077" s="12">
        <f t="shared" si="257"/>
        <v>44</v>
      </c>
      <c r="Q4077" s="14" t="s">
        <v>8314</v>
      </c>
      <c r="R4077" t="s">
        <v>8315</v>
      </c>
      <c r="S4077" s="17">
        <f t="shared" si="258"/>
        <v>41779.045937499999</v>
      </c>
      <c r="T4077" s="17">
        <f t="shared" si="259"/>
        <v>41820.727777777778</v>
      </c>
      <c r="U4077">
        <f>MONTH(Table1[[#This Row],[Launched]])</f>
        <v>5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8220</v>
      </c>
      <c r="G4078" t="s">
        <v>8223</v>
      </c>
      <c r="H4078" t="s">
        <v>8245</v>
      </c>
      <c r="I4078" s="8">
        <v>1413921060</v>
      </c>
      <c r="J4078">
        <v>1411499149</v>
      </c>
      <c r="K4078" t="b">
        <v>0</v>
      </c>
      <c r="L4078" s="10">
        <v>0</v>
      </c>
      <c r="M4078" t="b">
        <v>0</v>
      </c>
      <c r="N4078" t="s">
        <v>8269</v>
      </c>
      <c r="O4078" s="11">
        <f t="shared" si="256"/>
        <v>0</v>
      </c>
      <c r="P4078" s="12" t="str">
        <f t="shared" si="257"/>
        <v>No Backers</v>
      </c>
      <c r="Q4078" s="14" t="s">
        <v>8314</v>
      </c>
      <c r="R4078" t="s">
        <v>8315</v>
      </c>
      <c r="S4078" s="17">
        <f t="shared" si="258"/>
        <v>41905.795706018522</v>
      </c>
      <c r="T4078" s="17">
        <f t="shared" si="259"/>
        <v>41933.82708333333</v>
      </c>
      <c r="U4078">
        <f>MONTH(Table1[[#This Row],[Launched]])</f>
        <v>9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 s="8">
        <v>1482339794</v>
      </c>
      <c r="J4079">
        <v>1479747794</v>
      </c>
      <c r="K4079" t="b">
        <v>0</v>
      </c>
      <c r="L4079" s="10">
        <v>6</v>
      </c>
      <c r="M4079" t="b">
        <v>0</v>
      </c>
      <c r="N4079" t="s">
        <v>8269</v>
      </c>
      <c r="O4079" s="11">
        <f t="shared" si="256"/>
        <v>9</v>
      </c>
      <c r="P4079" s="12">
        <f t="shared" si="257"/>
        <v>223</v>
      </c>
      <c r="Q4079" s="14" t="s">
        <v>8314</v>
      </c>
      <c r="R4079" t="s">
        <v>8315</v>
      </c>
      <c r="S4079" s="17">
        <f t="shared" si="258"/>
        <v>42695.7105787037</v>
      </c>
      <c r="T4079" s="17">
        <f t="shared" si="259"/>
        <v>42725.7105787037</v>
      </c>
      <c r="U4079">
        <f>MONTH(Table1[[#This Row],[Launched]])</f>
        <v>11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8220</v>
      </c>
      <c r="G4080" t="s">
        <v>8224</v>
      </c>
      <c r="H4080" t="s">
        <v>8246</v>
      </c>
      <c r="I4080" s="8">
        <v>1485543242</v>
      </c>
      <c r="J4080">
        <v>1482951242</v>
      </c>
      <c r="K4080" t="b">
        <v>0</v>
      </c>
      <c r="L4080" s="10">
        <v>0</v>
      </c>
      <c r="M4080" t="b">
        <v>0</v>
      </c>
      <c r="N4080" t="s">
        <v>8269</v>
      </c>
      <c r="O4080" s="11">
        <f t="shared" si="256"/>
        <v>0</v>
      </c>
      <c r="P4080" s="12" t="str">
        <f t="shared" si="257"/>
        <v>No Backers</v>
      </c>
      <c r="Q4080" s="14" t="s">
        <v>8314</v>
      </c>
      <c r="R4080" t="s">
        <v>8315</v>
      </c>
      <c r="S4080" s="17">
        <f t="shared" si="258"/>
        <v>42732.787523148145</v>
      </c>
      <c r="T4080" s="17">
        <f t="shared" si="259"/>
        <v>42762.787523148145</v>
      </c>
      <c r="U4080">
        <f>MONTH(Table1[[#This Row],[Launched]])</f>
        <v>12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8220</v>
      </c>
      <c r="G4081" t="s">
        <v>8223</v>
      </c>
      <c r="H4081" t="s">
        <v>8245</v>
      </c>
      <c r="I4081" s="8">
        <v>1466375521</v>
      </c>
      <c r="J4081">
        <v>1463783521</v>
      </c>
      <c r="K4081" t="b">
        <v>0</v>
      </c>
      <c r="L4081" s="10">
        <v>1</v>
      </c>
      <c r="M4081" t="b">
        <v>0</v>
      </c>
      <c r="N4081" t="s">
        <v>8269</v>
      </c>
      <c r="O4081" s="11">
        <f t="shared" si="256"/>
        <v>0</v>
      </c>
      <c r="P4081" s="12">
        <f t="shared" si="257"/>
        <v>5</v>
      </c>
      <c r="Q4081" s="14" t="s">
        <v>8314</v>
      </c>
      <c r="R4081" t="s">
        <v>8315</v>
      </c>
      <c r="S4081" s="17">
        <f t="shared" si="258"/>
        <v>42510.938900462963</v>
      </c>
      <c r="T4081" s="17">
        <f t="shared" si="259"/>
        <v>42540.938900462963</v>
      </c>
      <c r="U4081">
        <f>MONTH(Table1[[#This Row],[Launched]])</f>
        <v>5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8220</v>
      </c>
      <c r="G4082" t="s">
        <v>8223</v>
      </c>
      <c r="H4082" t="s">
        <v>8245</v>
      </c>
      <c r="I4082" s="8">
        <v>1465930440</v>
      </c>
      <c r="J4082">
        <v>1463849116</v>
      </c>
      <c r="K4082" t="b">
        <v>0</v>
      </c>
      <c r="L4082" s="10">
        <v>0</v>
      </c>
      <c r="M4082" t="b">
        <v>0</v>
      </c>
      <c r="N4082" t="s">
        <v>8269</v>
      </c>
      <c r="O4082" s="11">
        <f t="shared" si="256"/>
        <v>0</v>
      </c>
      <c r="P4082" s="12" t="str">
        <f t="shared" si="257"/>
        <v>No Backers</v>
      </c>
      <c r="Q4082" s="14" t="s">
        <v>8314</v>
      </c>
      <c r="R4082" t="s">
        <v>8315</v>
      </c>
      <c r="S4082" s="17">
        <f t="shared" si="258"/>
        <v>42511.698101851856</v>
      </c>
      <c r="T4082" s="17">
        <f t="shared" si="259"/>
        <v>42535.787500000006</v>
      </c>
      <c r="U4082">
        <f>MONTH(Table1[[#This Row],[Launched]])</f>
        <v>5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8220</v>
      </c>
      <c r="G4083" t="s">
        <v>8223</v>
      </c>
      <c r="H4083" t="s">
        <v>8245</v>
      </c>
      <c r="I4083" s="8">
        <v>1425819425</v>
      </c>
      <c r="J4083">
        <v>1423231025</v>
      </c>
      <c r="K4083" t="b">
        <v>0</v>
      </c>
      <c r="L4083" s="10">
        <v>12</v>
      </c>
      <c r="M4083" t="b">
        <v>0</v>
      </c>
      <c r="N4083" t="s">
        <v>8269</v>
      </c>
      <c r="O4083" s="11">
        <f t="shared" si="256"/>
        <v>16</v>
      </c>
      <c r="P4083" s="12">
        <f t="shared" si="257"/>
        <v>29</v>
      </c>
      <c r="Q4083" s="14" t="s">
        <v>8314</v>
      </c>
      <c r="R4083" t="s">
        <v>8315</v>
      </c>
      <c r="S4083" s="17">
        <f t="shared" si="258"/>
        <v>42041.581307870365</v>
      </c>
      <c r="T4083" s="17">
        <f t="shared" si="259"/>
        <v>42071.539641203708</v>
      </c>
      <c r="U4083">
        <f>MONTH(Table1[[#This Row],[Launched]])</f>
        <v>2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8220</v>
      </c>
      <c r="G4084" t="s">
        <v>8223</v>
      </c>
      <c r="H4084" t="s">
        <v>8245</v>
      </c>
      <c r="I4084" s="8">
        <v>1447542000</v>
      </c>
      <c r="J4084">
        <v>1446179553</v>
      </c>
      <c r="K4084" t="b">
        <v>0</v>
      </c>
      <c r="L4084" s="10">
        <v>2</v>
      </c>
      <c r="M4084" t="b">
        <v>0</v>
      </c>
      <c r="N4084" t="s">
        <v>8269</v>
      </c>
      <c r="O4084" s="11">
        <f t="shared" si="256"/>
        <v>2</v>
      </c>
      <c r="P4084" s="12">
        <f t="shared" si="257"/>
        <v>2</v>
      </c>
      <c r="Q4084" s="14" t="s">
        <v>8314</v>
      </c>
      <c r="R4084" t="s">
        <v>8315</v>
      </c>
      <c r="S4084" s="17">
        <f t="shared" si="258"/>
        <v>42307.189270833333</v>
      </c>
      <c r="T4084" s="17">
        <f t="shared" si="259"/>
        <v>42322.958333333328</v>
      </c>
      <c r="U4084">
        <f>MONTH(Table1[[#This Row],[Launched]])</f>
        <v>10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8220</v>
      </c>
      <c r="G4085" t="s">
        <v>8223</v>
      </c>
      <c r="H4085" t="s">
        <v>8245</v>
      </c>
      <c r="I4085" s="8">
        <v>1452795416</v>
      </c>
      <c r="J4085">
        <v>1450203416</v>
      </c>
      <c r="K4085" t="b">
        <v>0</v>
      </c>
      <c r="L4085" s="10">
        <v>6</v>
      </c>
      <c r="M4085" t="b">
        <v>0</v>
      </c>
      <c r="N4085" t="s">
        <v>8269</v>
      </c>
      <c r="O4085" s="11">
        <f t="shared" si="256"/>
        <v>22</v>
      </c>
      <c r="P4085" s="12">
        <f t="shared" si="257"/>
        <v>127</v>
      </c>
      <c r="Q4085" s="14" t="s">
        <v>8314</v>
      </c>
      <c r="R4085" t="s">
        <v>8315</v>
      </c>
      <c r="S4085" s="17">
        <f t="shared" si="258"/>
        <v>42353.761759259258</v>
      </c>
      <c r="T4085" s="17">
        <f t="shared" si="259"/>
        <v>42383.761759259258</v>
      </c>
      <c r="U4085">
        <f>MONTH(Table1[[#This Row],[Launched]])</f>
        <v>12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8220</v>
      </c>
      <c r="G4086" t="s">
        <v>8236</v>
      </c>
      <c r="H4086" t="s">
        <v>8248</v>
      </c>
      <c r="I4086" s="8">
        <v>1476008906</v>
      </c>
      <c r="J4086">
        <v>1473416906</v>
      </c>
      <c r="K4086" t="b">
        <v>0</v>
      </c>
      <c r="L4086" s="10">
        <v>1</v>
      </c>
      <c r="M4086" t="b">
        <v>0</v>
      </c>
      <c r="N4086" t="s">
        <v>8269</v>
      </c>
      <c r="O4086" s="11">
        <f t="shared" si="256"/>
        <v>0</v>
      </c>
      <c r="P4086" s="12">
        <f t="shared" si="257"/>
        <v>10</v>
      </c>
      <c r="Q4086" s="14" t="s">
        <v>8314</v>
      </c>
      <c r="R4086" t="s">
        <v>8315</v>
      </c>
      <c r="S4086" s="17">
        <f t="shared" si="258"/>
        <v>42622.436412037037</v>
      </c>
      <c r="T4086" s="17">
        <f t="shared" si="259"/>
        <v>42652.436412037037</v>
      </c>
      <c r="U4086">
        <f>MONTH(Table1[[#This Row],[Launched]])</f>
        <v>9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8220</v>
      </c>
      <c r="G4087" t="s">
        <v>8223</v>
      </c>
      <c r="H4087" t="s">
        <v>8245</v>
      </c>
      <c r="I4087" s="8">
        <v>1427169540</v>
      </c>
      <c r="J4087">
        <v>1424701775</v>
      </c>
      <c r="K4087" t="b">
        <v>0</v>
      </c>
      <c r="L4087" s="10">
        <v>1</v>
      </c>
      <c r="M4087" t="b">
        <v>0</v>
      </c>
      <c r="N4087" t="s">
        <v>8269</v>
      </c>
      <c r="O4087" s="11">
        <f t="shared" si="256"/>
        <v>0</v>
      </c>
      <c r="P4087" s="12">
        <f t="shared" si="257"/>
        <v>10</v>
      </c>
      <c r="Q4087" s="14" t="s">
        <v>8314</v>
      </c>
      <c r="R4087" t="s">
        <v>8315</v>
      </c>
      <c r="S4087" s="17">
        <f t="shared" si="258"/>
        <v>42058.603877314818</v>
      </c>
      <c r="T4087" s="17">
        <f t="shared" si="259"/>
        <v>42087.165972222225</v>
      </c>
      <c r="U4087">
        <f>MONTH(Table1[[#This Row],[Launched]])</f>
        <v>2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8220</v>
      </c>
      <c r="G4088" t="s">
        <v>8223</v>
      </c>
      <c r="H4088" t="s">
        <v>8245</v>
      </c>
      <c r="I4088" s="8">
        <v>1448078400</v>
      </c>
      <c r="J4088">
        <v>1445985299</v>
      </c>
      <c r="K4088" t="b">
        <v>0</v>
      </c>
      <c r="L4088" s="10">
        <v>5</v>
      </c>
      <c r="M4088" t="b">
        <v>0</v>
      </c>
      <c r="N4088" t="s">
        <v>8269</v>
      </c>
      <c r="O4088" s="11">
        <f t="shared" si="256"/>
        <v>5</v>
      </c>
      <c r="P4088" s="12">
        <f t="shared" si="257"/>
        <v>9</v>
      </c>
      <c r="Q4088" s="14" t="s">
        <v>8314</v>
      </c>
      <c r="R4088" t="s">
        <v>8315</v>
      </c>
      <c r="S4088" s="17">
        <f t="shared" si="258"/>
        <v>42304.940960648149</v>
      </c>
      <c r="T4088" s="17">
        <f t="shared" si="259"/>
        <v>42329.166666666672</v>
      </c>
      <c r="U4088">
        <f>MONTH(Table1[[#This Row],[Launched]])</f>
        <v>10</v>
      </c>
    </row>
    <row r="4089" spans="1:21" ht="15.6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8220</v>
      </c>
      <c r="G4089" t="s">
        <v>8223</v>
      </c>
      <c r="H4089" t="s">
        <v>8245</v>
      </c>
      <c r="I4089" s="8">
        <v>1468777786</v>
      </c>
      <c r="J4089">
        <v>1466185786</v>
      </c>
      <c r="K4089" t="b">
        <v>0</v>
      </c>
      <c r="L4089" s="10">
        <v>0</v>
      </c>
      <c r="M4089" t="b">
        <v>0</v>
      </c>
      <c r="N4089" t="s">
        <v>8269</v>
      </c>
      <c r="O4089" s="11">
        <f t="shared" si="256"/>
        <v>0</v>
      </c>
      <c r="P4089" s="12" t="str">
        <f t="shared" si="257"/>
        <v>No Backers</v>
      </c>
      <c r="Q4089" s="14" t="s">
        <v>8314</v>
      </c>
      <c r="R4089" t="s">
        <v>8315</v>
      </c>
      <c r="S4089" s="17">
        <f t="shared" si="258"/>
        <v>42538.742893518516</v>
      </c>
      <c r="T4089" s="17">
        <f t="shared" si="259"/>
        <v>42568.742893518516</v>
      </c>
      <c r="U4089">
        <f>MONTH(Table1[[#This Row],[Launched]])</f>
        <v>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8220</v>
      </c>
      <c r="G4090" t="s">
        <v>8224</v>
      </c>
      <c r="H4090" t="s">
        <v>8246</v>
      </c>
      <c r="I4090" s="8">
        <v>1421403960</v>
      </c>
      <c r="J4090">
        <v>1418827324</v>
      </c>
      <c r="K4090" t="b">
        <v>0</v>
      </c>
      <c r="L4090" s="10">
        <v>3</v>
      </c>
      <c r="M4090" t="b">
        <v>0</v>
      </c>
      <c r="N4090" t="s">
        <v>8269</v>
      </c>
      <c r="O4090" s="11">
        <f t="shared" si="256"/>
        <v>11</v>
      </c>
      <c r="P4090" s="12">
        <f t="shared" si="257"/>
        <v>72</v>
      </c>
      <c r="Q4090" s="14" t="s">
        <v>8314</v>
      </c>
      <c r="R4090" t="s">
        <v>8315</v>
      </c>
      <c r="S4090" s="17">
        <f t="shared" si="258"/>
        <v>41990.612546296295</v>
      </c>
      <c r="T4090" s="17">
        <f t="shared" si="259"/>
        <v>42020.434722222228</v>
      </c>
      <c r="U4090">
        <f>MONTH(Table1[[#This Row],[Launched]])</f>
        <v>12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8220</v>
      </c>
      <c r="G4091" t="s">
        <v>8223</v>
      </c>
      <c r="H4091" t="s">
        <v>8245</v>
      </c>
      <c r="I4091" s="8">
        <v>1433093700</v>
      </c>
      <c r="J4091">
        <v>1430242488</v>
      </c>
      <c r="K4091" t="b">
        <v>0</v>
      </c>
      <c r="L4091" s="10">
        <v>8</v>
      </c>
      <c r="M4091" t="b">
        <v>0</v>
      </c>
      <c r="N4091" t="s">
        <v>8269</v>
      </c>
      <c r="O4091" s="11">
        <f t="shared" si="256"/>
        <v>5</v>
      </c>
      <c r="P4091" s="12">
        <f t="shared" si="257"/>
        <v>30</v>
      </c>
      <c r="Q4091" s="14" t="s">
        <v>8314</v>
      </c>
      <c r="R4091" t="s">
        <v>8315</v>
      </c>
      <c r="S4091" s="17">
        <f t="shared" si="258"/>
        <v>42122.732499999998</v>
      </c>
      <c r="T4091" s="17">
        <f t="shared" si="259"/>
        <v>42155.732638888891</v>
      </c>
      <c r="U4091">
        <f>MONTH(Table1[[#This Row],[Launched]])</f>
        <v>4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8220</v>
      </c>
      <c r="G4092" t="s">
        <v>8223</v>
      </c>
      <c r="H4092" t="s">
        <v>8245</v>
      </c>
      <c r="I4092" s="8">
        <v>1438959600</v>
      </c>
      <c r="J4092">
        <v>1437754137</v>
      </c>
      <c r="K4092" t="b">
        <v>0</v>
      </c>
      <c r="L4092" s="10">
        <v>3</v>
      </c>
      <c r="M4092" t="b">
        <v>0</v>
      </c>
      <c r="N4092" t="s">
        <v>8269</v>
      </c>
      <c r="O4092" s="11">
        <f t="shared" si="256"/>
        <v>3</v>
      </c>
      <c r="P4092" s="12">
        <f t="shared" si="257"/>
        <v>11</v>
      </c>
      <c r="Q4092" s="14" t="s">
        <v>8314</v>
      </c>
      <c r="R4092" t="s">
        <v>8315</v>
      </c>
      <c r="S4092" s="17">
        <f t="shared" si="258"/>
        <v>42209.67288194444</v>
      </c>
      <c r="T4092" s="17">
        <f t="shared" si="259"/>
        <v>42223.625</v>
      </c>
      <c r="U4092">
        <f>MONTH(Table1[[#This Row],[Launched]])</f>
        <v>7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8220</v>
      </c>
      <c r="G4093" t="s">
        <v>8223</v>
      </c>
      <c r="H4093" t="s">
        <v>8245</v>
      </c>
      <c r="I4093" s="8">
        <v>1421410151</v>
      </c>
      <c r="J4093">
        <v>1418818151</v>
      </c>
      <c r="K4093" t="b">
        <v>0</v>
      </c>
      <c r="L4093" s="10">
        <v>8</v>
      </c>
      <c r="M4093" t="b">
        <v>0</v>
      </c>
      <c r="N4093" t="s">
        <v>8269</v>
      </c>
      <c r="O4093" s="11">
        <f t="shared" si="256"/>
        <v>13</v>
      </c>
      <c r="P4093" s="12">
        <f t="shared" si="257"/>
        <v>26</v>
      </c>
      <c r="Q4093" s="14" t="s">
        <v>8314</v>
      </c>
      <c r="R4093" t="s">
        <v>8315</v>
      </c>
      <c r="S4093" s="17">
        <f t="shared" si="258"/>
        <v>41990.506377314814</v>
      </c>
      <c r="T4093" s="17">
        <f t="shared" si="259"/>
        <v>42020.506377314814</v>
      </c>
      <c r="U4093">
        <f>MONTH(Table1[[#This Row],[Launched]])</f>
        <v>12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 s="8">
        <v>1428205247</v>
      </c>
      <c r="J4094">
        <v>1423024847</v>
      </c>
      <c r="K4094" t="b">
        <v>0</v>
      </c>
      <c r="L4094" s="10">
        <v>1</v>
      </c>
      <c r="M4094" t="b">
        <v>0</v>
      </c>
      <c r="N4094" t="s">
        <v>8269</v>
      </c>
      <c r="O4094" s="11">
        <f t="shared" si="256"/>
        <v>0</v>
      </c>
      <c r="P4094" s="12">
        <f t="shared" si="257"/>
        <v>20</v>
      </c>
      <c r="Q4094" s="14" t="s">
        <v>8314</v>
      </c>
      <c r="R4094" t="s">
        <v>8315</v>
      </c>
      <c r="S4094" s="17">
        <f t="shared" si="258"/>
        <v>42039.194988425923</v>
      </c>
      <c r="T4094" s="17">
        <f t="shared" si="259"/>
        <v>42099.153321759266</v>
      </c>
      <c r="U4094">
        <f>MONTH(Table1[[#This Row],[Launched]])</f>
        <v>2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8220</v>
      </c>
      <c r="G4095" t="s">
        <v>8224</v>
      </c>
      <c r="H4095" t="s">
        <v>8246</v>
      </c>
      <c r="I4095" s="8">
        <v>1440272093</v>
      </c>
      <c r="J4095">
        <v>1435088093</v>
      </c>
      <c r="K4095" t="b">
        <v>0</v>
      </c>
      <c r="L4095" s="10">
        <v>4</v>
      </c>
      <c r="M4095" t="b">
        <v>0</v>
      </c>
      <c r="N4095" t="s">
        <v>8269</v>
      </c>
      <c r="O4095" s="11">
        <f t="shared" si="256"/>
        <v>2</v>
      </c>
      <c r="P4095" s="12">
        <f t="shared" si="257"/>
        <v>15</v>
      </c>
      <c r="Q4095" s="14" t="s">
        <v>8314</v>
      </c>
      <c r="R4095" t="s">
        <v>8315</v>
      </c>
      <c r="S4095" s="17">
        <f t="shared" si="258"/>
        <v>42178.815891203703</v>
      </c>
      <c r="T4095" s="17">
        <f t="shared" si="259"/>
        <v>42238.815891203703</v>
      </c>
      <c r="U4095">
        <f>MONTH(Table1[[#This Row],[Launched]])</f>
        <v>6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8220</v>
      </c>
      <c r="G4096" t="s">
        <v>8223</v>
      </c>
      <c r="H4096" t="s">
        <v>8245</v>
      </c>
      <c r="I4096" s="8">
        <v>1413953940</v>
      </c>
      <c r="J4096">
        <v>1410141900</v>
      </c>
      <c r="K4096" t="b">
        <v>0</v>
      </c>
      <c r="L4096" s="10">
        <v>8</v>
      </c>
      <c r="M4096" t="b">
        <v>0</v>
      </c>
      <c r="N4096" t="s">
        <v>8269</v>
      </c>
      <c r="O4096" s="11">
        <f t="shared" si="256"/>
        <v>37</v>
      </c>
      <c r="P4096" s="12">
        <f t="shared" si="257"/>
        <v>91</v>
      </c>
      <c r="Q4096" s="14" t="s">
        <v>8314</v>
      </c>
      <c r="R4096" t="s">
        <v>8315</v>
      </c>
      <c r="S4096" s="17">
        <f t="shared" si="258"/>
        <v>41890.086805555555</v>
      </c>
      <c r="T4096" s="17">
        <f t="shared" si="259"/>
        <v>41934.207638888889</v>
      </c>
      <c r="U4096">
        <f>MONTH(Table1[[#This Row],[Launched]])</f>
        <v>9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 s="8">
        <v>1482108350</v>
      </c>
      <c r="J4097">
        <v>1479516350</v>
      </c>
      <c r="K4097" t="b">
        <v>0</v>
      </c>
      <c r="L4097" s="10">
        <v>1</v>
      </c>
      <c r="M4097" t="b">
        <v>0</v>
      </c>
      <c r="N4097" t="s">
        <v>8269</v>
      </c>
      <c r="O4097" s="11">
        <f t="shared" si="256"/>
        <v>3</v>
      </c>
      <c r="P4097" s="12">
        <f t="shared" si="257"/>
        <v>800</v>
      </c>
      <c r="Q4097" s="14" t="s">
        <v>8314</v>
      </c>
      <c r="R4097" t="s">
        <v>8315</v>
      </c>
      <c r="S4097" s="17">
        <f t="shared" si="258"/>
        <v>42693.031828703708</v>
      </c>
      <c r="T4097" s="17">
        <f t="shared" si="259"/>
        <v>42723.031828703708</v>
      </c>
      <c r="U4097">
        <f>MONTH(Table1[[#This Row],[Launched]])</f>
        <v>11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8220</v>
      </c>
      <c r="G4098" t="s">
        <v>8224</v>
      </c>
      <c r="H4098" t="s">
        <v>8246</v>
      </c>
      <c r="I4098" s="8">
        <v>1488271860</v>
      </c>
      <c r="J4098">
        <v>1484484219</v>
      </c>
      <c r="K4098" t="b">
        <v>0</v>
      </c>
      <c r="L4098" s="10">
        <v>5</v>
      </c>
      <c r="M4098" t="b">
        <v>0</v>
      </c>
      <c r="N4098" t="s">
        <v>8269</v>
      </c>
      <c r="O4098" s="11">
        <f t="shared" ref="O4098:O4115" si="260">ROUND(E4098/D4098*100,0)</f>
        <v>11</v>
      </c>
      <c r="P4098" s="12">
        <f t="shared" si="257"/>
        <v>80</v>
      </c>
      <c r="Q4098" s="14" t="s">
        <v>8314</v>
      </c>
      <c r="R4098" t="s">
        <v>8315</v>
      </c>
      <c r="S4098" s="17">
        <f t="shared" si="258"/>
        <v>42750.530312499999</v>
      </c>
      <c r="T4098" s="17">
        <f t="shared" si="259"/>
        <v>42794.368749999994</v>
      </c>
      <c r="U4098">
        <f>MONTH(Table1[[#This Row],[Launched]])</f>
        <v>1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8220</v>
      </c>
      <c r="G4099" t="s">
        <v>8224</v>
      </c>
      <c r="H4099" t="s">
        <v>8246</v>
      </c>
      <c r="I4099" s="8">
        <v>1454284500</v>
      </c>
      <c r="J4099">
        <v>1449431237</v>
      </c>
      <c r="K4099" t="b">
        <v>0</v>
      </c>
      <c r="L4099" s="10">
        <v>0</v>
      </c>
      <c r="M4099" t="b">
        <v>0</v>
      </c>
      <c r="N4099" t="s">
        <v>8269</v>
      </c>
      <c r="O4099" s="11">
        <f t="shared" si="260"/>
        <v>0</v>
      </c>
      <c r="P4099" s="12" t="str">
        <f t="shared" ref="P4099:P4115" si="261">IFERROR(ROUND(E4099/L4099,),"No Backers")</f>
        <v>No Backers</v>
      </c>
      <c r="Q4099" s="14" t="s">
        <v>8314</v>
      </c>
      <c r="R4099" t="s">
        <v>8315</v>
      </c>
      <c r="S4099" s="17">
        <f t="shared" ref="S4099:S4115" si="262">(((J4099/60)/60)/24)+DATE(1970,1,1)</f>
        <v>42344.824502314819</v>
      </c>
      <c r="T4099" s="17">
        <f t="shared" ref="T4099:T4115" si="263">(((I4099/60)/60)/24)+DATE(1970,1,1)</f>
        <v>42400.996527777781</v>
      </c>
      <c r="U4099">
        <f>MONTH(Table1[[#This Row],[Launched]])</f>
        <v>12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8220</v>
      </c>
      <c r="G4100" t="s">
        <v>8223</v>
      </c>
      <c r="H4100" t="s">
        <v>8245</v>
      </c>
      <c r="I4100" s="8">
        <v>1465060797</v>
      </c>
      <c r="J4100">
        <v>1462468797</v>
      </c>
      <c r="K4100" t="b">
        <v>0</v>
      </c>
      <c r="L4100" s="10">
        <v>0</v>
      </c>
      <c r="M4100" t="b">
        <v>0</v>
      </c>
      <c r="N4100" t="s">
        <v>8269</v>
      </c>
      <c r="O4100" s="11">
        <f t="shared" si="260"/>
        <v>0</v>
      </c>
      <c r="P4100" s="12" t="str">
        <f t="shared" si="261"/>
        <v>No Backers</v>
      </c>
      <c r="Q4100" s="14" t="s">
        <v>8314</v>
      </c>
      <c r="R4100" t="s">
        <v>8315</v>
      </c>
      <c r="S4100" s="17">
        <f t="shared" si="262"/>
        <v>42495.722187499996</v>
      </c>
      <c r="T4100" s="17">
        <f t="shared" si="263"/>
        <v>42525.722187499996</v>
      </c>
      <c r="U4100">
        <f>MONTH(Table1[[#This Row],[Launched]])</f>
        <v>5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8220</v>
      </c>
      <c r="G4101" t="s">
        <v>8223</v>
      </c>
      <c r="H4101" t="s">
        <v>8245</v>
      </c>
      <c r="I4101" s="8">
        <v>1472847873</v>
      </c>
      <c r="J4101">
        <v>1468959873</v>
      </c>
      <c r="K4101" t="b">
        <v>0</v>
      </c>
      <c r="L4101" s="10">
        <v>1</v>
      </c>
      <c r="M4101" t="b">
        <v>0</v>
      </c>
      <c r="N4101" t="s">
        <v>8269</v>
      </c>
      <c r="O4101" s="11">
        <f t="shared" si="260"/>
        <v>1</v>
      </c>
      <c r="P4101" s="12">
        <f t="shared" si="261"/>
        <v>50</v>
      </c>
      <c r="Q4101" s="14" t="s">
        <v>8314</v>
      </c>
      <c r="R4101" t="s">
        <v>8315</v>
      </c>
      <c r="S4101" s="17">
        <f t="shared" si="262"/>
        <v>42570.850381944445</v>
      </c>
      <c r="T4101" s="17">
        <f t="shared" si="263"/>
        <v>42615.850381944445</v>
      </c>
      <c r="U4101">
        <f>MONTH(Table1[[#This Row],[Launched]])</f>
        <v>7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8220</v>
      </c>
      <c r="G4102" t="s">
        <v>8223</v>
      </c>
      <c r="H4102" t="s">
        <v>8245</v>
      </c>
      <c r="I4102" s="8">
        <v>1414205990</v>
      </c>
      <c r="J4102">
        <v>1413341990</v>
      </c>
      <c r="K4102" t="b">
        <v>0</v>
      </c>
      <c r="L4102" s="10">
        <v>0</v>
      </c>
      <c r="M4102" t="b">
        <v>0</v>
      </c>
      <c r="N4102" t="s">
        <v>8269</v>
      </c>
      <c r="O4102" s="11">
        <f t="shared" si="260"/>
        <v>0</v>
      </c>
      <c r="P4102" s="12" t="str">
        <f t="shared" si="261"/>
        <v>No Backers</v>
      </c>
      <c r="Q4102" s="14" t="s">
        <v>8314</v>
      </c>
      <c r="R4102" t="s">
        <v>8315</v>
      </c>
      <c r="S4102" s="17">
        <f t="shared" si="262"/>
        <v>41927.124884259261</v>
      </c>
      <c r="T4102" s="17">
        <f t="shared" si="263"/>
        <v>41937.124884259261</v>
      </c>
      <c r="U4102">
        <f>MONTH(Table1[[#This Row],[Launched]])</f>
        <v>10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8220</v>
      </c>
      <c r="G4103" t="s">
        <v>8223</v>
      </c>
      <c r="H4103" t="s">
        <v>8245</v>
      </c>
      <c r="I4103" s="8">
        <v>1485380482</v>
      </c>
      <c r="J4103">
        <v>1482788482</v>
      </c>
      <c r="K4103" t="b">
        <v>0</v>
      </c>
      <c r="L4103" s="10">
        <v>0</v>
      </c>
      <c r="M4103" t="b">
        <v>0</v>
      </c>
      <c r="N4103" t="s">
        <v>8269</v>
      </c>
      <c r="O4103" s="11">
        <f t="shared" si="260"/>
        <v>0</v>
      </c>
      <c r="P4103" s="12" t="str">
        <f t="shared" si="261"/>
        <v>No Backers</v>
      </c>
      <c r="Q4103" s="14" t="s">
        <v>8314</v>
      </c>
      <c r="R4103" t="s">
        <v>8315</v>
      </c>
      <c r="S4103" s="17">
        <f t="shared" si="262"/>
        <v>42730.903726851851</v>
      </c>
      <c r="T4103" s="17">
        <f t="shared" si="263"/>
        <v>42760.903726851851</v>
      </c>
      <c r="U4103">
        <f>MONTH(Table1[[#This Row],[Launched]])</f>
        <v>12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8220</v>
      </c>
      <c r="G4104" t="s">
        <v>8223</v>
      </c>
      <c r="H4104" t="s">
        <v>8245</v>
      </c>
      <c r="I4104" s="8">
        <v>1463343673</v>
      </c>
      <c r="J4104">
        <v>1460751673</v>
      </c>
      <c r="K4104" t="b">
        <v>0</v>
      </c>
      <c r="L4104" s="10">
        <v>6</v>
      </c>
      <c r="M4104" t="b">
        <v>0</v>
      </c>
      <c r="N4104" t="s">
        <v>8269</v>
      </c>
      <c r="O4104" s="11">
        <f t="shared" si="260"/>
        <v>27</v>
      </c>
      <c r="P4104" s="12">
        <f t="shared" si="261"/>
        <v>23</v>
      </c>
      <c r="Q4104" s="14" t="s">
        <v>8314</v>
      </c>
      <c r="R4104" t="s">
        <v>8315</v>
      </c>
      <c r="S4104" s="17">
        <f t="shared" si="262"/>
        <v>42475.848067129627</v>
      </c>
      <c r="T4104" s="17">
        <f t="shared" si="263"/>
        <v>42505.848067129627</v>
      </c>
      <c r="U4104">
        <f>MONTH(Table1[[#This Row],[Launched]])</f>
        <v>4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8220</v>
      </c>
      <c r="G4105" t="s">
        <v>8223</v>
      </c>
      <c r="H4105" t="s">
        <v>8245</v>
      </c>
      <c r="I4105" s="8">
        <v>1440613920</v>
      </c>
      <c r="J4105">
        <v>1435953566</v>
      </c>
      <c r="K4105" t="b">
        <v>0</v>
      </c>
      <c r="L4105" s="10">
        <v>6</v>
      </c>
      <c r="M4105" t="b">
        <v>0</v>
      </c>
      <c r="N4105" t="s">
        <v>8269</v>
      </c>
      <c r="O4105" s="11">
        <f t="shared" si="260"/>
        <v>10</v>
      </c>
      <c r="P4105" s="12">
        <f t="shared" si="261"/>
        <v>17</v>
      </c>
      <c r="Q4105" s="14" t="s">
        <v>8314</v>
      </c>
      <c r="R4105" t="s">
        <v>8315</v>
      </c>
      <c r="S4105" s="17">
        <f t="shared" si="262"/>
        <v>42188.83293981482</v>
      </c>
      <c r="T4105" s="17">
        <f t="shared" si="263"/>
        <v>42242.772222222222</v>
      </c>
      <c r="U4105">
        <f>MONTH(Table1[[#This Row],[Launched]])</f>
        <v>7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8220</v>
      </c>
      <c r="G4106" t="s">
        <v>8225</v>
      </c>
      <c r="H4106" t="s">
        <v>8247</v>
      </c>
      <c r="I4106" s="8">
        <v>1477550434</v>
      </c>
      <c r="J4106">
        <v>1474958434</v>
      </c>
      <c r="K4106" t="b">
        <v>0</v>
      </c>
      <c r="L4106" s="10">
        <v>14</v>
      </c>
      <c r="M4106" t="b">
        <v>0</v>
      </c>
      <c r="N4106" t="s">
        <v>8269</v>
      </c>
      <c r="O4106" s="11">
        <f t="shared" si="260"/>
        <v>21</v>
      </c>
      <c r="P4106" s="12">
        <f t="shared" si="261"/>
        <v>46</v>
      </c>
      <c r="Q4106" s="14" t="s">
        <v>8314</v>
      </c>
      <c r="R4106" t="s">
        <v>8315</v>
      </c>
      <c r="S4106" s="17">
        <f t="shared" si="262"/>
        <v>42640.278171296297</v>
      </c>
      <c r="T4106" s="17">
        <f t="shared" si="263"/>
        <v>42670.278171296297</v>
      </c>
      <c r="U4106">
        <f>MONTH(Table1[[#This Row],[Launched]])</f>
        <v>9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 s="8">
        <v>1482711309</v>
      </c>
      <c r="J4107">
        <v>1479860109</v>
      </c>
      <c r="K4107" t="b">
        <v>0</v>
      </c>
      <c r="L4107" s="10">
        <v>6</v>
      </c>
      <c r="M4107" t="b">
        <v>0</v>
      </c>
      <c r="N4107" t="s">
        <v>8269</v>
      </c>
      <c r="O4107" s="11">
        <f t="shared" si="260"/>
        <v>7</v>
      </c>
      <c r="P4107" s="12">
        <f t="shared" si="261"/>
        <v>383</v>
      </c>
      <c r="Q4107" s="14" t="s">
        <v>8314</v>
      </c>
      <c r="R4107" t="s">
        <v>8315</v>
      </c>
      <c r="S4107" s="17">
        <f t="shared" si="262"/>
        <v>42697.010520833333</v>
      </c>
      <c r="T4107" s="17">
        <f t="shared" si="263"/>
        <v>42730.010520833333</v>
      </c>
      <c r="U4107">
        <f>MONTH(Table1[[#This Row],[Launched]])</f>
        <v>11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 s="8">
        <v>1427936400</v>
      </c>
      <c r="J4108">
        <v>1424221866</v>
      </c>
      <c r="K4108" t="b">
        <v>0</v>
      </c>
      <c r="L4108" s="10">
        <v>33</v>
      </c>
      <c r="M4108" t="b">
        <v>0</v>
      </c>
      <c r="N4108" t="s">
        <v>8269</v>
      </c>
      <c r="O4108" s="11">
        <f t="shared" si="260"/>
        <v>71</v>
      </c>
      <c r="P4108" s="12">
        <f t="shared" si="261"/>
        <v>107</v>
      </c>
      <c r="Q4108" s="14" t="s">
        <v>8314</v>
      </c>
      <c r="R4108" t="s">
        <v>8315</v>
      </c>
      <c r="S4108" s="17">
        <f t="shared" si="262"/>
        <v>42053.049375000002</v>
      </c>
      <c r="T4108" s="17">
        <f t="shared" si="263"/>
        <v>42096.041666666672</v>
      </c>
      <c r="U4108">
        <f>MONTH(Table1[[#This Row],[Launched]])</f>
        <v>2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8220</v>
      </c>
      <c r="G4109" t="s">
        <v>8223</v>
      </c>
      <c r="H4109" t="s">
        <v>8245</v>
      </c>
      <c r="I4109" s="8">
        <v>1411596001</v>
      </c>
      <c r="J4109">
        <v>1409608801</v>
      </c>
      <c r="K4109" t="b">
        <v>0</v>
      </c>
      <c r="L4109" s="10">
        <v>4</v>
      </c>
      <c r="M4109" t="b">
        <v>0</v>
      </c>
      <c r="N4109" t="s">
        <v>8269</v>
      </c>
      <c r="O4109" s="11">
        <f t="shared" si="260"/>
        <v>2</v>
      </c>
      <c r="P4109" s="12">
        <f t="shared" si="261"/>
        <v>10</v>
      </c>
      <c r="Q4109" s="14" t="s">
        <v>8314</v>
      </c>
      <c r="R4109" t="s">
        <v>8315</v>
      </c>
      <c r="S4109" s="17">
        <f t="shared" si="262"/>
        <v>41883.916678240741</v>
      </c>
      <c r="T4109" s="17">
        <f t="shared" si="263"/>
        <v>41906.916678240741</v>
      </c>
      <c r="U4109">
        <f>MONTH(Table1[[#This Row],[Launched]])</f>
        <v>9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8220</v>
      </c>
      <c r="G4110" t="s">
        <v>8223</v>
      </c>
      <c r="H4110" t="s">
        <v>8245</v>
      </c>
      <c r="I4110" s="8">
        <v>1488517200</v>
      </c>
      <c r="J4110">
        <v>1485909937</v>
      </c>
      <c r="K4110" t="b">
        <v>0</v>
      </c>
      <c r="L4110" s="10">
        <v>1</v>
      </c>
      <c r="M4110" t="b">
        <v>0</v>
      </c>
      <c r="N4110" t="s">
        <v>8269</v>
      </c>
      <c r="O4110" s="11">
        <f t="shared" si="260"/>
        <v>2</v>
      </c>
      <c r="P4110" s="12">
        <f t="shared" si="261"/>
        <v>59</v>
      </c>
      <c r="Q4110" s="14" t="s">
        <v>8314</v>
      </c>
      <c r="R4110" t="s">
        <v>8315</v>
      </c>
      <c r="S4110" s="17">
        <f t="shared" si="262"/>
        <v>42767.031678240746</v>
      </c>
      <c r="T4110" s="17">
        <f t="shared" si="263"/>
        <v>42797.208333333328</v>
      </c>
      <c r="U4110">
        <f>MONTH(Table1[[#This Row],[Launched]])</f>
        <v>2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8220</v>
      </c>
      <c r="G4111" t="s">
        <v>8224</v>
      </c>
      <c r="H4111" t="s">
        <v>8246</v>
      </c>
      <c r="I4111" s="8">
        <v>1448805404</v>
      </c>
      <c r="J4111">
        <v>1446209804</v>
      </c>
      <c r="K4111" t="b">
        <v>0</v>
      </c>
      <c r="L4111" s="10">
        <v>0</v>
      </c>
      <c r="M4111" t="b">
        <v>0</v>
      </c>
      <c r="N4111" t="s">
        <v>8269</v>
      </c>
      <c r="O4111" s="11">
        <f t="shared" si="260"/>
        <v>0</v>
      </c>
      <c r="P4111" s="12" t="str">
        <f t="shared" si="261"/>
        <v>No Backers</v>
      </c>
      <c r="Q4111" s="14" t="s">
        <v>8314</v>
      </c>
      <c r="R4111" t="s">
        <v>8315</v>
      </c>
      <c r="S4111" s="17">
        <f t="shared" si="262"/>
        <v>42307.539398148147</v>
      </c>
      <c r="T4111" s="17">
        <f t="shared" si="263"/>
        <v>42337.581064814818</v>
      </c>
      <c r="U4111">
        <f>MONTH(Table1[[#This Row],[Launched]])</f>
        <v>10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8220</v>
      </c>
      <c r="G4112" t="s">
        <v>8224</v>
      </c>
      <c r="H4112" t="s">
        <v>8246</v>
      </c>
      <c r="I4112" s="8">
        <v>1469113351</v>
      </c>
      <c r="J4112">
        <v>1463929351</v>
      </c>
      <c r="K4112" t="b">
        <v>0</v>
      </c>
      <c r="L4112" s="10">
        <v>6</v>
      </c>
      <c r="M4112" t="b">
        <v>0</v>
      </c>
      <c r="N4112" t="s">
        <v>8269</v>
      </c>
      <c r="O4112" s="11">
        <f t="shared" si="260"/>
        <v>29</v>
      </c>
      <c r="P4112" s="12">
        <f t="shared" si="261"/>
        <v>14</v>
      </c>
      <c r="Q4112" s="14" t="s">
        <v>8314</v>
      </c>
      <c r="R4112" t="s">
        <v>8315</v>
      </c>
      <c r="S4112" s="17">
        <f t="shared" si="262"/>
        <v>42512.626747685179</v>
      </c>
      <c r="T4112" s="17">
        <f t="shared" si="263"/>
        <v>42572.626747685179</v>
      </c>
      <c r="U4112">
        <f>MONTH(Table1[[#This Row],[Launched]])</f>
        <v>5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8220</v>
      </c>
      <c r="G4113" t="s">
        <v>8223</v>
      </c>
      <c r="H4113" t="s">
        <v>8245</v>
      </c>
      <c r="I4113" s="8">
        <v>1424747740</v>
      </c>
      <c r="J4113">
        <v>1422155740</v>
      </c>
      <c r="K4113" t="b">
        <v>0</v>
      </c>
      <c r="L4113" s="10">
        <v>6</v>
      </c>
      <c r="M4113" t="b">
        <v>0</v>
      </c>
      <c r="N4113" t="s">
        <v>8269</v>
      </c>
      <c r="O4113" s="11">
        <f t="shared" si="260"/>
        <v>3</v>
      </c>
      <c r="P4113" s="12">
        <f t="shared" si="261"/>
        <v>16</v>
      </c>
      <c r="Q4113" s="14" t="s">
        <v>8314</v>
      </c>
      <c r="R4113" t="s">
        <v>8315</v>
      </c>
      <c r="S4113" s="17">
        <f t="shared" si="262"/>
        <v>42029.135879629626</v>
      </c>
      <c r="T4113" s="17">
        <f t="shared" si="263"/>
        <v>42059.135879629626</v>
      </c>
      <c r="U4113">
        <f>MONTH(Table1[[#This Row],[Launched]])</f>
        <v>1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8220</v>
      </c>
      <c r="G4114" t="s">
        <v>8240</v>
      </c>
      <c r="H4114" t="s">
        <v>8248</v>
      </c>
      <c r="I4114" s="8">
        <v>1456617600</v>
      </c>
      <c r="J4114">
        <v>1454280186</v>
      </c>
      <c r="K4114" t="b">
        <v>0</v>
      </c>
      <c r="L4114" s="10">
        <v>1</v>
      </c>
      <c r="M4114" t="b">
        <v>0</v>
      </c>
      <c r="N4114" t="s">
        <v>8269</v>
      </c>
      <c r="O4114" s="11">
        <f t="shared" si="260"/>
        <v>0</v>
      </c>
      <c r="P4114" s="12">
        <f t="shared" si="261"/>
        <v>1</v>
      </c>
      <c r="Q4114" s="14" t="s">
        <v>8314</v>
      </c>
      <c r="R4114" t="s">
        <v>8315</v>
      </c>
      <c r="S4114" s="17">
        <f t="shared" si="262"/>
        <v>42400.946597222224</v>
      </c>
      <c r="T4114" s="17">
        <f t="shared" si="263"/>
        <v>42428</v>
      </c>
      <c r="U4114">
        <f>MONTH(Table1[[#This Row],[Launched]])</f>
        <v>1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8220</v>
      </c>
      <c r="G4115" t="s">
        <v>8223</v>
      </c>
      <c r="H4115" t="s">
        <v>8245</v>
      </c>
      <c r="I4115" s="8">
        <v>1452234840</v>
      </c>
      <c r="J4115">
        <v>1450619123</v>
      </c>
      <c r="K4115" t="b">
        <v>0</v>
      </c>
      <c r="L4115" s="10">
        <v>3</v>
      </c>
      <c r="M4115" t="b">
        <v>0</v>
      </c>
      <c r="N4115" t="s">
        <v>8269</v>
      </c>
      <c r="O4115" s="11">
        <f t="shared" si="260"/>
        <v>0</v>
      </c>
      <c r="P4115" s="12">
        <f t="shared" si="261"/>
        <v>1</v>
      </c>
      <c r="Q4115" s="14" t="s">
        <v>8314</v>
      </c>
      <c r="R4115" t="s">
        <v>8315</v>
      </c>
      <c r="S4115" s="17">
        <f t="shared" si="262"/>
        <v>42358.573182870372</v>
      </c>
      <c r="T4115" s="17">
        <f t="shared" si="263"/>
        <v>42377.273611111115</v>
      </c>
      <c r="U4115">
        <f>MONTH(Table1[[#This Row],[Launched]])</f>
        <v>12</v>
      </c>
    </row>
    <row r="4116" spans="1:21" ht="15.6" x14ac:dyDescent="0.3">
      <c r="L4116" s="37">
        <f>SUM(Table1[backers_count])</f>
        <v>463246</v>
      </c>
      <c r="P4116" s="12"/>
      <c r="Q4116" s="14"/>
      <c r="S4116" s="17"/>
      <c r="T4116" s="17"/>
    </row>
  </sheetData>
  <sortState xmlns:xlrd2="http://schemas.microsoft.com/office/spreadsheetml/2017/richdata2" ref="Y21:AA27">
    <sortCondition ref="AA21:AA27"/>
  </sortState>
  <phoneticPr fontId="12" type="noConversion"/>
  <conditionalFormatting sqref="F1:F1048576">
    <cfRule type="containsText" dxfId="24" priority="3" operator="containsText" text="cancelled">
      <formula>NOT(ISERROR(SEARCH("cancelled",F1)))</formula>
    </cfRule>
    <cfRule type="containsText" dxfId="23" priority="5" operator="containsText" text="successful">
      <formula>NOT(ISERROR(SEARCH("successful",F1)))</formula>
    </cfRule>
    <cfRule type="containsText" dxfId="22" priority="6" operator="containsText" text="live">
      <formula>NOT(ISERROR(SEARCH("live",F1)))</formula>
    </cfRule>
  </conditionalFormatting>
  <conditionalFormatting sqref="G7">
    <cfRule type="containsText" dxfId="21" priority="4" operator="containsText" text="failed">
      <formula>NOT(ISERROR(SEARCH("failed",G7)))</formula>
    </cfRule>
  </conditionalFormatting>
  <pageMargins left="0.7" right="0.7" top="0.75" bottom="0.75" header="0.3" footer="0.3"/>
  <pageSetup orientation="portrait" r:id="rId1"/>
  <drawing r:id="rId2"/>
  <tableParts count="1"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Props1.xml><?xml version="1.0" encoding="utf-8"?>
<ds:datastoreItem xmlns:ds="http://schemas.openxmlformats.org/officeDocument/2006/customXml" ds:itemID="{5397C059-000E-460F-B15F-C6E822BA7E57}">
  <ds:schemaRefs/>
</ds:datastoreItem>
</file>

<file path=customXml/itemProps2.xml><?xml version="1.0" encoding="utf-8"?>
<ds:datastoreItem xmlns:ds="http://schemas.openxmlformats.org/officeDocument/2006/customXml" ds:itemID="{4449A315-62ED-4ED4-A355-7160771D8B41}">
  <ds:schemaRefs/>
</ds:datastoreItem>
</file>

<file path=customXml/itemProps3.xml><?xml version="1.0" encoding="utf-8"?>
<ds:datastoreItem xmlns:ds="http://schemas.openxmlformats.org/officeDocument/2006/customXml" ds:itemID="{9F20BF80-6048-480D-A792-6D672995FE07}">
  <ds:schemaRefs/>
</ds:datastoreItem>
</file>

<file path=customXml/itemProps4.xml><?xml version="1.0" encoding="utf-8"?>
<ds:datastoreItem xmlns:ds="http://schemas.openxmlformats.org/officeDocument/2006/customXml" ds:itemID="{10F15496-6D2F-4DAC-A311-3E4C94D355BB}">
  <ds:schemaRefs/>
</ds:datastoreItem>
</file>

<file path=customXml/itemProps5.xml><?xml version="1.0" encoding="utf-8"?>
<ds:datastoreItem xmlns:ds="http://schemas.openxmlformats.org/officeDocument/2006/customXml" ds:itemID="{B5523C94-075C-41AE-8E08-A427487DCC7C}">
  <ds:schemaRefs/>
</ds:datastoreItem>
</file>

<file path=customXml/itemProps6.xml><?xml version="1.0" encoding="utf-8"?>
<ds:datastoreItem xmlns:ds="http://schemas.openxmlformats.org/officeDocument/2006/customXml" ds:itemID="{E9C6E852-DA74-4E75-A994-97FD1268FF7A}">
  <ds:schemaRefs/>
</ds:datastoreItem>
</file>

<file path=customXml/itemProps7.xml><?xml version="1.0" encoding="utf-8"?>
<ds:datastoreItem xmlns:ds="http://schemas.openxmlformats.org/officeDocument/2006/customXml" ds:itemID="{F9339A3D-3ECA-4C6C-B96A-F036AEFDF462}">
  <ds:schemaRefs/>
</ds:datastoreItem>
</file>

<file path=customXml/itemProps8.xml><?xml version="1.0" encoding="utf-8"?>
<ds:datastoreItem xmlns:ds="http://schemas.openxmlformats.org/officeDocument/2006/customXml" ds:itemID="{36703E6E-5766-4DC8-8A96-D0A97A50ABCC}">
  <ds:schemaRefs/>
</ds:datastoreItem>
</file>

<file path=customXml/itemProps9.xml><?xml version="1.0" encoding="utf-8"?>
<ds:datastoreItem xmlns:ds="http://schemas.openxmlformats.org/officeDocument/2006/customXml" ds:itemID="{FB486E09-9413-4638-A55F-47349FAF4EBC}">
  <ds:schemaRefs/>
</ds:datastoreItem>
</file>

<file path=customXml/itemProps10.xml><?xml version="1.0" encoding="utf-8"?>
<ds:datastoreItem xmlns:ds="http://schemas.openxmlformats.org/officeDocument/2006/customXml" ds:itemID="{6F0B0531-2910-4658-B91A-3079396F4EF8}">
  <ds:schemaRefs/>
</ds:datastoreItem>
</file>

<file path=customXml/itemProps11.xml><?xml version="1.0" encoding="utf-8"?>
<ds:datastoreItem xmlns:ds="http://schemas.openxmlformats.org/officeDocument/2006/customXml" ds:itemID="{8F1B3615-C6CF-42CD-86F9-06D1381A807F}">
  <ds:schemaRefs/>
</ds:datastoreItem>
</file>

<file path=customXml/itemProps12.xml><?xml version="1.0" encoding="utf-8"?>
<ds:datastoreItem xmlns:ds="http://schemas.openxmlformats.org/officeDocument/2006/customXml" ds:itemID="{8F48F72C-4BC5-4F6A-A1F8-366E3EDB5098}">
  <ds:schemaRefs/>
</ds:datastoreItem>
</file>

<file path=customXml/itemProps13.xml><?xml version="1.0" encoding="utf-8"?>
<ds:datastoreItem xmlns:ds="http://schemas.openxmlformats.org/officeDocument/2006/customXml" ds:itemID="{7462AF64-D9B3-4367-A0A2-83359BC39E84}">
  <ds:schemaRefs/>
</ds:datastoreItem>
</file>

<file path=customXml/itemProps14.xml><?xml version="1.0" encoding="utf-8"?>
<ds:datastoreItem xmlns:ds="http://schemas.openxmlformats.org/officeDocument/2006/customXml" ds:itemID="{DE4ACADA-426D-461C-8AA5-29FF06200D5C}">
  <ds:schemaRefs/>
</ds:datastoreItem>
</file>

<file path=customXml/itemProps15.xml><?xml version="1.0" encoding="utf-8"?>
<ds:datastoreItem xmlns:ds="http://schemas.openxmlformats.org/officeDocument/2006/customXml" ds:itemID="{84C96EB0-8BCF-41A0-A0FF-6351BE520488}">
  <ds:schemaRefs/>
</ds:datastoreItem>
</file>

<file path=customXml/itemProps16.xml><?xml version="1.0" encoding="utf-8"?>
<ds:datastoreItem xmlns:ds="http://schemas.openxmlformats.org/officeDocument/2006/customXml" ds:itemID="{ABFE9404-DB7B-4CA1-9AAD-3792012E8D7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Instructions</vt:lpstr>
      <vt:lpstr>Goals</vt:lpstr>
      <vt:lpstr>Launch Date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Dave</cp:lastModifiedBy>
  <dcterms:created xsi:type="dcterms:W3CDTF">2017-04-20T15:17:24Z</dcterms:created>
  <dcterms:modified xsi:type="dcterms:W3CDTF">2022-02-20T12:03:15Z</dcterms:modified>
</cp:coreProperties>
</file>